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520" windowHeight="120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大宗" sheetId="82"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sheetId="15" r:id="rId45"/>
    <sheet name="收益法-仓储" sheetId="80" state="hidden" r:id="rId46"/>
    <sheet name="Sheet1" sheetId="78" r:id="rId47"/>
    <sheet name="Sheet2" sheetId="79" r:id="rId48"/>
    <sheet name="大宗案例" sheetId="81"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'比较法-商业大宗'!$A$1:$L$49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'比较法-商业大宗'!$A$1:$K$54,'比较法-商业大宗'!$A$57:$M$131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45">'收益法-仓储'!$A$1:$F$43,'收益法-仓储'!$H$3:$M$29,'收益法-仓储'!$A$46:$F$71,'收益法-仓储'!$I$46:$N$65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5">'[2]比较法-办公'!$B$119:$M$119</definedName>
    <definedName name="办公层高" localSheetId="48">'[2]比较法-办公'!$B$119:$M$119</definedName>
    <definedName name="办公层高">'比较法-办公'!$B$119:$M$119</definedName>
    <definedName name="办公朝向" localSheetId="25">'[2]比较法-办公'!$B$91:$M$91</definedName>
    <definedName name="办公朝向" localSheetId="48">'[2]比较法-办公'!$B$91:$M$91</definedName>
    <definedName name="办公朝向">'比较法-办公'!$B$91:$M$91</definedName>
    <definedName name="办公道路级别" localSheetId="25">'[2]比较法-办公'!$B$87:$M$87</definedName>
    <definedName name="办公道路级别" localSheetId="48">'[2]比较法-办公'!$B$87:$M$87</definedName>
    <definedName name="办公道路级别">'比较法-办公'!$B$87:$M$87</definedName>
    <definedName name="办公公共部分装修" localSheetId="25">'[2]比较法-办公'!$B$108:$M$108</definedName>
    <definedName name="办公公共部分装修" localSheetId="48">'[2]比较法-办公'!$B$108:$M$108</definedName>
    <definedName name="办公公共部分装修">'比较法-办公'!$B$108:$M$108</definedName>
    <definedName name="办公基础设施水平" localSheetId="25">'[2]比较法-办公'!$B$117:$M$117</definedName>
    <definedName name="办公基础设施水平" localSheetId="48">'[2]比较法-办公'!$B$117:$M$117</definedName>
    <definedName name="办公基础设施水平">'比较法-办公'!$B$117:$M$117</definedName>
    <definedName name="办公集聚程度" localSheetId="25">[2]定义!$M$1:$M$6</definedName>
    <definedName name="办公集聚程度" localSheetId="48">[2]定义!$M$1:$M$6</definedName>
    <definedName name="办公集聚程度">定义!$M$1:$M$6</definedName>
    <definedName name="办公建筑结构" localSheetId="25">'[2]比较法-办公'!$B$106:$M$106</definedName>
    <definedName name="办公建筑结构" localSheetId="48">'[2]比较法-办公'!$B$106:$M$106</definedName>
    <definedName name="办公建筑结构">'比较法-办公'!$B$106:$M$106</definedName>
    <definedName name="办公建筑类型" localSheetId="25">'[2]比较法-办公'!$B$101:$M$101</definedName>
    <definedName name="办公建筑类型" localSheetId="48">'[2]比较法-办公'!$B$101:$M$101</definedName>
    <definedName name="办公建筑类型">'比较法-办公'!$B$101:$M$101</definedName>
    <definedName name="办公交易情况" localSheetId="25">'[2]比较法-办公'!$A$62:$M$62</definedName>
    <definedName name="办公交易情况" localSheetId="48">'[2]比较法-办公'!$A$62:$M$62</definedName>
    <definedName name="办公交易情况">'比较法-办公'!$A$62:$M$62</definedName>
    <definedName name="办公楼层" localSheetId="25">'[2]比较法-办公'!$B$89:$M$89</definedName>
    <definedName name="办公楼层" localSheetId="48">'[2]比较法-办公'!$B$89:$M$89</definedName>
    <definedName name="办公楼层">'比较法-办公'!$B$89:$M$89</definedName>
    <definedName name="办公内部装修" localSheetId="25">'[2]比较法-办公'!$B$123:$M$123</definedName>
    <definedName name="办公内部装修" localSheetId="48">'[2]比较法-办公'!$B$123:$M$123</definedName>
    <definedName name="办公内部装修">'比较法-办公'!$B$123:$M$123</definedName>
    <definedName name="办公物业管理" localSheetId="25">'[2]比较法-办公'!$B$115:$M$115</definedName>
    <definedName name="办公物业管理" localSheetId="48">'[2]比较法-办公'!$B$115:$M$115</definedName>
    <definedName name="办公物业管理">'比较法-办公'!$B$115:$M$115</definedName>
    <definedName name="办公用途" localSheetId="25">'[2]比较法-办公'!$B$64:$M$64</definedName>
    <definedName name="办公用途" localSheetId="48">'[2]比较法-办公'!$B$64:$M$64</definedName>
    <definedName name="办公用途">'比较法-办公'!$B$64:$M$64</definedName>
    <definedName name="仓储公共部分装修" localSheetId="25">'[2]比较法-仓储'!$B$77:$M$77</definedName>
    <definedName name="仓储公共部分装修" localSheetId="48">'[2]比较法-仓储'!$B$77:$M$77</definedName>
    <definedName name="仓储公共部分装修">'比较法-仓储'!$B$77:$M$77</definedName>
    <definedName name="仓储交易情况" localSheetId="25">'[2]比较法-仓储'!$A$49:$M$49</definedName>
    <definedName name="仓储交易情况" localSheetId="48">'[2]比较法-仓储'!$A$49:$M$49</definedName>
    <definedName name="仓储交易情况">'比较法-仓储'!$A$49:$M$49</definedName>
    <definedName name="仓储楼层" localSheetId="25">'[2]比较法-仓储'!$B$69:$M$69</definedName>
    <definedName name="仓储楼层" localSheetId="48">'[2]比较法-仓储'!$B$69:$M$69</definedName>
    <definedName name="仓储楼层">'比较法-仓储'!$B$69:$M$69</definedName>
    <definedName name="仓储物业等级" localSheetId="25">'[2]比较法-仓储'!$B$82:$M$82</definedName>
    <definedName name="仓储物业等级" localSheetId="48">'[2]比较法-仓储'!$B$82:$M$82</definedName>
    <definedName name="仓储物业等级">'比较法-仓储'!$B$82:$M$82</definedName>
    <definedName name="仓储用途" localSheetId="25">'[2]比较法-仓储'!$B$51:$M$51</definedName>
    <definedName name="仓储用途" localSheetId="48">'[2]比较法-仓储'!$B$51:$M$51</definedName>
    <definedName name="仓储用途">'比较法-仓储'!$B$51:$M$51</definedName>
    <definedName name="产业集聚程度" localSheetId="25">[2]定义!$N$1:$N$6</definedName>
    <definedName name="产业集聚程度" localSheetId="48">[2]定义!$N$1:$N$6</definedName>
    <definedName name="产业集聚程度">定义!$N$1:$N$6</definedName>
    <definedName name="车位公共部分装修" localSheetId="25">'[2]比较法-车位'!$B$83:$M$83</definedName>
    <definedName name="车位公共部分装修" localSheetId="48">'[2]比较法-车位'!$B$83:$M$83</definedName>
    <definedName name="车位公共部分装修">'比较法-车位'!$B$83:$M$83</definedName>
    <definedName name="车位交易情况" localSheetId="25">'[2]比较法-车位'!$A$51:$M$51</definedName>
    <definedName name="车位交易情况" localSheetId="48">'[2]比较法-车位'!$A$51:$M$51</definedName>
    <definedName name="车位交易情况">'比较法-车位'!$A$51:$M$51</definedName>
    <definedName name="车位类型" localSheetId="25">'[2]比较法-车位'!$B$93:$M$93</definedName>
    <definedName name="车位类型" localSheetId="48">'[2]比较法-车位'!$B$93:$M$93</definedName>
    <definedName name="车位类型">'比较法-车位'!$B$93:$M$93</definedName>
    <definedName name="车位楼层" localSheetId="25">'[2]比较法-车位'!$B$71:$M$71</definedName>
    <definedName name="车位楼层" localSheetId="48">'[2]比较法-车位'!$B$71:$M$71</definedName>
    <definedName name="车位楼层">'比较法-车位'!$B$71:$M$71</definedName>
    <definedName name="车位配套类型" localSheetId="25">'[2]比较法-车位'!$B$79:$M$79</definedName>
    <definedName name="车位配套类型" localSheetId="48">'[2]比较法-车位'!$B$79:$M$79</definedName>
    <definedName name="车位配套类型">'比较法-车位'!$B$79:$M$79</definedName>
    <definedName name="车位物业等级" localSheetId="25">'[2]比较法-车位'!$B$88:$M$88</definedName>
    <definedName name="车位物业等级" localSheetId="48">'[2]比较法-车位'!$B$88:$M$88</definedName>
    <definedName name="车位物业等级">'比较法-车位'!$B$88:$M$88</definedName>
    <definedName name="车位用途" localSheetId="25">'[2]比较法-车位'!$B$53:$M$53</definedName>
    <definedName name="车位用途" localSheetId="48">'[2]比较法-车位'!$B$53:$M$53</definedName>
    <definedName name="车位用途">'比较法-车位'!$B$53:$M$53</definedName>
    <definedName name="城镇土地纳税等级分级范围" localSheetId="25">'[2]数据-取费表'!$A$53:$A$63</definedName>
    <definedName name="城镇土地纳税等级分级范围" localSheetId="48">'[2]数据-取费表'!$A$53:$A$63</definedName>
    <definedName name="城镇土地纳税等级分级范围">'数据-取费表'!$A$53:$A$63</definedName>
    <definedName name="单价内涵" localSheetId="25">[2]定义!$V$1:$V$3</definedName>
    <definedName name="单价内涵" localSheetId="48">[2]定义!$V$1:$V$3</definedName>
    <definedName name="单价内涵">定义!$V$1:$V$3</definedName>
    <definedName name="地类判定" localSheetId="25">[2]定义!$H$1:$H$9</definedName>
    <definedName name="地类判定" localSheetId="48">[2]定义!$H$1:$H$9</definedName>
    <definedName name="地类判定">定义!$H$1:$H$9</definedName>
    <definedName name="二级">区片价!$I$1:$I$20</definedName>
    <definedName name="二级分类" localSheetId="25">[2]修正!$C$19:$C$51</definedName>
    <definedName name="二级分类" localSheetId="48">[2]修正!$C$19:$C$51</definedName>
    <definedName name="二级分类">修正!$C$19:$C$51</definedName>
    <definedName name="法定最高年限" localSheetId="25">[2]定义!$G$1:$G$4</definedName>
    <definedName name="法定最高年限" localSheetId="48">[2]定义!$G$1:$G$4</definedName>
    <definedName name="法定最高年限">定义!$G$1:$G$4</definedName>
    <definedName name="工业公共部分装修" localSheetId="25">'[2]比较法-工业'!$B$95:$M$95</definedName>
    <definedName name="工业公共部分装修" localSheetId="48">'[2]比较法-工业'!$B$95:$M$95</definedName>
    <definedName name="工业公共部分装修">'比较法-工业'!$B$95:$M$95</definedName>
    <definedName name="工业基础设施水平" localSheetId="25">'[2]比较法-工业'!$B$102:$M$102</definedName>
    <definedName name="工业基础设施水平" localSheetId="48">'[2]比较法-工业'!$B$102:$M$102</definedName>
    <definedName name="工业基础设施水平">'比较法-工业'!$B$102:$M$102</definedName>
    <definedName name="工业建筑结构" localSheetId="25">'[2]比较法-工业'!$B$93:$M$93</definedName>
    <definedName name="工业建筑结构" localSheetId="48">'[2]比较法-工业'!$B$93:$M$93</definedName>
    <definedName name="工业建筑结构">'比较法-工业'!$B$93:$M$93</definedName>
    <definedName name="工业建筑类型" localSheetId="25">'[2]比较法-工业'!$B$88:$M$88</definedName>
    <definedName name="工业建筑类型" localSheetId="48">'[2]比较法-工业'!$B$88:$M$88</definedName>
    <definedName name="工业建筑类型">'比较法-工业'!$B$88:$M$88</definedName>
    <definedName name="工业交易情况" localSheetId="25">'[2]比较法-工业'!$A$55:$M$55</definedName>
    <definedName name="工业交易情况" localSheetId="48">'[2]比较法-工业'!$A$55:$M$55</definedName>
    <definedName name="工业交易情况">'比较法-工业'!$A$55:$M$55</definedName>
    <definedName name="工业内部装修" localSheetId="25">'[2]比较法-工业'!$B$104:$M$104</definedName>
    <definedName name="工业内部装修" localSheetId="48">'[2]比较法-工业'!$B$104:$M$104</definedName>
    <definedName name="工业内部装修">'比较法-工业'!$B$104:$M$104</definedName>
    <definedName name="工业物业管理" localSheetId="25">'[2]比较法-工业'!$B$100:$M$100</definedName>
    <definedName name="工业物业管理" localSheetId="48">'[2]比较法-工业'!$B$100:$M$100</definedName>
    <definedName name="工业物业管理">'比较法-工业'!$B$100:$M$100</definedName>
    <definedName name="工业用途" localSheetId="25">'[2]比较法-工业'!$B$57:$M$57</definedName>
    <definedName name="工业用途" localSheetId="48">'[2]比较法-工业'!$B$57:$M$57</definedName>
    <definedName name="工业用途">'比较法-工业'!$B$57:$M$57</definedName>
    <definedName name="公共配套设施" localSheetId="25">[2]定义!$Q$1:$Q$6</definedName>
    <definedName name="公共配套设施" localSheetId="48">[2]定义!$Q$1:$Q$6</definedName>
    <definedName name="公共配套设施">定义!$Q$1:$Q$6</definedName>
    <definedName name="估价方法" localSheetId="25">[2]定义!$B$1:$B$50</definedName>
    <definedName name="估价方法" localSheetId="48">[2]定义!$B$1:$B$50</definedName>
    <definedName name="估价方法">定义!$B$1:$B$50</definedName>
    <definedName name="环境" localSheetId="25">[2]定义!$S$1:$S$6</definedName>
    <definedName name="环境" localSheetId="48">[2]定义!$S$1:$S$6</definedName>
    <definedName name="环境">定义!$S$1:$S$6</definedName>
    <definedName name="基础设施水平" localSheetId="25">[2]定义!$R$1:$R$6</definedName>
    <definedName name="基础设施水平" localSheetId="48">[2]定义!$R$1:$R$6</definedName>
    <definedName name="基础设施水平">定义!$R$1:$R$6</definedName>
    <definedName name="季度">基准地价修正!$Q$19:$AD$19</definedName>
    <definedName name="价值类型2" localSheetId="25">[2]定义!$B$54:$B$56</definedName>
    <definedName name="价值类型2" localSheetId="48">[2]定义!$B$54:$B$56</definedName>
    <definedName name="价值类型2">定义!$B$54:$B$56</definedName>
    <definedName name="交通便捷度" localSheetId="25">[2]定义!$O$1:$O$6</definedName>
    <definedName name="交通便捷度" localSheetId="48">[2]定义!$O$1:$O$6</definedName>
    <definedName name="交通便捷度">定义!$O$1:$O$6</definedName>
    <definedName name="九级">区片价!$P$1:$P$46</definedName>
    <definedName name="居住社区成熟度" localSheetId="25">[2]定义!$K$1:$K$6</definedName>
    <definedName name="居住社区成熟度" localSheetId="48">[2]定义!$K$1:$K$6</definedName>
    <definedName name="居住社区成熟度">定义!$K$1:$K$6</definedName>
    <definedName name="类别" localSheetId="25">[2]定义!$J$1:$J$3</definedName>
    <definedName name="类别" localSheetId="48">[2]定义!$J$1:$J$3</definedName>
    <definedName name="类别">定义!$J$1:$J$3</definedName>
    <definedName name="临街状况" localSheetId="25">[2]定义!$T$1:$T$5</definedName>
    <definedName name="临街状况" localSheetId="48">[2]定义!$T$1:$T$5</definedName>
    <definedName name="临街状况">定义!$T$1:$T$5</definedName>
    <definedName name="六级">区片价!$M$1:$M$49</definedName>
    <definedName name="内部装修维护情况" localSheetId="25">[2]定义!$U$1:$U$6</definedName>
    <definedName name="内部装修维护情况" localSheetId="48">[2]定义!$U$1:$U$6</definedName>
    <definedName name="内部装修维护情况">定义!$U$1:$U$6</definedName>
    <definedName name="判定" localSheetId="25">[2]定义!$D$1:$D$4</definedName>
    <definedName name="判定" localSheetId="48">[2]定义!$D$1:$D$4</definedName>
    <definedName name="判定" localSheetId="22">[1]定义!$D$1:$D$4</definedName>
    <definedName name="判定">定义!$D$1:$D$4</definedName>
    <definedName name="七级">区片价!$N$1:$N$49</definedName>
    <definedName name="七通一平" localSheetId="25">[2]修正!$A$8:$A$16</definedName>
    <definedName name="七通一平" localSheetId="48">[2]修正!$A$8:$A$16</definedName>
    <definedName name="七通一平">修正!$A$8:$A$16</definedName>
    <definedName name="区域土地利用方向" localSheetId="25">[2]定义!$P$1:$P$6</definedName>
    <definedName name="区域土地利用方向" localSheetId="48">[2]定义!$P$1:$P$6</definedName>
    <definedName name="区域土地利用方向">定义!$P$1:$P$6</definedName>
    <definedName name="三级">区片价!$J$1:$J$21</definedName>
    <definedName name="商业层高" localSheetId="25">'比较法-商业大宗'!$B$116:$M$116</definedName>
    <definedName name="商业层高" localSheetId="48">'[2]比较法-商业'!$B$116:$M$116</definedName>
    <definedName name="商业层高">'比较法-商业'!$B$116:$M$116</definedName>
    <definedName name="商业成新度" localSheetId="25">'比较法-商业大宗'!$B$109:$M$109</definedName>
    <definedName name="商业成新度">'比较法-商业'!$B$109:$M$109</definedName>
    <definedName name="商业繁华度" localSheetId="25">[2]定义!$L$1:$L$6</definedName>
    <definedName name="商业繁华度" localSheetId="48">[2]定义!$L$1:$L$6</definedName>
    <definedName name="商业繁华度">定义!$L$1:$L$6</definedName>
    <definedName name="商业公共部分装修" localSheetId="25">'比较法-商业大宗'!$B$107:$M$107</definedName>
    <definedName name="商业公共部分装修" localSheetId="48">'[2]比较法-商业'!$B$107:$M$107</definedName>
    <definedName name="商业公共部分装修">'比较法-商业'!$B$107:$M$107</definedName>
    <definedName name="商业基础设施水平" localSheetId="25">'比较法-商业大宗'!$B$112:$M$112</definedName>
    <definedName name="商业基础设施水平" localSheetId="48">'[2]比较法-商业'!$B$112:$M$112</definedName>
    <definedName name="商业基础设施水平">'比较法-商业'!$B$112:$M$112</definedName>
    <definedName name="商业建筑结构" localSheetId="25">'比较法-商业大宗'!$B$105:$M$105</definedName>
    <definedName name="商业建筑结构" localSheetId="48">'[2]比较法-商业'!$B$105:$M$105</definedName>
    <definedName name="商业建筑结构">'比较法-商业'!$B$105:$M$105</definedName>
    <definedName name="商业交易情况" localSheetId="25">'比较法-商业大宗'!$A$61:$M$61</definedName>
    <definedName name="商业交易情况" localSheetId="48">'[2]比较法-商业'!$A$61:$M$61</definedName>
    <definedName name="商业交易情况">'比较法-商业'!$A$61:$M$61</definedName>
    <definedName name="商业街名称" localSheetId="25">[2]修正!$C$71:$C$138</definedName>
    <definedName name="商业街名称" localSheetId="48">[2]修正!$C$71:$C$138</definedName>
    <definedName name="商业街名称">修正!$C$71:$C$138</definedName>
    <definedName name="商业进深比" localSheetId="25">'比较法-商业大宗'!$B$120:$M$120</definedName>
    <definedName name="商业进深比" localSheetId="48">'[2]比较法-商业'!$B$120:$M$120</definedName>
    <definedName name="商业进深比">'比较法-商业'!$B$120:$M$120</definedName>
    <definedName name="商业类型" localSheetId="25">'比较法-商业大宗'!$B$100:$M$100</definedName>
    <definedName name="商业类型" localSheetId="48">'[2]比较法-商业'!$B$100:$M$100</definedName>
    <definedName name="商业类型">'比较法-商业'!$B$100:$M$100</definedName>
    <definedName name="商业临街状况" localSheetId="25">'比较法-商业大宗'!$B$86:$M$86</definedName>
    <definedName name="商业临街状况" localSheetId="48">'[2]比较法-商业'!$B$86:$M$86</definedName>
    <definedName name="商业临街状况">'比较法-商业'!$B$86:$M$86</definedName>
    <definedName name="商业楼层" localSheetId="25">'比较法-商业大宗'!$B$92:$M$92</definedName>
    <definedName name="商业楼层" localSheetId="48">'[2]比较法-商业'!$B$92:$M$92</definedName>
    <definedName name="商业楼层">'比较法-商业'!$B$92:$M$92</definedName>
    <definedName name="商业内部装修" localSheetId="25">'比较法-商业大宗'!$B$122:$M$122</definedName>
    <definedName name="商业内部装修" localSheetId="48">'[2]比较法-商业'!$B$122:$M$122</definedName>
    <definedName name="商业内部装修">'比较法-商业'!$B$122:$M$122</definedName>
    <definedName name="商业人流量" localSheetId="25">'比较法-商业大宗'!$B$90:$M$90</definedName>
    <definedName name="商业人流量" localSheetId="48">'[2]比较法-商业'!$B$90:$M$90</definedName>
    <definedName name="商业人流量">'比较法-商业'!$B$90:$M$90</definedName>
    <definedName name="商业业态" localSheetId="25">'比较法-商业大宗'!$B$114:$M$114</definedName>
    <definedName name="商业业态" localSheetId="48">'[2]比较法-商业'!$B$114:$M$114</definedName>
    <definedName name="商业业态">'比较法-商业'!$B$114:$M$114</definedName>
    <definedName name="商业用途" localSheetId="25">'比较法-商业大宗'!$B$63:$M$63</definedName>
    <definedName name="商业用途" localSheetId="48">'[2]比较法-商业'!$B$63:$M$63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'[2]比较法-仓储'!$B$89:$M$89</definedName>
    <definedName name="是否封闭" localSheetId="48">'[2]比较法-仓储'!$B$89:$M$89</definedName>
    <definedName name="是否封闭">'比较法-仓储'!$B$89:$M$89</definedName>
    <definedName name="是否直接入户" localSheetId="25">'[2]比较法-车位'!$B$95:$M$95</definedName>
    <definedName name="是否直接入户" localSheetId="48">'[2]比较法-车位'!$B$95:$M$95</definedName>
    <definedName name="是否直接入户">'比较法-车位'!$B$95:$M$95</definedName>
    <definedName name="四级">区片价!$K$1:$K$28</definedName>
    <definedName name="套工道路等级" localSheetId="25">'[2]土地比较法-工业'!$B$97:$M$97</definedName>
    <definedName name="套工道路等级" localSheetId="48">'[2]土地比较法-工业'!$B$97:$M$97</definedName>
    <definedName name="套工道路等级">'土地比较法-工业'!$B$97:$M$97</definedName>
    <definedName name="套工地质条件" localSheetId="25">'[2]土地比较法-工业'!$B$114:$M$114</definedName>
    <definedName name="套工地质条件" localSheetId="48">'[2]土地比较法-工业'!$B$114:$M$114</definedName>
    <definedName name="套工地质条件">'土地比较法-工业'!$B$114:$M$114</definedName>
    <definedName name="套工交易情况" localSheetId="25">'[2]土地比较法-住宅、综合'!$A$72:$M$72</definedName>
    <definedName name="套工交易情况" localSheetId="48">'[2]土地比较法-住宅、综合'!$A$72:$M$72</definedName>
    <definedName name="套工交易情况">'土地比较法-住宅、综合'!$A$72:$M$72</definedName>
    <definedName name="套工土地级别" localSheetId="25">'[2]土地比较法-工业'!$B$99:$M$99</definedName>
    <definedName name="套工土地级别" localSheetId="48">'[2]土地比较法-工业'!$B$99:$M$99</definedName>
    <definedName name="套工土地级别">'土地比较法-工业'!$B$99:$M$99</definedName>
    <definedName name="套工用途" localSheetId="25">'[2]土地比较法-工业'!$B$70:$M$70</definedName>
    <definedName name="套工用途" localSheetId="48">'[2]土地比较法-工业'!$B$70:$M$70</definedName>
    <definedName name="套工用途">'土地比较法-工业'!$B$70:$M$70</definedName>
    <definedName name="套工宗地开发程度" localSheetId="25">'[2]土地比较法-工业'!$B$112:$M$112</definedName>
    <definedName name="套工宗地开发程度" localSheetId="48">'[2]土地比较法-工业'!$B$112:$M$112</definedName>
    <definedName name="套工宗地开发程度">'土地比较法-工业'!$B$112:$M$112</definedName>
    <definedName name="套工宗地形状" localSheetId="25">'[2]土地比较法-工业'!$B$110:$M$110</definedName>
    <definedName name="套工宗地形状" localSheetId="48">'[2]土地比较法-工业'!$B$110:$M$110</definedName>
    <definedName name="套工宗地形状">'土地比较法-工业'!$B$110:$M$110</definedName>
    <definedName name="套综道路等级" localSheetId="25">'[2]土地比较法-住宅、综合'!$B$105:$M$105</definedName>
    <definedName name="套综道路等级" localSheetId="48">'[2]土地比较法-住宅、综合'!$B$105:$M$105</definedName>
    <definedName name="套综道路等级">'土地比较法-住宅、综合'!$B$105:$M$105</definedName>
    <definedName name="套综工程地质条件" localSheetId="25">'[2]土地比较法-住宅、综合'!$B$124:$M$124</definedName>
    <definedName name="套综工程地质条件" localSheetId="48">'[2]土地比较法-住宅、综合'!$B$124:$M$124</definedName>
    <definedName name="套综工程地质条件">'土地比较法-住宅、综合'!$B$124:$M$124</definedName>
    <definedName name="套综交易情况" localSheetId="25">'[2]土地比较法-住宅、综合'!$A$72:$M$72</definedName>
    <definedName name="套综交易情况" localSheetId="48">'[2]土地比较法-住宅、综合'!$A$72:$M$72</definedName>
    <definedName name="套综交易情况">'土地比较法-住宅、综合'!$A$72:$M$72</definedName>
    <definedName name="套综临街宽度及深度" localSheetId="25">'[2]土地比较法-住宅、综合'!$B$120:$M$120</definedName>
    <definedName name="套综临街宽度及深度" localSheetId="48">'[2]土地比较法-住宅、综合'!$B$120:$M$120</definedName>
    <definedName name="套综临街宽度及深度">'土地比较法-住宅、综合'!$B$120:$M$120</definedName>
    <definedName name="套综土地级别" localSheetId="25">'[2]土地比较法-住宅、综合'!$B$107:$M$107</definedName>
    <definedName name="套综土地级别" localSheetId="48">'[2]土地比较法-住宅、综合'!$B$107:$M$107</definedName>
    <definedName name="套综土地级别">'土地比较法-住宅、综合'!$B$107:$M$107</definedName>
    <definedName name="套综用途" localSheetId="25">'[2]土地比较法-住宅、综合'!$B$74:$M$74</definedName>
    <definedName name="套综用途" localSheetId="48">'[2]土地比较法-住宅、综合'!$B$74:$M$74</definedName>
    <definedName name="套综用途">'土地比较法-住宅、综合'!$B$74:$M$74</definedName>
    <definedName name="套综宗地内开发程度" localSheetId="25">'[2]土地比较法-住宅、综合'!$B$122:$M$122</definedName>
    <definedName name="套综宗地内开发程度" localSheetId="48">'[2]土地比较法-住宅、综合'!$B$122:$M$122</definedName>
    <definedName name="套综宗地内开发程度">'土地比较法-住宅、综合'!$B$122:$M$122</definedName>
    <definedName name="套综宗地形状" localSheetId="25">'[2]土地比较法-住宅、综合'!$B$118:$M$118</definedName>
    <definedName name="套综宗地形状" localSheetId="48">'[2]土地比较法-住宅、综合'!$B$118:$M$118</definedName>
    <definedName name="套综宗地形状">'土地比较法-住宅、综合'!$B$118:$M$118</definedName>
    <definedName name="土地估价师">估价师及机构信息!$D$3:$D$24</definedName>
    <definedName name="土地级别" localSheetId="25">[2]定义!$C$1:$C$14</definedName>
    <definedName name="土地级别" localSheetId="48">[2]定义!$C$1:$C$14</definedName>
    <definedName name="土地级别">定义!$C$1:$C$14</definedName>
    <definedName name="土地利用方向">定义!$P$1:$P$6</definedName>
    <definedName name="土地年限区间" localSheetId="25">[2]定义!$I$1:$I$8</definedName>
    <definedName name="土地年限区间" localSheetId="48">[2]定义!$I$1:$I$8</definedName>
    <definedName name="土地年限区间">定义!$I$1:$I$8</definedName>
    <definedName name="位置" localSheetId="25">[2]定义!$E$2:$E$4</definedName>
    <definedName name="位置" localSheetId="48">[2]定义!$E$2:$E$4</definedName>
    <definedName name="位置">定义!$E$2:$E$4</definedName>
    <definedName name="五等判定" localSheetId="25">[2]定义!$W$1:$W$6</definedName>
    <definedName name="五等判定" localSheetId="48">[2]定义!$W$1:$W$6</definedName>
    <definedName name="五等判定">定义!$W$1:$W$6</definedName>
    <definedName name="五级">区片价!$L$1:$L$35</definedName>
    <definedName name="项目类型" localSheetId="25">'[2]数据-汇总表'!$C$17:$C$26</definedName>
    <definedName name="项目类型" localSheetId="48">'[2]数据-汇总表'!$C$17:$C$26</definedName>
    <definedName name="项目类型" localSheetId="22">'[1]数据-汇总表'!$C$17:$C$26</definedName>
    <definedName name="项目类型">'数据-汇总表'!$C$17:$C$26</definedName>
    <definedName name="写字楼等级" localSheetId="25">'[2]比较法-办公'!$B$113:$M$113</definedName>
    <definedName name="写字楼等级" localSheetId="48">'[2]比较法-办公'!$B$113:$M$113</definedName>
    <definedName name="写字楼等级">'比较法-办公'!$B$113:$M$113</definedName>
    <definedName name="一级">区片价!$H$1:$H$6</definedName>
    <definedName name="一修多修正项2" localSheetId="25">[2]典型户型修正!$5:$5</definedName>
    <definedName name="一修多修正项2" localSheetId="48">[2]典型户型修正!$5:$5</definedName>
    <definedName name="一修多修正项2">典型户型修正!$5:$5</definedName>
    <definedName name="一修多修正项3" localSheetId="25">[2]典型户型修正!$7:$7</definedName>
    <definedName name="一修多修正项3" localSheetId="48">[2]典型户型修正!$7:$7</definedName>
    <definedName name="一修多修正项3">典型户型修正!$7:$7</definedName>
    <definedName name="一修多修正项4" localSheetId="25">[2]典型户型修正!$9:$9</definedName>
    <definedName name="一修多修正项4" localSheetId="48">[2]典型户型修正!$9:$9</definedName>
    <definedName name="一修多修正项4">典型户型修正!$9:$9</definedName>
    <definedName name="一修多修正项5" localSheetId="25">[2]典型户型修正!$11:$11</definedName>
    <definedName name="一修多修正项5" localSheetId="48">[2]典型户型修正!$11:$11</definedName>
    <definedName name="一修多修正项5">典型户型修正!$11:$11</definedName>
    <definedName name="一修多修正项6" localSheetId="25">[2]典型户型修正!$13:$13</definedName>
    <definedName name="一修多修正项6" localSheetId="48">[2]典型户型修正!$13:$13</definedName>
    <definedName name="一修多修正项6">典型户型修正!$13:$13</definedName>
    <definedName name="一修多修正项7" localSheetId="25">[2]典型户型修正!$15:$15</definedName>
    <definedName name="一修多修正项7" localSheetId="48">[2]典型户型修正!$15:$15</definedName>
    <definedName name="一修多修正项7">典型户型修正!$15:$15</definedName>
    <definedName name="一修多修正项8" localSheetId="25">[2]典型户型修正!$17:$17</definedName>
    <definedName name="一修多修正项8" localSheetId="48">[2]典型户型修正!$17:$17</definedName>
    <definedName name="一修多修正项8">典型户型修正!$17:$17</definedName>
    <definedName name="用途明细" localSheetId="25">[2]定义!$A$1:$A$50</definedName>
    <definedName name="用途明细" localSheetId="48">[2]定义!$A$1:$A$50</definedName>
    <definedName name="用途明细">定义!$A$1:$A$50</definedName>
    <definedName name="有无电梯" localSheetId="25">'[2]比较法-仓储'!$B$84:$M$84</definedName>
    <definedName name="有无电梯" localSheetId="48">'[2]比较法-仓储'!$B$84:$M$84</definedName>
    <definedName name="有无电梯">'比较法-仓储'!$B$84:$M$84</definedName>
    <definedName name="主用途" localSheetId="25">[2]定义!$F$1:$F$10</definedName>
    <definedName name="主用途" localSheetId="48">[2]定义!$F$1:$F$10</definedName>
    <definedName name="主用途">定义!$F$1:$F$10</definedName>
    <definedName name="住宅朝向" localSheetId="25">'[2]比较法-住宅'!$B$88:$M$88</definedName>
    <definedName name="住宅朝向" localSheetId="48">'[2]比较法-住宅'!$B$88:$M$88</definedName>
    <definedName name="住宅朝向">'比较法-住宅'!$B$88:$M$88</definedName>
    <definedName name="住宅房型" localSheetId="25">'[2]比较法-住宅'!$B$118:$M$118</definedName>
    <definedName name="住宅房型" localSheetId="48">'[2]比较法-住宅'!$B$118:$M$118</definedName>
    <definedName name="住宅房型">'比较法-住宅'!$B$118:$M$118</definedName>
    <definedName name="住宅公共部分装修" localSheetId="25">'[2]比较法-住宅'!$B$109:$M$109</definedName>
    <definedName name="住宅公共部分装修" localSheetId="48">'[2]比较法-住宅'!$B$109:$M$109</definedName>
    <definedName name="住宅公共部分装修">'比较法-住宅'!$B$109:$M$109</definedName>
    <definedName name="住宅基础设施水平" localSheetId="25">'[2]比较法-住宅'!$B$116:$M$116</definedName>
    <definedName name="住宅基础设施水平" localSheetId="48">'[2]比较法-住宅'!$B$116:$M$116</definedName>
    <definedName name="住宅基础设施水平">'比较法-住宅'!$B$116:$M$116</definedName>
    <definedName name="住宅建筑结构" localSheetId="25">'[2]比较法-住宅'!$B$105:$M$105</definedName>
    <definedName name="住宅建筑结构" localSheetId="48">'[2]比较法-住宅'!$B$105:$M$105</definedName>
    <definedName name="住宅建筑结构">'比较法-住宅'!$B$105:$M$105</definedName>
    <definedName name="住宅建筑类型" localSheetId="25">'[2]比较法-住宅'!$B$100:$M$100</definedName>
    <definedName name="住宅建筑类型" localSheetId="48">'[2]比较法-住宅'!$B$100:$M$100</definedName>
    <definedName name="住宅建筑类型">'比较法-住宅'!$B$100:$M$100</definedName>
    <definedName name="住宅建筑品质" localSheetId="25">'[2]比较法-住宅'!$B$107:$M$107</definedName>
    <definedName name="住宅建筑品质" localSheetId="48">'[2]比较法-住宅'!$B$107:$M$107</definedName>
    <definedName name="住宅建筑品质">'比较法-住宅'!$B$107:$M$107</definedName>
    <definedName name="住宅交易情况" localSheetId="25">'[2]比较法-住宅'!$A$61:$M$61</definedName>
    <definedName name="住宅交易情况" localSheetId="48">'[2]比较法-住宅'!$A$61:$M$61</definedName>
    <definedName name="住宅交易情况">'比较法-住宅'!$A$61:$M$61</definedName>
    <definedName name="住宅楼层" localSheetId="25">'[2]比较法-住宅'!$B$86:$M$86</definedName>
    <definedName name="住宅楼层" localSheetId="48">'[2]比较法-住宅'!$B$86:$M$86</definedName>
    <definedName name="住宅楼层">'比较法-住宅'!$B$86:$M$86</definedName>
    <definedName name="住宅内部装修" localSheetId="25">'[2]比较法-住宅'!$B$122:$M$122</definedName>
    <definedName name="住宅内部装修" localSheetId="48">'[2]比较法-住宅'!$B$122:$M$122</definedName>
    <definedName name="住宅内部装修">'比较法-住宅'!$B$122:$M$122</definedName>
    <definedName name="住宅物业管理" localSheetId="25">'[2]比较法-住宅'!$B$114:$M$114</definedName>
    <definedName name="住宅物业管理" localSheetId="48">'[2]比较法-住宅'!$B$114:$M$114</definedName>
    <definedName name="住宅物业管理">'比较法-住宅'!$B$114:$M$114</definedName>
    <definedName name="住宅用途" localSheetId="25">'[2]比较法-住宅'!$B$63:$M$63</definedName>
    <definedName name="住宅用途" localSheetId="48">'[2]比较法-住宅'!$B$63:$M$63</definedName>
    <definedName name="住宅用途">'比较法-住宅'!$B$63:$M$63</definedName>
    <definedName name="住宅主力户型面积">'比较法-住宅'!$B$120:$M$120</definedName>
    <definedName name="注册房地产估价师" localSheetId="25">[2]估价师及机构信息!$A$3:$A$16</definedName>
    <definedName name="注册房地产估价师" localSheetId="48">[2]估价师及机构信息!$A$3:$A$16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D3" i="82" l="1"/>
  <c r="C23" i="82"/>
  <c r="C21" i="82"/>
  <c r="C19" i="82"/>
  <c r="C17" i="82"/>
  <c r="C15" i="82"/>
  <c r="I33" i="82"/>
  <c r="E33" i="82"/>
  <c r="G33" i="82"/>
  <c r="I7" i="82"/>
  <c r="I5" i="82"/>
  <c r="G5" i="82"/>
  <c r="E5" i="82"/>
  <c r="E7" i="82"/>
  <c r="G7" i="82"/>
  <c r="B130" i="82"/>
  <c r="B128" i="82"/>
  <c r="H45" i="82" s="1"/>
  <c r="B126" i="82"/>
  <c r="G125" i="82"/>
  <c r="E125" i="82"/>
  <c r="F125" i="82" s="1"/>
  <c r="D125" i="82"/>
  <c r="G123" i="82"/>
  <c r="H123" i="82" s="1"/>
  <c r="I123" i="82" s="1"/>
  <c r="J123" i="82" s="1"/>
  <c r="K123" i="82" s="1"/>
  <c r="L123" i="82" s="1"/>
  <c r="M123" i="82" s="1"/>
  <c r="E123" i="82"/>
  <c r="F123" i="82" s="1"/>
  <c r="D123" i="82"/>
  <c r="G121" i="82"/>
  <c r="H121" i="82" s="1"/>
  <c r="I121" i="82" s="1"/>
  <c r="J121" i="82" s="1"/>
  <c r="K121" i="82" s="1"/>
  <c r="L121" i="82" s="1"/>
  <c r="M121" i="82" s="1"/>
  <c r="E121" i="82"/>
  <c r="F121" i="82" s="1"/>
  <c r="D121" i="82"/>
  <c r="E117" i="82"/>
  <c r="F117" i="82" s="1"/>
  <c r="G117" i="82" s="1"/>
  <c r="D117" i="82"/>
  <c r="I115" i="82"/>
  <c r="J115" i="82" s="1"/>
  <c r="K115" i="82" s="1"/>
  <c r="L115" i="82" s="1"/>
  <c r="M115" i="82" s="1"/>
  <c r="E115" i="82"/>
  <c r="F115" i="82" s="1"/>
  <c r="G115" i="82" s="1"/>
  <c r="H115" i="82" s="1"/>
  <c r="D115" i="82"/>
  <c r="E113" i="82"/>
  <c r="F113" i="82" s="1"/>
  <c r="G113" i="82" s="1"/>
  <c r="H113" i="82" s="1"/>
  <c r="I113" i="82" s="1"/>
  <c r="J113" i="82" s="1"/>
  <c r="K113" i="82" s="1"/>
  <c r="L113" i="82" s="1"/>
  <c r="M113" i="82" s="1"/>
  <c r="D113" i="82"/>
  <c r="E111" i="82"/>
  <c r="F111" i="82" s="1"/>
  <c r="D111" i="82"/>
  <c r="G109" i="82"/>
  <c r="F109" i="82"/>
  <c r="E109" i="82"/>
  <c r="D109" i="82"/>
  <c r="C109" i="82"/>
  <c r="F108" i="82"/>
  <c r="G108" i="82" s="1"/>
  <c r="H108" i="82" s="1"/>
  <c r="I108" i="82" s="1"/>
  <c r="J108" i="82" s="1"/>
  <c r="K108" i="82" s="1"/>
  <c r="L108" i="82" s="1"/>
  <c r="M108" i="82" s="1"/>
  <c r="D108" i="82"/>
  <c r="E108" i="82" s="1"/>
  <c r="H106" i="82"/>
  <c r="I106" i="82" s="1"/>
  <c r="J106" i="82" s="1"/>
  <c r="K106" i="82" s="1"/>
  <c r="L106" i="82" s="1"/>
  <c r="M106" i="82" s="1"/>
  <c r="D106" i="82"/>
  <c r="E106" i="82" s="1"/>
  <c r="F106" i="82" s="1"/>
  <c r="G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H29" i="82" s="1"/>
  <c r="B92" i="82"/>
  <c r="M91" i="82"/>
  <c r="E91" i="82"/>
  <c r="F91" i="82" s="1"/>
  <c r="G91" i="82" s="1"/>
  <c r="H91" i="82" s="1"/>
  <c r="I91" i="82" s="1"/>
  <c r="J91" i="82" s="1"/>
  <c r="K91" i="82" s="1"/>
  <c r="L91" i="82" s="1"/>
  <c r="D91" i="82"/>
  <c r="B90" i="82"/>
  <c r="B88" i="82"/>
  <c r="E87" i="82"/>
  <c r="D87" i="82"/>
  <c r="G85" i="82"/>
  <c r="E85" i="82"/>
  <c r="F85" i="82" s="1"/>
  <c r="D85" i="82"/>
  <c r="E83" i="82"/>
  <c r="F83" i="82" s="1"/>
  <c r="G83" i="82" s="1"/>
  <c r="D83" i="82"/>
  <c r="G81" i="82"/>
  <c r="E81" i="82"/>
  <c r="F81" i="82" s="1"/>
  <c r="D81" i="82"/>
  <c r="E79" i="82"/>
  <c r="F79" i="82" s="1"/>
  <c r="G79" i="82" s="1"/>
  <c r="D79" i="82"/>
  <c r="D77" i="82"/>
  <c r="E77" i="82" s="1"/>
  <c r="B74" i="82"/>
  <c r="B72" i="82"/>
  <c r="B70" i="82"/>
  <c r="L69" i="82"/>
  <c r="M69" i="82" s="1"/>
  <c r="D69" i="82"/>
  <c r="E69" i="82" s="1"/>
  <c r="F69" i="82" s="1"/>
  <c r="G69" i="82" s="1"/>
  <c r="H69" i="82" s="1"/>
  <c r="I69" i="82" s="1"/>
  <c r="J69" i="82" s="1"/>
  <c r="K69" i="82" s="1"/>
  <c r="M67" i="82"/>
  <c r="L67" i="82"/>
  <c r="K67" i="82"/>
  <c r="J67" i="82"/>
  <c r="I67" i="82"/>
  <c r="H67" i="82"/>
  <c r="G67" i="82"/>
  <c r="F67" i="82"/>
  <c r="E67" i="82"/>
  <c r="D67" i="82"/>
  <c r="C67" i="82"/>
  <c r="I66" i="82"/>
  <c r="G66" i="82"/>
  <c r="H66" i="82" s="1"/>
  <c r="C63" i="82"/>
  <c r="J58" i="82"/>
  <c r="K58" i="82" s="1"/>
  <c r="L58" i="82" s="1"/>
  <c r="M58" i="82" s="1"/>
  <c r="N58" i="82" s="1"/>
  <c r="O58" i="82" s="1"/>
  <c r="P58" i="82" s="1"/>
  <c r="Q58" i="82" s="1"/>
  <c r="R58" i="82" s="1"/>
  <c r="P49" i="82"/>
  <c r="P48" i="82"/>
  <c r="K48" i="82"/>
  <c r="P47" i="82"/>
  <c r="I47" i="82"/>
  <c r="G47" i="82"/>
  <c r="E47" i="82"/>
  <c r="Z46" i="82"/>
  <c r="Q46" i="82"/>
  <c r="J46" i="82"/>
  <c r="AC46" i="82" s="1"/>
  <c r="H46" i="82"/>
  <c r="F46" i="82"/>
  <c r="AA46" i="82" s="1"/>
  <c r="Q45" i="82"/>
  <c r="Z45" i="82" s="1"/>
  <c r="F45" i="82"/>
  <c r="Q44" i="82"/>
  <c r="Z44" i="82" s="1"/>
  <c r="J44" i="82"/>
  <c r="AC44" i="82" s="1"/>
  <c r="H44" i="82"/>
  <c r="AB44" i="82" s="1"/>
  <c r="F44" i="82"/>
  <c r="AA44" i="82" s="1"/>
  <c r="AC43" i="82"/>
  <c r="W43" i="82"/>
  <c r="Q43" i="82"/>
  <c r="Z43" i="82" s="1"/>
  <c r="J43" i="82"/>
  <c r="H43" i="82"/>
  <c r="AB43" i="82" s="1"/>
  <c r="F43" i="82"/>
  <c r="AA43" i="82" s="1"/>
  <c r="AB42" i="82"/>
  <c r="U42" i="82"/>
  <c r="Q42" i="82"/>
  <c r="Z42" i="82" s="1"/>
  <c r="J42" i="82"/>
  <c r="AC42" i="82" s="1"/>
  <c r="H42" i="82"/>
  <c r="F42" i="82"/>
  <c r="AA42" i="82" s="1"/>
  <c r="AA41" i="82"/>
  <c r="Q41" i="82"/>
  <c r="Z41" i="82" s="1"/>
  <c r="J41" i="82"/>
  <c r="H41" i="82"/>
  <c r="AB41" i="82" s="1"/>
  <c r="F41" i="82"/>
  <c r="S41" i="82" s="1"/>
  <c r="Z40" i="82"/>
  <c r="Q40" i="82"/>
  <c r="J40" i="82"/>
  <c r="AC40" i="82" s="1"/>
  <c r="H40" i="82"/>
  <c r="F40" i="82"/>
  <c r="AA40" i="82" s="1"/>
  <c r="Q39" i="82"/>
  <c r="Z39" i="82" s="1"/>
  <c r="J39" i="82"/>
  <c r="AC39" i="82" s="1"/>
  <c r="H39" i="82"/>
  <c r="AB39" i="82" s="1"/>
  <c r="F39" i="82"/>
  <c r="S39" i="82" s="1"/>
  <c r="AB38" i="82"/>
  <c r="U38" i="82"/>
  <c r="Q38" i="82"/>
  <c r="Z38" i="82" s="1"/>
  <c r="J38" i="82"/>
  <c r="AC38" i="82" s="1"/>
  <c r="H38" i="82"/>
  <c r="F38" i="82"/>
  <c r="AA38" i="82" s="1"/>
  <c r="Q37" i="82"/>
  <c r="Z37" i="82" s="1"/>
  <c r="J37" i="82"/>
  <c r="H37" i="82"/>
  <c r="AB37" i="82" s="1"/>
  <c r="F37" i="82"/>
  <c r="AA37" i="82" s="1"/>
  <c r="Z36" i="82"/>
  <c r="Q36" i="82"/>
  <c r="AC35" i="82"/>
  <c r="W35" i="82"/>
  <c r="Q35" i="82"/>
  <c r="Z35" i="82" s="1"/>
  <c r="J35" i="82"/>
  <c r="H35" i="82"/>
  <c r="AB35" i="82" s="1"/>
  <c r="F35" i="82"/>
  <c r="S35" i="82" s="1"/>
  <c r="AB34" i="82"/>
  <c r="U34" i="82"/>
  <c r="Q34" i="82"/>
  <c r="Z34" i="82" s="1"/>
  <c r="J34" i="82"/>
  <c r="AC34" i="82" s="1"/>
  <c r="H34" i="82"/>
  <c r="F34" i="82"/>
  <c r="AA34" i="82" s="1"/>
  <c r="Q33" i="82"/>
  <c r="Z33" i="82" s="1"/>
  <c r="C33" i="82"/>
  <c r="H33" i="82" s="1"/>
  <c r="Z32" i="82"/>
  <c r="Q32" i="82"/>
  <c r="J32" i="82"/>
  <c r="AC32" i="82" s="1"/>
  <c r="H32" i="82"/>
  <c r="F32" i="82"/>
  <c r="AA32" i="82" s="1"/>
  <c r="Q31" i="82"/>
  <c r="Z31" i="82" s="1"/>
  <c r="F31" i="82"/>
  <c r="Q30" i="82"/>
  <c r="Z30" i="82" s="1"/>
  <c r="J30" i="82"/>
  <c r="AC30" i="82" s="1"/>
  <c r="H30" i="82"/>
  <c r="F30" i="82"/>
  <c r="AA30" i="82" s="1"/>
  <c r="Q29" i="82"/>
  <c r="Z29" i="82" s="1"/>
  <c r="F29" i="82"/>
  <c r="Z28" i="82"/>
  <c r="Q28" i="82"/>
  <c r="J28" i="82"/>
  <c r="AC28" i="82" s="1"/>
  <c r="H28" i="82"/>
  <c r="F28" i="82"/>
  <c r="AA28" i="82" s="1"/>
  <c r="Q27" i="82"/>
  <c r="Z27" i="82" s="1"/>
  <c r="F27" i="82"/>
  <c r="Q26" i="82"/>
  <c r="Z26" i="82" s="1"/>
  <c r="J26" i="82"/>
  <c r="AC26" i="82" s="1"/>
  <c r="H26" i="82"/>
  <c r="F26" i="82"/>
  <c r="AA26" i="82" s="1"/>
  <c r="Q25" i="82"/>
  <c r="Z25" i="82" s="1"/>
  <c r="Z23" i="82"/>
  <c r="U23" i="82"/>
  <c r="Q23" i="82"/>
  <c r="J23" i="82"/>
  <c r="H23" i="82"/>
  <c r="AB23" i="82" s="1"/>
  <c r="F23" i="82"/>
  <c r="AA23" i="82" s="1"/>
  <c r="AA21" i="82"/>
  <c r="Q21" i="82"/>
  <c r="Z21" i="82" s="1"/>
  <c r="J21" i="82"/>
  <c r="AC21" i="82" s="1"/>
  <c r="H21" i="82"/>
  <c r="AB21" i="82" s="1"/>
  <c r="F21" i="82"/>
  <c r="S21" i="82" s="1"/>
  <c r="AC19" i="82"/>
  <c r="W19" i="82"/>
  <c r="Q19" i="82"/>
  <c r="Z19" i="82" s="1"/>
  <c r="J19" i="82"/>
  <c r="H19" i="82"/>
  <c r="AB19" i="82" s="1"/>
  <c r="F19" i="82"/>
  <c r="S19" i="82" s="1"/>
  <c r="Q17" i="82"/>
  <c r="Z17" i="82" s="1"/>
  <c r="J17" i="82"/>
  <c r="W17" i="82" s="1"/>
  <c r="H17" i="82"/>
  <c r="AB17" i="82" s="1"/>
  <c r="F17" i="82"/>
  <c r="S17" i="82" s="1"/>
  <c r="Q15" i="82"/>
  <c r="Z15" i="82" s="1"/>
  <c r="J15" i="82"/>
  <c r="W15" i="82" s="1"/>
  <c r="F15" i="82"/>
  <c r="S15" i="82" s="1"/>
  <c r="AB14" i="82"/>
  <c r="Q14" i="82"/>
  <c r="Z14" i="82" s="1"/>
  <c r="J14" i="82"/>
  <c r="W14" i="82" s="1"/>
  <c r="H14" i="82"/>
  <c r="U14" i="82" s="1"/>
  <c r="F14" i="82"/>
  <c r="AA14" i="82" s="1"/>
  <c r="AA13" i="82"/>
  <c r="Q13" i="82"/>
  <c r="Z13" i="82" s="1"/>
  <c r="J13" i="82"/>
  <c r="AC13" i="82" s="1"/>
  <c r="H13" i="82"/>
  <c r="AB13" i="82" s="1"/>
  <c r="F13" i="82"/>
  <c r="S13" i="82" s="1"/>
  <c r="AC12" i="82"/>
  <c r="Z12" i="82"/>
  <c r="Q12" i="82"/>
  <c r="J12" i="82"/>
  <c r="W12" i="82" s="1"/>
  <c r="H12" i="82"/>
  <c r="AB12" i="82" s="1"/>
  <c r="F12" i="82"/>
  <c r="S12" i="82" s="1"/>
  <c r="W11" i="82"/>
  <c r="Q11" i="82"/>
  <c r="Z11" i="82" s="1"/>
  <c r="J11" i="82"/>
  <c r="AC11" i="82" s="1"/>
  <c r="H11" i="82"/>
  <c r="U11" i="82" s="1"/>
  <c r="F11" i="82"/>
  <c r="AA11" i="82" s="1"/>
  <c r="AC10" i="82"/>
  <c r="AA10" i="82"/>
  <c r="Q10" i="82"/>
  <c r="Z10" i="82" s="1"/>
  <c r="J10" i="82"/>
  <c r="W10" i="82" s="1"/>
  <c r="H10" i="82"/>
  <c r="AB10" i="82" s="1"/>
  <c r="F10" i="82"/>
  <c r="S10" i="82" s="1"/>
  <c r="AB9" i="82"/>
  <c r="Z9" i="82"/>
  <c r="Q9" i="82"/>
  <c r="J9" i="82"/>
  <c r="AC9" i="82" s="1"/>
  <c r="H9" i="82"/>
  <c r="U9" i="82" s="1"/>
  <c r="F9" i="82"/>
  <c r="S9" i="82" s="1"/>
  <c r="AA8" i="82"/>
  <c r="W8" i="82"/>
  <c r="U8" i="82"/>
  <c r="J8" i="82"/>
  <c r="AC8" i="82" s="1"/>
  <c r="H8" i="82"/>
  <c r="AB8" i="82" s="1"/>
  <c r="F8" i="82"/>
  <c r="S8" i="82" s="1"/>
  <c r="C7" i="82"/>
  <c r="C58" i="82" s="1"/>
  <c r="D58" i="82" s="1"/>
  <c r="E58" i="82" s="1"/>
  <c r="F58" i="82" s="1"/>
  <c r="G58" i="82" s="1"/>
  <c r="H58" i="82" s="1"/>
  <c r="I58" i="82" s="1"/>
  <c r="I112" i="81"/>
  <c r="P91" i="81"/>
  <c r="O91" i="81"/>
  <c r="N91" i="81"/>
  <c r="M91" i="81"/>
  <c r="S86" i="81"/>
  <c r="R86" i="81"/>
  <c r="P85" i="81"/>
  <c r="S83" i="81"/>
  <c r="M83" i="81" s="1"/>
  <c r="P83" i="81"/>
  <c r="N83" i="81"/>
  <c r="P77" i="81"/>
  <c r="N77" i="81"/>
  <c r="P75" i="81"/>
  <c r="P73" i="81"/>
  <c r="N73" i="81"/>
  <c r="D2" i="82"/>
  <c r="F77" i="82" l="1"/>
  <c r="G77" i="82" s="1"/>
  <c r="H15" i="82"/>
  <c r="AB15" i="82" s="1"/>
  <c r="AA15" i="82"/>
  <c r="AC15" i="82"/>
  <c r="W39" i="82"/>
  <c r="AB33" i="82"/>
  <c r="U33" i="82"/>
  <c r="S58" i="82"/>
  <c r="T58" i="82" s="1"/>
  <c r="U58" i="82" s="1"/>
  <c r="V58" i="82" s="1"/>
  <c r="W58" i="82" s="1"/>
  <c r="X58" i="82" s="1"/>
  <c r="Y58" i="82" s="1"/>
  <c r="Z58" i="82" s="1"/>
  <c r="AA58" i="82" s="1"/>
  <c r="AB58" i="82" s="1"/>
  <c r="J7" i="82"/>
  <c r="F7" i="82"/>
  <c r="H7" i="82"/>
  <c r="U10" i="82"/>
  <c r="AB11" i="82"/>
  <c r="U13" i="82"/>
  <c r="S14" i="82"/>
  <c r="AA17" i="82"/>
  <c r="U26" i="82"/>
  <c r="AB26" i="82"/>
  <c r="AA27" i="82"/>
  <c r="S27" i="82"/>
  <c r="I54" i="82"/>
  <c r="J54" i="82" s="1"/>
  <c r="V47" i="82"/>
  <c r="H31" i="82"/>
  <c r="J31" i="82"/>
  <c r="AA9" i="82"/>
  <c r="AA12" i="82"/>
  <c r="AC14" i="82"/>
  <c r="AC17" i="82"/>
  <c r="AA19" i="82"/>
  <c r="W21" i="82"/>
  <c r="AB28" i="82"/>
  <c r="U28" i="82"/>
  <c r="S29" i="82"/>
  <c r="AA29" i="82"/>
  <c r="F33" i="82"/>
  <c r="J33" i="82"/>
  <c r="AC37" i="82"/>
  <c r="W37" i="82"/>
  <c r="U40" i="82"/>
  <c r="AB40" i="82"/>
  <c r="U30" i="82"/>
  <c r="AB30" i="82"/>
  <c r="AA31" i="82"/>
  <c r="S31" i="82"/>
  <c r="S45" i="82"/>
  <c r="AA45" i="82"/>
  <c r="U46" i="82"/>
  <c r="AB46" i="82"/>
  <c r="H25" i="82"/>
  <c r="F87" i="82"/>
  <c r="G87" i="82" s="1"/>
  <c r="H87" i="82" s="1"/>
  <c r="I87" i="82" s="1"/>
  <c r="J87" i="82" s="1"/>
  <c r="K87" i="82" s="1"/>
  <c r="L87" i="82" s="1"/>
  <c r="M87" i="82" s="1"/>
  <c r="J25" i="82"/>
  <c r="AC23" i="82"/>
  <c r="W23" i="82"/>
  <c r="F25" i="82"/>
  <c r="AB32" i="82"/>
  <c r="U32" i="82"/>
  <c r="S37" i="82"/>
  <c r="W41" i="82"/>
  <c r="AC41" i="82"/>
  <c r="U17" i="82"/>
  <c r="U19" i="82"/>
  <c r="U21" i="82"/>
  <c r="J29" i="82"/>
  <c r="AA35" i="82"/>
  <c r="AA39" i="82"/>
  <c r="S43" i="82"/>
  <c r="U44" i="82"/>
  <c r="J45" i="82"/>
  <c r="E54" i="82"/>
  <c r="F54" i="82" s="1"/>
  <c r="R47" i="82"/>
  <c r="H27" i="82"/>
  <c r="AB29" i="82"/>
  <c r="U29" i="82"/>
  <c r="F36" i="82"/>
  <c r="J36" i="82"/>
  <c r="AB45" i="82"/>
  <c r="U45" i="82"/>
  <c r="W9" i="82"/>
  <c r="S11" i="82"/>
  <c r="U12" i="82"/>
  <c r="W13" i="82"/>
  <c r="J27" i="82"/>
  <c r="H36" i="82"/>
  <c r="G54" i="82"/>
  <c r="H54" i="82" s="1"/>
  <c r="G111" i="82"/>
  <c r="H111" i="82" s="1"/>
  <c r="I111" i="82" s="1"/>
  <c r="J111" i="82" s="1"/>
  <c r="K111" i="82" s="1"/>
  <c r="L111" i="82" s="1"/>
  <c r="M111" i="82" s="1"/>
  <c r="S26" i="82"/>
  <c r="W28" i="82"/>
  <c r="S30" i="82"/>
  <c r="W32" i="82"/>
  <c r="S34" i="82"/>
  <c r="U35" i="82"/>
  <c r="S38" i="82"/>
  <c r="U39" i="82"/>
  <c r="W40" i="82"/>
  <c r="S42" i="82"/>
  <c r="U43" i="82"/>
  <c r="W44" i="82"/>
  <c r="S46" i="82"/>
  <c r="T47" i="82"/>
  <c r="S23" i="82"/>
  <c r="W26" i="82"/>
  <c r="S28" i="82"/>
  <c r="W30" i="82"/>
  <c r="S32" i="82"/>
  <c r="W34" i="82"/>
  <c r="U37" i="82"/>
  <c r="W38" i="82"/>
  <c r="S40" i="82"/>
  <c r="U41" i="82"/>
  <c r="W42" i="82"/>
  <c r="S44" i="82"/>
  <c r="W46" i="82"/>
  <c r="Q72" i="80"/>
  <c r="Q59" i="80"/>
  <c r="K59" i="80"/>
  <c r="P74" i="80" s="1"/>
  <c r="F59" i="80"/>
  <c r="Q58" i="80"/>
  <c r="Q51" i="80"/>
  <c r="J50" i="80"/>
  <c r="M47" i="80"/>
  <c r="D46" i="80"/>
  <c r="F33" i="80"/>
  <c r="F61" i="80" s="1"/>
  <c r="F31" i="80"/>
  <c r="F23" i="80"/>
  <c r="D24" i="80" s="1"/>
  <c r="F21" i="80"/>
  <c r="F20" i="80"/>
  <c r="M19" i="80"/>
  <c r="F18" i="80"/>
  <c r="M17" i="80"/>
  <c r="F17" i="80"/>
  <c r="F15" i="80"/>
  <c r="U15" i="82" l="1"/>
  <c r="AC27" i="82"/>
  <c r="W27" i="82"/>
  <c r="AA36" i="82"/>
  <c r="S36" i="82"/>
  <c r="W29" i="82"/>
  <c r="AC29" i="82"/>
  <c r="AC25" i="82"/>
  <c r="W25" i="82"/>
  <c r="S33" i="82"/>
  <c r="AA33" i="82"/>
  <c r="AB31" i="82"/>
  <c r="U31" i="82"/>
  <c r="AC7" i="82"/>
  <c r="W7" i="82"/>
  <c r="S25" i="82"/>
  <c r="AA25" i="82"/>
  <c r="AB25" i="82"/>
  <c r="U25" i="82"/>
  <c r="U7" i="82"/>
  <c r="AB7" i="82"/>
  <c r="T48" i="82" s="1"/>
  <c r="G48" i="82" s="1"/>
  <c r="AB36" i="82"/>
  <c r="U36" i="82"/>
  <c r="AC36" i="82"/>
  <c r="W36" i="82"/>
  <c r="AB27" i="82"/>
  <c r="U27" i="82"/>
  <c r="AC45" i="82"/>
  <c r="W45" i="82"/>
  <c r="AC33" i="82"/>
  <c r="W33" i="82"/>
  <c r="AC31" i="82"/>
  <c r="V48" i="82" s="1"/>
  <c r="I48" i="82" s="1"/>
  <c r="W31" i="82"/>
  <c r="S7" i="82"/>
  <c r="AA7" i="82"/>
  <c r="R48" i="82" s="1"/>
  <c r="D22" i="80"/>
  <c r="D23" i="80"/>
  <c r="P61" i="80"/>
  <c r="I52" i="82" l="1"/>
  <c r="J52" i="82" s="1"/>
  <c r="G53" i="82"/>
  <c r="H53" i="82" s="1"/>
  <c r="G52" i="82"/>
  <c r="H52" i="82" s="1"/>
  <c r="R49" i="82"/>
  <c r="E48" i="82"/>
  <c r="D3" i="31"/>
  <c r="E3" i="31"/>
  <c r="F3" i="31"/>
  <c r="G3" i="31"/>
  <c r="H3" i="31"/>
  <c r="I3" i="31"/>
  <c r="J3" i="31"/>
  <c r="D4" i="31"/>
  <c r="E4" i="31"/>
  <c r="F4" i="31"/>
  <c r="G4" i="31"/>
  <c r="H4" i="31"/>
  <c r="I4" i="31"/>
  <c r="J4" i="31"/>
  <c r="C4" i="31"/>
  <c r="C3" i="31"/>
  <c r="I47" i="33"/>
  <c r="G47" i="33"/>
  <c r="E47" i="33"/>
  <c r="I33" i="33"/>
  <c r="G33" i="33"/>
  <c r="E33" i="33"/>
  <c r="I5" i="33"/>
  <c r="G5" i="33"/>
  <c r="E5" i="33"/>
  <c r="J157" i="79"/>
  <c r="J156" i="79"/>
  <c r="E53" i="82" l="1"/>
  <c r="F53" i="82" s="1"/>
  <c r="E52" i="82"/>
  <c r="F52" i="82" s="1"/>
  <c r="C48" i="82"/>
  <c r="C49" i="82"/>
  <c r="I53" i="82"/>
  <c r="J53" i="82" s="1"/>
  <c r="A25" i="31"/>
  <c r="A26" i="31"/>
  <c r="A27" i="31"/>
  <c r="A28" i="31"/>
  <c r="A29" i="31"/>
  <c r="A24" i="31"/>
  <c r="N11" i="68"/>
  <c r="N12" i="68"/>
  <c r="N13" i="68"/>
  <c r="N14" i="68"/>
  <c r="N15" i="68"/>
  <c r="N16" i="68"/>
  <c r="N17" i="68"/>
  <c r="N18" i="68"/>
  <c r="B3" i="82" l="1"/>
  <c r="B2" i="82"/>
  <c r="U23" i="1"/>
  <c r="U24" i="1"/>
  <c r="U25" i="1"/>
  <c r="U26" i="1"/>
  <c r="U22" i="1"/>
  <c r="V26" i="1" l="1"/>
  <c r="S26" i="1"/>
  <c r="N22" i="1"/>
  <c r="N6" i="1" s="1"/>
  <c r="Y6" i="1" s="1"/>
  <c r="F8" i="78"/>
  <c r="E8" i="78"/>
  <c r="M13" i="3" s="1"/>
  <c r="D8" i="78"/>
  <c r="E7" i="78"/>
  <c r="D7" i="78"/>
  <c r="S25" i="1" s="1"/>
  <c r="V25" i="1" s="1"/>
  <c r="D6" i="78"/>
  <c r="C51" i="78"/>
  <c r="C8" i="78" s="1"/>
  <c r="C89" i="78"/>
  <c r="C7" i="78" s="1"/>
  <c r="C133" i="78"/>
  <c r="C3" i="78" s="1"/>
  <c r="I13" i="3" s="1"/>
  <c r="F19" i="6" s="1"/>
  <c r="C176" i="78"/>
  <c r="C4" i="78" s="1"/>
  <c r="C9" i="78" s="1"/>
  <c r="C218" i="78"/>
  <c r="C5" i="78" s="1"/>
  <c r="D5" i="78" s="1"/>
  <c r="C232" i="78"/>
  <c r="C6" i="78" s="1"/>
  <c r="E11" i="78"/>
  <c r="I5" i="78" l="1"/>
  <c r="B26" i="31"/>
  <c r="L7" i="68"/>
  <c r="N7" i="68" s="1"/>
  <c r="S23" i="1"/>
  <c r="V23" i="1" s="1"/>
  <c r="D3" i="78"/>
  <c r="D4" i="78"/>
  <c r="I6" i="78"/>
  <c r="B27" i="31"/>
  <c r="L8" i="68"/>
  <c r="N8" i="68" s="1"/>
  <c r="I7" i="78"/>
  <c r="B28" i="31"/>
  <c r="L9" i="68"/>
  <c r="N9" i="68" s="1"/>
  <c r="B30" i="31"/>
  <c r="L19" i="68"/>
  <c r="N19" i="68" s="1"/>
  <c r="I8" i="78"/>
  <c r="B29" i="31"/>
  <c r="L10" i="68"/>
  <c r="N10" i="68" s="1"/>
  <c r="K13" i="3"/>
  <c r="G19" i="6" s="1"/>
  <c r="S24" i="1"/>
  <c r="V24" i="1" s="1"/>
  <c r="G15" i="73"/>
  <c r="F15" i="73"/>
  <c r="E15" i="73"/>
  <c r="I4" i="78" l="1"/>
  <c r="B25" i="31"/>
  <c r="L6" i="68"/>
  <c r="N6" i="68" s="1"/>
  <c r="S22" i="1"/>
  <c r="V22" i="1" s="1"/>
  <c r="I3" i="78"/>
  <c r="I9" i="78" s="1"/>
  <c r="J3" i="78" s="1"/>
  <c r="B24" i="31"/>
  <c r="C33" i="33" s="1"/>
  <c r="L5" i="68"/>
  <c r="N5" i="68" s="1"/>
  <c r="N20" i="68" s="1"/>
  <c r="C6" i="68" s="1"/>
  <c r="S21" i="1"/>
  <c r="G16" i="73"/>
  <c r="F16" i="73"/>
  <c r="E16" i="73"/>
  <c r="V21" i="1" l="1"/>
  <c r="V27" i="1" s="1"/>
  <c r="S27" i="1"/>
  <c r="J7" i="78"/>
  <c r="J8" i="78"/>
  <c r="J5" i="78"/>
  <c r="J4" i="78"/>
  <c r="J6" i="78"/>
  <c r="G13" i="73"/>
  <c r="F13" i="73"/>
  <c r="E13" i="73"/>
  <c r="U27" i="1"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s="1"/>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3" i="71" s="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X16" i="71" s="1"/>
  <c r="L3" i="71"/>
  <c r="AH3" i="71" s="1"/>
  <c r="K3" i="71"/>
  <c r="AG3" i="71" s="1"/>
  <c r="J3" i="71"/>
  <c r="AE3" i="71" s="1"/>
  <c r="I3" i="71"/>
  <c r="AH18" i="71"/>
  <c r="AG18" i="71"/>
  <c r="AE18" i="71"/>
  <c r="AF18" i="71" s="1"/>
  <c r="AD18" i="71"/>
  <c r="Q18" i="71"/>
  <c r="Q19" i="71"/>
  <c r="P18" i="71"/>
  <c r="P19" i="71"/>
  <c r="AA16" i="71" s="1"/>
  <c r="O18" i="71"/>
  <c r="O19" i="71"/>
  <c r="N18" i="71"/>
  <c r="N19" i="71"/>
  <c r="N20" i="71"/>
  <c r="AH19" i="71"/>
  <c r="AG19" i="71"/>
  <c r="AE19" i="71"/>
  <c r="AF19" i="71" s="1"/>
  <c r="AD19" i="71"/>
  <c r="Q20" i="71"/>
  <c r="P20" i="71"/>
  <c r="O20" i="71"/>
  <c r="Y16" i="71" s="1"/>
  <c r="Z16" i="71" s="1"/>
  <c r="M19" i="43"/>
  <c r="D22" i="71"/>
  <c r="AH20" i="71"/>
  <c r="AG20" i="71"/>
  <c r="AE20" i="71"/>
  <c r="AF20" i="71"/>
  <c r="AD20" i="71"/>
  <c r="AD21" i="71"/>
  <c r="AG21" i="71"/>
  <c r="AH21" i="71"/>
  <c r="AE21" i="71"/>
  <c r="AF21" i="71" s="1"/>
  <c r="N21" i="71"/>
  <c r="Q21" i="71"/>
  <c r="P21" i="71"/>
  <c r="O21" i="71"/>
  <c r="C21" i="71" s="1"/>
  <c r="Q22" i="71"/>
  <c r="AB19" i="71" s="1"/>
  <c r="F21" i="71"/>
  <c r="P22" i="71"/>
  <c r="O22" i="71"/>
  <c r="N22" i="71"/>
  <c r="A2" i="53"/>
  <c r="B19" i="72" s="1"/>
  <c r="K59" i="67"/>
  <c r="K59" i="15"/>
  <c r="P61" i="15" s="1"/>
  <c r="D115" i="39"/>
  <c r="E115" i="39"/>
  <c r="F115" i="39"/>
  <c r="G115" i="39"/>
  <c r="H115" i="39"/>
  <c r="I115" i="39"/>
  <c r="J115" i="39"/>
  <c r="K115" i="39"/>
  <c r="L115" i="39"/>
  <c r="M115" i="39"/>
  <c r="C115" i="39"/>
  <c r="A21" i="62"/>
  <c r="B67" i="72" s="1"/>
  <c r="A20" i="62"/>
  <c r="B66" i="72" s="1"/>
  <c r="A22" i="51"/>
  <c r="B17" i="72" s="1"/>
  <c r="A21" i="51"/>
  <c r="B16" i="72" s="1"/>
  <c r="A20" i="51"/>
  <c r="B15" i="72" s="1"/>
  <c r="A15" i="62"/>
  <c r="B61" i="72" s="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H9" i="43"/>
  <c r="AH10" i="43" s="1"/>
  <c r="AH12" i="43"/>
  <c r="AG9" i="43"/>
  <c r="AG12" i="43" s="1"/>
  <c r="AF9" i="43"/>
  <c r="AE9" i="43"/>
  <c r="AE12" i="43" s="1"/>
  <c r="AD9" i="43"/>
  <c r="AC9" i="43"/>
  <c r="AB9" i="43"/>
  <c r="AB10" i="43" s="1"/>
  <c r="AB12" i="43"/>
  <c r="AA9" i="43"/>
  <c r="Z9" i="43"/>
  <c r="AE10" i="43"/>
  <c r="K49" i="9"/>
  <c r="E107" i="9"/>
  <c r="A122" i="9" s="1"/>
  <c r="A8" i="52" s="1"/>
  <c r="B54" i="72" s="1"/>
  <c r="E111" i="9"/>
  <c r="A126" i="9"/>
  <c r="A12" i="52" s="1"/>
  <c r="B56" i="72" s="1"/>
  <c r="E109" i="9"/>
  <c r="B16" i="53" s="1"/>
  <c r="B33" i="72" s="1"/>
  <c r="A124" i="9"/>
  <c r="A10" i="52" s="1"/>
  <c r="B55" i="72" s="1"/>
  <c r="B44" i="72"/>
  <c r="B42" i="72"/>
  <c r="B69" i="72"/>
  <c r="B68" i="72"/>
  <c r="B63" i="72"/>
  <c r="B62" i="72"/>
  <c r="B60" i="72"/>
  <c r="B10" i="72"/>
  <c r="C53" i="10"/>
  <c r="B51" i="10"/>
  <c r="A18" i="51"/>
  <c r="B13" i="72" s="1"/>
  <c r="B49" i="48"/>
  <c r="B5" i="72" s="1"/>
  <c r="I19" i="43"/>
  <c r="D86" i="71"/>
  <c r="F85" i="71"/>
  <c r="F84" i="71" s="1"/>
  <c r="F83" i="71" s="1"/>
  <c r="E85" i="71"/>
  <c r="E84" i="71" s="1"/>
  <c r="E83" i="71" s="1"/>
  <c r="C85" i="71"/>
  <c r="B85" i="71"/>
  <c r="B84" i="71" s="1"/>
  <c r="B83" i="71" s="1"/>
  <c r="D82" i="71"/>
  <c r="F81" i="71"/>
  <c r="E81" i="71"/>
  <c r="E80" i="71" s="1"/>
  <c r="E79" i="71" s="1"/>
  <c r="C81" i="71"/>
  <c r="D81" i="71" s="1"/>
  <c r="B81" i="71"/>
  <c r="B80" i="71" s="1"/>
  <c r="B79" i="71" s="1"/>
  <c r="F80" i="71"/>
  <c r="F79" i="71" s="1"/>
  <c r="D78" i="71"/>
  <c r="Q77" i="71"/>
  <c r="P77" i="71"/>
  <c r="O77" i="71"/>
  <c r="N77" i="71"/>
  <c r="F77" i="71"/>
  <c r="E77" i="71"/>
  <c r="U77" i="71"/>
  <c r="C77" i="71"/>
  <c r="T77" i="71" s="1"/>
  <c r="B77" i="71"/>
  <c r="Q76" i="71"/>
  <c r="P76" i="71"/>
  <c r="O76" i="71"/>
  <c r="N76" i="71"/>
  <c r="Q75" i="71"/>
  <c r="P75" i="71"/>
  <c r="O75" i="71"/>
  <c r="N75" i="71"/>
  <c r="Q74" i="71"/>
  <c r="P74" i="71"/>
  <c r="O74" i="71"/>
  <c r="N74" i="71"/>
  <c r="D74" i="71"/>
  <c r="Q73" i="71"/>
  <c r="P73" i="71"/>
  <c r="O73" i="71"/>
  <c r="N73" i="71"/>
  <c r="F73" i="71"/>
  <c r="V73" i="71" s="1"/>
  <c r="E73" i="71"/>
  <c r="C73" i="71"/>
  <c r="T73" i="71"/>
  <c r="B73" i="71"/>
  <c r="Q72" i="71"/>
  <c r="P72" i="71"/>
  <c r="O72" i="71"/>
  <c r="N72" i="71"/>
  <c r="F72" i="71"/>
  <c r="F71" i="71" s="1"/>
  <c r="Q71" i="71"/>
  <c r="P71" i="71"/>
  <c r="O71" i="71"/>
  <c r="N71" i="71"/>
  <c r="Q70" i="71"/>
  <c r="P70" i="71"/>
  <c r="O70" i="71"/>
  <c r="N70" i="71"/>
  <c r="D70" i="71"/>
  <c r="Q69" i="71"/>
  <c r="P69" i="71"/>
  <c r="O69" i="71"/>
  <c r="N69" i="71"/>
  <c r="F69" i="71"/>
  <c r="F68" i="71" s="1"/>
  <c r="F67" i="71" s="1"/>
  <c r="V69" i="71"/>
  <c r="E69" i="71"/>
  <c r="U69" i="71" s="1"/>
  <c r="C69" i="71"/>
  <c r="B69" i="71"/>
  <c r="Q68" i="71"/>
  <c r="P68" i="71"/>
  <c r="O68" i="71"/>
  <c r="N68" i="71"/>
  <c r="Q67" i="71"/>
  <c r="P67" i="71"/>
  <c r="O67" i="71"/>
  <c r="N67" i="71"/>
  <c r="Q66" i="71"/>
  <c r="P66" i="71"/>
  <c r="O66" i="71"/>
  <c r="N66" i="71"/>
  <c r="D66" i="71"/>
  <c r="F65" i="71"/>
  <c r="E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c r="F56" i="71" s="1"/>
  <c r="F57" i="71" s="1"/>
  <c r="V57" i="71" s="1"/>
  <c r="P54" i="71"/>
  <c r="E55" i="71"/>
  <c r="E56" i="71" s="1"/>
  <c r="E57" i="71" s="1"/>
  <c r="U57" i="71" s="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B52" i="71" s="1"/>
  <c r="B53" i="71" s="1"/>
  <c r="S53" i="71" s="1"/>
  <c r="D50" i="71"/>
  <c r="Q49" i="71"/>
  <c r="P49" i="71"/>
  <c r="O49" i="71"/>
  <c r="N49" i="71"/>
  <c r="Q48" i="71"/>
  <c r="P48" i="71"/>
  <c r="O48" i="71"/>
  <c r="N48" i="71"/>
  <c r="Q47" i="71"/>
  <c r="P47" i="71"/>
  <c r="O47" i="71"/>
  <c r="C48" i="71" s="1"/>
  <c r="N47" i="71"/>
  <c r="Q46" i="71"/>
  <c r="F47" i="71" s="1"/>
  <c r="F48" i="71" s="1"/>
  <c r="F49" i="71" s="1"/>
  <c r="V49" i="71" s="1"/>
  <c r="P46" i="71"/>
  <c r="E47" i="7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F44" i="71"/>
  <c r="F45" i="71" s="1"/>
  <c r="V45" i="71"/>
  <c r="Q42" i="71"/>
  <c r="F43" i="71" s="1"/>
  <c r="P42" i="71"/>
  <c r="E43" i="71" s="1"/>
  <c r="E44" i="71" s="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s="1"/>
  <c r="S41" i="71" s="1"/>
  <c r="D38" i="71"/>
  <c r="Q37" i="71"/>
  <c r="P37" i="71"/>
  <c r="O37" i="71"/>
  <c r="N37" i="71"/>
  <c r="Q36" i="71"/>
  <c r="P36" i="71"/>
  <c r="AA36" i="71"/>
  <c r="O36" i="71"/>
  <c r="Y36" i="71"/>
  <c r="Z36" i="71" s="1"/>
  <c r="N36" i="71"/>
  <c r="X35" i="71" s="1"/>
  <c r="Q35" i="71"/>
  <c r="P35" i="71"/>
  <c r="O35" i="71"/>
  <c r="Y35" i="71" s="1"/>
  <c r="Z35" i="71"/>
  <c r="N35" i="71"/>
  <c r="Q34" i="71"/>
  <c r="F35" i="71" s="1"/>
  <c r="P34" i="71"/>
  <c r="O34" i="71"/>
  <c r="N34" i="71"/>
  <c r="D34" i="71"/>
  <c r="Q33" i="71"/>
  <c r="P33" i="71"/>
  <c r="AA33" i="71" s="1"/>
  <c r="O33" i="71"/>
  <c r="N33" i="71"/>
  <c r="X33" i="71" s="1"/>
  <c r="Q32" i="71"/>
  <c r="P32" i="71"/>
  <c r="AA32" i="71" s="1"/>
  <c r="O32" i="71"/>
  <c r="N32" i="71"/>
  <c r="X32" i="71" s="1"/>
  <c r="Q31" i="71"/>
  <c r="P31" i="71"/>
  <c r="O31" i="71"/>
  <c r="N31" i="71"/>
  <c r="Q30" i="71"/>
  <c r="F31" i="71" s="1"/>
  <c r="F32" i="71" s="1"/>
  <c r="F33" i="71" s="1"/>
  <c r="V33" i="71" s="1"/>
  <c r="P30" i="71"/>
  <c r="O30" i="71"/>
  <c r="C31" i="71" s="1"/>
  <c r="D31" i="71" s="1"/>
  <c r="N30" i="71"/>
  <c r="D30" i="71"/>
  <c r="Q29" i="71"/>
  <c r="P29" i="71"/>
  <c r="O29" i="71"/>
  <c r="N29" i="71"/>
  <c r="Q28" i="71"/>
  <c r="P28" i="71"/>
  <c r="O28" i="71"/>
  <c r="N28" i="71"/>
  <c r="Q27" i="71"/>
  <c r="P27" i="71"/>
  <c r="O27" i="71"/>
  <c r="N27" i="71"/>
  <c r="Q26" i="71"/>
  <c r="F27" i="71" s="1"/>
  <c r="P26" i="71"/>
  <c r="E27" i="71" s="1"/>
  <c r="O26" i="71"/>
  <c r="C27" i="71" s="1"/>
  <c r="N26" i="71"/>
  <c r="D26" i="71"/>
  <c r="O25" i="71"/>
  <c r="C25" i="71" s="1"/>
  <c r="N25" i="71"/>
  <c r="B27" i="71"/>
  <c r="B31" i="71"/>
  <c r="E35" i="71"/>
  <c r="E36" i="71" s="1"/>
  <c r="E37" i="71" s="1"/>
  <c r="U37" i="71" s="1"/>
  <c r="AA34" i="71"/>
  <c r="Y26" i="71"/>
  <c r="Z26" i="71" s="1"/>
  <c r="C32" i="71"/>
  <c r="C35" i="71"/>
  <c r="AA35" i="71"/>
  <c r="Y25" i="71"/>
  <c r="Z25" i="71" s="1"/>
  <c r="D39" i="71"/>
  <c r="P25" i="71"/>
  <c r="E25" i="71" s="1"/>
  <c r="V25" i="71" s="1"/>
  <c r="U53" i="71"/>
  <c r="E60" i="71"/>
  <c r="E61" i="71" s="1"/>
  <c r="U61" i="71" s="1"/>
  <c r="E64" i="71"/>
  <c r="E63" i="71" s="1"/>
  <c r="Q25" i="71"/>
  <c r="D65" i="71"/>
  <c r="E68" i="71"/>
  <c r="E67" i="71"/>
  <c r="C72" i="71"/>
  <c r="C71" i="71" s="1"/>
  <c r="D71" i="71" s="1"/>
  <c r="D73" i="71"/>
  <c r="E76" i="71"/>
  <c r="E75" i="71" s="1"/>
  <c r="D77" i="71"/>
  <c r="F25" i="71"/>
  <c r="F24" i="71"/>
  <c r="F23" i="71" s="1"/>
  <c r="D72" i="71"/>
  <c r="P64"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D81" i="21"/>
  <c r="G20" i="20"/>
  <c r="B86" i="43"/>
  <c r="C22" i="20"/>
  <c r="C25" i="40"/>
  <c r="S18" i="36"/>
  <c r="U18" i="36"/>
  <c r="H25" i="40"/>
  <c r="AB25" i="40" s="1"/>
  <c r="J25" i="40"/>
  <c r="H29" i="39"/>
  <c r="AB29" i="39" s="1"/>
  <c r="J29" i="39"/>
  <c r="AC29" i="39" s="1"/>
  <c r="J18" i="36"/>
  <c r="W18" i="36" s="1"/>
  <c r="H18" i="35"/>
  <c r="U18" i="35" s="1"/>
  <c r="S18" i="35"/>
  <c r="J18" i="35"/>
  <c r="W18" i="35" s="1"/>
  <c r="H21" i="37"/>
  <c r="AB21" i="37" s="1"/>
  <c r="F21" i="37"/>
  <c r="S21" i="37" s="1"/>
  <c r="H21" i="34"/>
  <c r="H21" i="33"/>
  <c r="AB21" i="33" s="1"/>
  <c r="F21" i="33"/>
  <c r="E83" i="21"/>
  <c r="F83" i="21" s="1"/>
  <c r="G83" i="21" s="1"/>
  <c r="H1" i="69"/>
  <c r="AC25" i="40"/>
  <c r="W25" i="40"/>
  <c r="U25" i="40"/>
  <c r="U29" i="39"/>
  <c r="W29" i="39"/>
  <c r="AC18" i="36"/>
  <c r="AA21" i="37"/>
  <c r="U21" i="33"/>
  <c r="AA21" i="33"/>
  <c r="S21" i="33"/>
  <c r="AB18" i="35"/>
  <c r="AC18" i="35"/>
  <c r="J21" i="37"/>
  <c r="J21" i="34"/>
  <c r="J21" i="33"/>
  <c r="AC21" i="33" s="1"/>
  <c r="H21" i="21"/>
  <c r="AB21" i="21" s="1"/>
  <c r="F38" i="69"/>
  <c r="E37" i="69"/>
  <c r="F36" i="69"/>
  <c r="F35" i="69"/>
  <c r="F21" i="69"/>
  <c r="F20" i="69"/>
  <c r="F39" i="69" s="1"/>
  <c r="E10" i="69"/>
  <c r="E9" i="69"/>
  <c r="AC21" i="34"/>
  <c r="W21" i="34"/>
  <c r="U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s="1"/>
  <c r="D99" i="43"/>
  <c r="E99" i="43"/>
  <c r="F99" i="43"/>
  <c r="F108" i="43"/>
  <c r="G99" i="43"/>
  <c r="G108" i="43" s="1"/>
  <c r="H99" i="43"/>
  <c r="H108" i="43" s="1"/>
  <c r="I99" i="43"/>
  <c r="J99" i="43"/>
  <c r="J108" i="43"/>
  <c r="K99" i="43"/>
  <c r="L99" i="43"/>
  <c r="L108" i="43" s="1"/>
  <c r="M99" i="43"/>
  <c r="C99" i="43"/>
  <c r="C108"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c r="K86" i="43"/>
  <c r="J86" i="43" s="1"/>
  <c r="M85" i="43"/>
  <c r="N85" i="43" s="1"/>
  <c r="K85" i="43"/>
  <c r="J85" i="43" s="1"/>
  <c r="M84" i="43"/>
  <c r="N84" i="43"/>
  <c r="K84" i="43"/>
  <c r="J84" i="43" s="1"/>
  <c r="M83" i="43"/>
  <c r="N83" i="43" s="1"/>
  <c r="K83" i="43"/>
  <c r="J83" i="43" s="1"/>
  <c r="M82" i="43"/>
  <c r="N82" i="43"/>
  <c r="K82" i="43"/>
  <c r="J82" i="43" s="1"/>
  <c r="M81" i="43"/>
  <c r="N81" i="43" s="1"/>
  <c r="K81" i="43"/>
  <c r="J81" i="43" s="1"/>
  <c r="M78" i="43"/>
  <c r="N78" i="43"/>
  <c r="K78" i="43"/>
  <c r="J78" i="43" s="1"/>
  <c r="D78" i="43"/>
  <c r="M77" i="43"/>
  <c r="N77" i="43"/>
  <c r="K77" i="43"/>
  <c r="J77" i="43" s="1"/>
  <c r="D77" i="43"/>
  <c r="M76" i="43"/>
  <c r="N76" i="43" s="1"/>
  <c r="K76" i="43"/>
  <c r="J76" i="43" s="1"/>
  <c r="D76" i="43"/>
  <c r="M75" i="43"/>
  <c r="N75" i="43" s="1"/>
  <c r="K75" i="43"/>
  <c r="J75" i="43" s="1"/>
  <c r="D75" i="43"/>
  <c r="M74" i="43"/>
  <c r="N74" i="43"/>
  <c r="K74" i="43"/>
  <c r="J74" i="43" s="1"/>
  <c r="D74" i="43"/>
  <c r="M73" i="43"/>
  <c r="N73" i="43"/>
  <c r="K73" i="43"/>
  <c r="J73" i="43" s="1"/>
  <c r="D73" i="43"/>
  <c r="M72" i="43"/>
  <c r="N72" i="43" s="1"/>
  <c r="K72" i="43"/>
  <c r="J72" i="43" s="1"/>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c r="D54" i="43"/>
  <c r="M53" i="43"/>
  <c r="N53" i="43" s="1"/>
  <c r="K53" i="43"/>
  <c r="J53" i="43" s="1"/>
  <c r="D53" i="43"/>
  <c r="M52" i="43"/>
  <c r="N52" i="43" s="1"/>
  <c r="K52" i="43"/>
  <c r="J52" i="43" s="1"/>
  <c r="D52" i="43"/>
  <c r="M51" i="43"/>
  <c r="N51" i="43" s="1"/>
  <c r="K51" i="43"/>
  <c r="J51" i="43"/>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c r="E8" i="1" s="1"/>
  <c r="A9" i="1"/>
  <c r="A10" i="1"/>
  <c r="K10" i="1" s="1"/>
  <c r="M10" i="1" s="1"/>
  <c r="O10" i="1" s="1"/>
  <c r="P10" i="1" s="1"/>
  <c r="A11" i="1"/>
  <c r="B11" i="1" s="1"/>
  <c r="E11" i="1" s="1"/>
  <c r="A12" i="1"/>
  <c r="A13" i="1"/>
  <c r="A6"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G80" i="3" s="1"/>
  <c r="H80" i="3"/>
  <c r="BT79" i="3"/>
  <c r="BS79" i="3"/>
  <c r="BR79" i="3"/>
  <c r="BQ79" i="3"/>
  <c r="BP79" i="3"/>
  <c r="BP5" i="3" s="1"/>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A60" i="3" s="1"/>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F5" i="3" s="1"/>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L331" i="3" s="1"/>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A314" i="3" s="1"/>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A312" i="3" s="1"/>
  <c r="AZ312" i="3" s="1"/>
  <c r="BC312" i="3"/>
  <c r="BB312" i="3"/>
  <c r="AX312" i="3"/>
  <c r="AW312" i="3"/>
  <c r="AV312" i="3"/>
  <c r="AC312" i="3"/>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A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R35" i="4"/>
  <c r="Q35" i="4"/>
  <c r="P35" i="4"/>
  <c r="O35" i="4"/>
  <c r="N35" i="4"/>
  <c r="M35" i="4"/>
  <c r="L35" i="4"/>
  <c r="K34" i="4"/>
  <c r="T34" i="4" s="1"/>
  <c r="I15" i="4"/>
  <c r="H15" i="4"/>
  <c r="G15" i="4"/>
  <c r="E15" i="4"/>
  <c r="D15" i="4"/>
  <c r="F7" i="1"/>
  <c r="L21" i="4"/>
  <c r="F19" i="4"/>
  <c r="F2" i="52"/>
  <c r="B50" i="72" s="1"/>
  <c r="D2" i="52"/>
  <c r="B46" i="72" s="1"/>
  <c r="B8" i="53"/>
  <c r="B23" i="72" s="1"/>
  <c r="L4" i="9"/>
  <c r="A24" i="51" s="1"/>
  <c r="B18" i="72" s="1"/>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B5"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AZ561" i="3" s="1"/>
  <c r="BD561" i="3"/>
  <c r="BE561" i="3"/>
  <c r="BF561" i="3"/>
  <c r="BG561" i="3"/>
  <c r="BH561" i="3"/>
  <c r="BI561" i="3"/>
  <c r="BJ561" i="3"/>
  <c r="BK561" i="3"/>
  <c r="BM561" i="3"/>
  <c r="BN561" i="3"/>
  <c r="BL561" i="3" s="1"/>
  <c r="BO561" i="3"/>
  <c r="BP561" i="3"/>
  <c r="BR561" i="3"/>
  <c r="BS561" i="3"/>
  <c r="BT561" i="3"/>
  <c r="H562" i="3"/>
  <c r="G562" i="3" s="1"/>
  <c r="AC562" i="3"/>
  <c r="BB562" i="3"/>
  <c r="BA562" i="3" s="1"/>
  <c r="BC562" i="3"/>
  <c r="BD562" i="3"/>
  <c r="BE562" i="3"/>
  <c r="BF562" i="3"/>
  <c r="BG562" i="3"/>
  <c r="BH562" i="3"/>
  <c r="BI562" i="3"/>
  <c r="BJ562" i="3"/>
  <c r="BK562" i="3"/>
  <c r="BM562" i="3"/>
  <c r="BL562" i="3" s="1"/>
  <c r="AZ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AZ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L576" i="3" s="1"/>
  <c r="AZ576" i="3" s="1"/>
  <c r="BP576" i="3"/>
  <c r="BQ576" i="3"/>
  <c r="BR576" i="3"/>
  <c r="BS576" i="3"/>
  <c r="BT576" i="3"/>
  <c r="H577" i="3"/>
  <c r="G577" i="3" s="1"/>
  <c r="AC577" i="3"/>
  <c r="BB577" i="3"/>
  <c r="BA577" i="3" s="1"/>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H30" i="36"/>
  <c r="AB30" i="36" s="1"/>
  <c r="F30" i="36"/>
  <c r="AA30" i="36" s="1"/>
  <c r="C26" i="35"/>
  <c r="J31" i="35"/>
  <c r="W31" i="35" s="1"/>
  <c r="H31" i="35"/>
  <c r="F31" i="35"/>
  <c r="AA31" i="35" s="1"/>
  <c r="D87" i="35"/>
  <c r="E87" i="35" s="1"/>
  <c r="F87" i="35" s="1"/>
  <c r="G87" i="35" s="1"/>
  <c r="H87" i="35"/>
  <c r="I87" i="35" s="1"/>
  <c r="J87" i="35" s="1"/>
  <c r="K87" i="35" s="1"/>
  <c r="L87" i="35" s="1"/>
  <c r="M87" i="35" s="1"/>
  <c r="H34" i="37"/>
  <c r="U34" i="37" s="1"/>
  <c r="D101" i="37"/>
  <c r="E101" i="37" s="1"/>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F9" i="40"/>
  <c r="S9" i="40"/>
  <c r="J8" i="40"/>
  <c r="AC8" i="40" s="1"/>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c r="F90" i="39" s="1"/>
  <c r="G90" i="39" s="1"/>
  <c r="D88" i="39"/>
  <c r="E88" i="39"/>
  <c r="F88" i="39" s="1"/>
  <c r="G88" i="39" s="1"/>
  <c r="B85" i="39"/>
  <c r="H14" i="39" s="1"/>
  <c r="AB14" i="39" s="1"/>
  <c r="B83" i="39"/>
  <c r="J13" i="39" s="1"/>
  <c r="B81" i="39"/>
  <c r="J12" i="39"/>
  <c r="W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c r="F107" i="37" s="1"/>
  <c r="G107" i="37" s="1"/>
  <c r="H107" i="37" s="1"/>
  <c r="I107" i="37" s="1"/>
  <c r="J107" i="37" s="1"/>
  <c r="K107" i="37" s="1"/>
  <c r="L107" i="37" s="1"/>
  <c r="M107" i="37" s="1"/>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F75" i="37" s="1"/>
  <c r="G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Q30" i="37"/>
  <c r="Z30" i="37" s="1"/>
  <c r="J30" i="37"/>
  <c r="AC30" i="37"/>
  <c r="H30" i="37"/>
  <c r="AB30" i="37" s="1"/>
  <c r="F30" i="37"/>
  <c r="Q29" i="37"/>
  <c r="Z29" i="37" s="1"/>
  <c r="H29" i="37"/>
  <c r="AB29" i="37" s="1"/>
  <c r="Q28" i="37"/>
  <c r="Z28" i="37" s="1"/>
  <c r="Q27" i="37"/>
  <c r="Z27" i="37"/>
  <c r="Q26" i="37"/>
  <c r="Z26" i="37" s="1"/>
  <c r="Q25" i="37"/>
  <c r="Z25" i="37" s="1"/>
  <c r="Q23" i="37"/>
  <c r="Z23" i="37"/>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c r="F62" i="36" s="1"/>
  <c r="G62" i="36" s="1"/>
  <c r="B59" i="36"/>
  <c r="J13" i="36" s="1"/>
  <c r="AC13" i="36" s="1"/>
  <c r="B57" i="36"/>
  <c r="J12" i="36"/>
  <c r="W12" i="36" s="1"/>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s="1"/>
  <c r="J9" i="36"/>
  <c r="F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B97" i="35"/>
  <c r="J34" i="35" s="1"/>
  <c r="B77" i="35"/>
  <c r="J25" i="35" s="1"/>
  <c r="B75" i="35"/>
  <c r="B73" i="35"/>
  <c r="J23" i="35" s="1"/>
  <c r="AC23" i="35" s="1"/>
  <c r="H23" i="35"/>
  <c r="U23" i="35" s="1"/>
  <c r="B57" i="35"/>
  <c r="F11" i="35" s="1"/>
  <c r="AA11" i="35" s="1"/>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H34" i="35"/>
  <c r="F34" i="35"/>
  <c r="Q33" i="35"/>
  <c r="Z33" i="35"/>
  <c r="Q32" i="35"/>
  <c r="Z32" i="35" s="1"/>
  <c r="H32" i="35"/>
  <c r="F32" i="35"/>
  <c r="AA32" i="35" s="1"/>
  <c r="Q31" i="35"/>
  <c r="Z31" i="35" s="1"/>
  <c r="AB31" i="35"/>
  <c r="Q30" i="35"/>
  <c r="Z30" i="35" s="1"/>
  <c r="Q29" i="35"/>
  <c r="Z29" i="35" s="1"/>
  <c r="Q28" i="35"/>
  <c r="Z28" i="35" s="1"/>
  <c r="J28" i="35"/>
  <c r="AC28" i="35"/>
  <c r="H28" i="35"/>
  <c r="AB28" i="35" s="1"/>
  <c r="F28" i="35"/>
  <c r="Q27" i="35"/>
  <c r="Z27" i="35" s="1"/>
  <c r="Q26" i="35"/>
  <c r="Z26" i="35"/>
  <c r="Q25" i="35"/>
  <c r="Z25" i="35" s="1"/>
  <c r="Q24" i="35"/>
  <c r="Z24" i="35" s="1"/>
  <c r="Q23" i="35"/>
  <c r="Z23" i="35" s="1"/>
  <c r="Q22" i="35"/>
  <c r="Z22" i="35" s="1"/>
  <c r="Q20" i="35"/>
  <c r="Z20" i="35"/>
  <c r="Q16" i="35"/>
  <c r="Z16" i="35" s="1"/>
  <c r="Q14" i="35"/>
  <c r="Z14" i="35"/>
  <c r="Q13" i="35"/>
  <c r="Z13" i="35" s="1"/>
  <c r="Q12" i="35"/>
  <c r="Z12" i="35"/>
  <c r="J12" i="35"/>
  <c r="F12" i="35"/>
  <c r="Q11" i="35"/>
  <c r="Z11" i="35"/>
  <c r="Q10" i="35"/>
  <c r="Z10" i="35" s="1"/>
  <c r="Q9" i="35"/>
  <c r="Z9" i="35"/>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c r="D126" i="34"/>
  <c r="E126" i="34" s="1"/>
  <c r="F126" i="34" s="1"/>
  <c r="G126" i="34" s="1"/>
  <c r="D124" i="34"/>
  <c r="E124" i="34" s="1"/>
  <c r="F124" i="34" s="1"/>
  <c r="G124" i="34"/>
  <c r="H124" i="34" s="1"/>
  <c r="I124" i="34" s="1"/>
  <c r="J124" i="34" s="1"/>
  <c r="K124" i="34" s="1"/>
  <c r="L124" i="34" s="1"/>
  <c r="M124" i="34" s="1"/>
  <c r="H43" i="34"/>
  <c r="D118" i="34"/>
  <c r="E118" i="34" s="1"/>
  <c r="F118" i="34"/>
  <c r="G118" i="34"/>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c r="G86" i="34"/>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c r="H34" i="34"/>
  <c r="AB34" i="34" s="1"/>
  <c r="F34" i="34"/>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s="1"/>
  <c r="Q10" i="34"/>
  <c r="Z10" i="34" s="1"/>
  <c r="F10" i="34"/>
  <c r="Q9" i="34"/>
  <c r="Z9" i="34" s="1"/>
  <c r="J9" i="34"/>
  <c r="AC9" i="34"/>
  <c r="H9" i="34"/>
  <c r="AA9" i="34"/>
  <c r="J8" i="34"/>
  <c r="W8" i="34" s="1"/>
  <c r="AC8" i="34"/>
  <c r="H8" i="34"/>
  <c r="U8" i="34"/>
  <c r="F8" i="34"/>
  <c r="D121" i="33"/>
  <c r="E121" i="33" s="1"/>
  <c r="F121" i="33" s="1"/>
  <c r="G121" i="33" s="1"/>
  <c r="H121" i="33" s="1"/>
  <c r="I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F39" i="33" s="1"/>
  <c r="AA39" i="33" s="1"/>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F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s="1"/>
  <c r="Q38" i="33"/>
  <c r="Z38" i="33" s="1"/>
  <c r="J38" i="33"/>
  <c r="AC38" i="33" s="1"/>
  <c r="H38" i="33"/>
  <c r="AB38" i="33" s="1"/>
  <c r="F38" i="33"/>
  <c r="AA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s="1"/>
  <c r="Q9" i="33"/>
  <c r="Z9" i="33" s="1"/>
  <c r="J9" i="33"/>
  <c r="AC9" i="33" s="1"/>
  <c r="J8" i="33"/>
  <c r="AC8" i="33"/>
  <c r="H8" i="33"/>
  <c r="AB8" i="33" s="1"/>
  <c r="F8" i="33"/>
  <c r="AA8" i="33" s="1"/>
  <c r="M102" i="21"/>
  <c r="D102" i="21"/>
  <c r="E102" i="21"/>
  <c r="F102" i="21"/>
  <c r="G102" i="21"/>
  <c r="H102" i="21"/>
  <c r="I102" i="21"/>
  <c r="J102" i="21"/>
  <c r="K102" i="21"/>
  <c r="L102" i="21"/>
  <c r="C102" i="21"/>
  <c r="C63" i="21"/>
  <c r="G18" i="20"/>
  <c r="B88" i="43" s="1"/>
  <c r="G19" i="20"/>
  <c r="B85" i="43"/>
  <c r="G16" i="20"/>
  <c r="B82" i="43" s="1"/>
  <c r="G15" i="20"/>
  <c r="C24" i="20"/>
  <c r="C21" i="20"/>
  <c r="C27" i="39" s="1"/>
  <c r="B74" i="43"/>
  <c r="C20" i="20"/>
  <c r="B77" i="43" s="1"/>
  <c r="C18" i="20"/>
  <c r="C17" i="20"/>
  <c r="B59" i="43" s="1"/>
  <c r="C16" i="20"/>
  <c r="C17" i="39"/>
  <c r="C15" i="20"/>
  <c r="B70" i="43" s="1"/>
  <c r="E54" i="21"/>
  <c r="F54" i="21" s="1"/>
  <c r="I54" i="21"/>
  <c r="J54" i="21" s="1"/>
  <c r="G54" i="21"/>
  <c r="H54" i="21"/>
  <c r="D125" i="21"/>
  <c r="E125" i="21" s="1"/>
  <c r="F125" i="21"/>
  <c r="G125" i="21" s="1"/>
  <c r="D123" i="21"/>
  <c r="E123" i="21" s="1"/>
  <c r="F123" i="21" s="1"/>
  <c r="G123" i="21" s="1"/>
  <c r="H123" i="21" s="1"/>
  <c r="I123" i="21" s="1"/>
  <c r="J123" i="21" s="1"/>
  <c r="K123" i="21" s="1"/>
  <c r="L123" i="21" s="1"/>
  <c r="M123" i="21" s="1"/>
  <c r="F42" i="21"/>
  <c r="D119" i="21"/>
  <c r="E119" i="21" s="1"/>
  <c r="F119" i="21" s="1"/>
  <c r="G119" i="21" s="1"/>
  <c r="F40" i="21"/>
  <c r="AA40" i="21"/>
  <c r="D117" i="21"/>
  <c r="E117" i="21" s="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s="1"/>
  <c r="K108" i="21" s="1"/>
  <c r="L108" i="21" s="1"/>
  <c r="M108" i="21" s="1"/>
  <c r="D106" i="21"/>
  <c r="E106" i="21" s="1"/>
  <c r="F106" i="21" s="1"/>
  <c r="G106" i="21" s="1"/>
  <c r="H106" i="21" s="1"/>
  <c r="I106" i="21" s="1"/>
  <c r="J106" i="2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s="1"/>
  <c r="F79" i="21"/>
  <c r="G79" i="21" s="1"/>
  <c r="D85" i="21"/>
  <c r="F19" i="21"/>
  <c r="E81" i="21"/>
  <c r="F81" i="21"/>
  <c r="G81" i="21" s="1"/>
  <c r="D77" i="21"/>
  <c r="E77" i="21" s="1"/>
  <c r="B130" i="21"/>
  <c r="B128" i="21"/>
  <c r="B126" i="21"/>
  <c r="H44" i="21" s="1"/>
  <c r="B98" i="21"/>
  <c r="B96" i="21"/>
  <c r="B94" i="21"/>
  <c r="B92" i="21"/>
  <c r="B90" i="21"/>
  <c r="J27" i="21"/>
  <c r="W27" i="21" s="1"/>
  <c r="B74" i="21"/>
  <c r="B72" i="21"/>
  <c r="B70" i="2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s="1"/>
  <c r="Q34" i="21"/>
  <c r="Z34" i="21" s="1"/>
  <c r="J35" i="21"/>
  <c r="Q35" i="21"/>
  <c r="Z35" i="21" s="1"/>
  <c r="Q36" i="21"/>
  <c r="Z36" i="21" s="1"/>
  <c r="Q37" i="21"/>
  <c r="Z37" i="21" s="1"/>
  <c r="J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F38" i="21"/>
  <c r="S38" i="21" s="1"/>
  <c r="F36" i="21"/>
  <c r="F39" i="21"/>
  <c r="AA39" i="21"/>
  <c r="J40" i="21"/>
  <c r="W40" i="21" s="1"/>
  <c r="H35" i="21"/>
  <c r="AB35" i="21" s="1"/>
  <c r="J8" i="21"/>
  <c r="AC8" i="21" s="1"/>
  <c r="H8" i="21"/>
  <c r="U8" i="21" s="1"/>
  <c r="H10" i="21"/>
  <c r="AB10" i="21" s="1"/>
  <c r="H39" i="21"/>
  <c r="U39" i="21"/>
  <c r="J34" i="21"/>
  <c r="W34" i="21" s="1"/>
  <c r="H36" i="21"/>
  <c r="U36" i="21" s="1"/>
  <c r="F35" i="21"/>
  <c r="J10" i="21"/>
  <c r="AC10" i="21"/>
  <c r="H26" i="21"/>
  <c r="AB26" i="21" s="1"/>
  <c r="AB19" i="21"/>
  <c r="J19" i="21"/>
  <c r="W19" i="21"/>
  <c r="H12" i="21"/>
  <c r="AB12" i="21" s="1"/>
  <c r="J26" i="21"/>
  <c r="F26" i="21"/>
  <c r="S26" i="21" s="1"/>
  <c r="AB41" i="21"/>
  <c r="S41" i="21"/>
  <c r="AA41" i="21"/>
  <c r="J45" i="39"/>
  <c r="W45" i="39" s="1"/>
  <c r="J35" i="39"/>
  <c r="J36" i="39"/>
  <c r="AC36" i="39" s="1"/>
  <c r="U9" i="39"/>
  <c r="U30" i="37"/>
  <c r="E103" i="37"/>
  <c r="F103" i="37"/>
  <c r="G103" i="37"/>
  <c r="H103" i="37" s="1"/>
  <c r="I103" i="37" s="1"/>
  <c r="J103" i="37" s="1"/>
  <c r="K103" i="37" s="1"/>
  <c r="L103" i="37" s="1"/>
  <c r="M103" i="37" s="1"/>
  <c r="F29" i="36"/>
  <c r="AA29" i="36"/>
  <c r="F16" i="36"/>
  <c r="AA16" i="36" s="1"/>
  <c r="U9" i="36"/>
  <c r="U31" i="36"/>
  <c r="J33" i="36"/>
  <c r="W33" i="36" s="1"/>
  <c r="H22" i="35"/>
  <c r="W28" i="35"/>
  <c r="U31" i="35"/>
  <c r="W36" i="35"/>
  <c r="W22" i="35"/>
  <c r="S31" i="35"/>
  <c r="F36" i="34"/>
  <c r="J35" i="34"/>
  <c r="AC35" i="34" s="1"/>
  <c r="W9" i="34"/>
  <c r="U34" i="34"/>
  <c r="H39" i="37"/>
  <c r="AB39" i="37" s="1"/>
  <c r="F11" i="40"/>
  <c r="H11" i="40"/>
  <c r="AB11" i="40"/>
  <c r="W8" i="40"/>
  <c r="AA9" i="40"/>
  <c r="AC9" i="40"/>
  <c r="S34" i="40"/>
  <c r="F42" i="39"/>
  <c r="AA42" i="39" s="1"/>
  <c r="F41" i="39"/>
  <c r="H40" i="39"/>
  <c r="H39" i="39"/>
  <c r="U39" i="39" s="1"/>
  <c r="S38" i="39"/>
  <c r="S34" i="39"/>
  <c r="H34" i="39"/>
  <c r="U34" i="39" s="1"/>
  <c r="E108" i="39"/>
  <c r="E100" i="39"/>
  <c r="F100" i="39" s="1"/>
  <c r="G100" i="39" s="1"/>
  <c r="H19" i="39"/>
  <c r="AB19" i="39" s="1"/>
  <c r="F19" i="39"/>
  <c r="AA19" i="39" s="1"/>
  <c r="H17" i="39"/>
  <c r="AB17" i="39" s="1"/>
  <c r="F17" i="39"/>
  <c r="AA17" i="39" s="1"/>
  <c r="J23" i="40"/>
  <c r="AC23" i="40" s="1"/>
  <c r="F21" i="40"/>
  <c r="J21" i="40"/>
  <c r="W21" i="40"/>
  <c r="H42" i="39"/>
  <c r="AB42" i="39" s="1"/>
  <c r="J34" i="39"/>
  <c r="F108" i="39"/>
  <c r="G108" i="39" s="1"/>
  <c r="H108" i="39" s="1"/>
  <c r="I108" i="39" s="1"/>
  <c r="J108" i="39" s="1"/>
  <c r="K108" i="39" s="1"/>
  <c r="L108" i="39" s="1"/>
  <c r="M108" i="39" s="1"/>
  <c r="J31" i="39"/>
  <c r="AC31" i="39" s="1"/>
  <c r="H27" i="39"/>
  <c r="U27" i="39" s="1"/>
  <c r="J19" i="39"/>
  <c r="AC19" i="39" s="1"/>
  <c r="J17" i="39"/>
  <c r="J27" i="39"/>
  <c r="F27" i="39"/>
  <c r="F11" i="21"/>
  <c r="S40" i="21"/>
  <c r="S34" i="21"/>
  <c r="C25" i="39"/>
  <c r="C21" i="39"/>
  <c r="H11" i="39"/>
  <c r="S40" i="39"/>
  <c r="C15" i="39"/>
  <c r="H32" i="33"/>
  <c r="AB32" i="33" s="1"/>
  <c r="H11" i="21"/>
  <c r="U11" i="21" s="1"/>
  <c r="J11" i="21"/>
  <c r="W11" i="21" s="1"/>
  <c r="H37" i="40"/>
  <c r="U37" i="40" s="1"/>
  <c r="H36" i="40"/>
  <c r="AB36" i="40"/>
  <c r="F35" i="40"/>
  <c r="AA35" i="40" s="1"/>
  <c r="H23" i="40"/>
  <c r="AB23" i="40"/>
  <c r="H17" i="40"/>
  <c r="U17" i="40" s="1"/>
  <c r="J15" i="40"/>
  <c r="W15" i="40" s="1"/>
  <c r="J11" i="40"/>
  <c r="AB12" i="33"/>
  <c r="AB12" i="35"/>
  <c r="W32" i="40"/>
  <c r="J34" i="36"/>
  <c r="J30" i="35"/>
  <c r="W30" i="35" s="1"/>
  <c r="H30" i="35"/>
  <c r="F22" i="35"/>
  <c r="AA22" i="35" s="1"/>
  <c r="H10" i="35"/>
  <c r="U10" i="35"/>
  <c r="F33" i="36"/>
  <c r="AA33" i="36" s="1"/>
  <c r="H16" i="36"/>
  <c r="AB16" i="36" s="1"/>
  <c r="J29" i="36"/>
  <c r="AC29" i="36" s="1"/>
  <c r="F12" i="36"/>
  <c r="F24" i="36"/>
  <c r="AA24" i="36"/>
  <c r="F34" i="36"/>
  <c r="S34" i="36" s="1"/>
  <c r="S10" i="36"/>
  <c r="AB8" i="36"/>
  <c r="S8" i="36"/>
  <c r="U8" i="35"/>
  <c r="F14" i="35"/>
  <c r="AA14" i="35" s="1"/>
  <c r="F23" i="35"/>
  <c r="AA23" i="35" s="1"/>
  <c r="J32" i="35"/>
  <c r="AC32" i="35" s="1"/>
  <c r="J16" i="35"/>
  <c r="AC16" i="35" s="1"/>
  <c r="H16" i="35"/>
  <c r="U16" i="35"/>
  <c r="F16" i="35"/>
  <c r="S16" i="35" s="1"/>
  <c r="H14" i="35"/>
  <c r="AB14" i="35"/>
  <c r="J29" i="35"/>
  <c r="W29" i="35" s="1"/>
  <c r="H33" i="35"/>
  <c r="AB33" i="35" s="1"/>
  <c r="J20" i="35"/>
  <c r="W20" i="35"/>
  <c r="F35" i="37"/>
  <c r="F101" i="37"/>
  <c r="G101" i="37" s="1"/>
  <c r="H101" i="37" s="1"/>
  <c r="I101" i="37" s="1"/>
  <c r="J101" i="37" s="1"/>
  <c r="K101" i="37" s="1"/>
  <c r="L101" i="37" s="1"/>
  <c r="M101" i="37" s="1"/>
  <c r="J34" i="37"/>
  <c r="AB34" i="37"/>
  <c r="J33" i="37"/>
  <c r="H40" i="34"/>
  <c r="U40" i="34" s="1"/>
  <c r="E114" i="34"/>
  <c r="H36" i="34"/>
  <c r="U36" i="34" s="1"/>
  <c r="F37" i="34"/>
  <c r="AA37" i="34"/>
  <c r="S35" i="34"/>
  <c r="F27" i="34"/>
  <c r="AA27" i="34" s="1"/>
  <c r="F25" i="34"/>
  <c r="S25" i="34" s="1"/>
  <c r="H23" i="34"/>
  <c r="AB23" i="34" s="1"/>
  <c r="U23" i="34"/>
  <c r="J23" i="34"/>
  <c r="F19" i="34"/>
  <c r="S19" i="34" s="1"/>
  <c r="H17" i="34"/>
  <c r="U17" i="34"/>
  <c r="F15" i="34"/>
  <c r="S15" i="34" s="1"/>
  <c r="J15" i="34"/>
  <c r="W15" i="34" s="1"/>
  <c r="H15" i="34"/>
  <c r="AB15" i="34"/>
  <c r="S9" i="34"/>
  <c r="F41" i="33"/>
  <c r="S38" i="33"/>
  <c r="F32" i="33"/>
  <c r="AA32" i="33" s="1"/>
  <c r="J19" i="33"/>
  <c r="AC19" i="33"/>
  <c r="J15" i="33"/>
  <c r="AC15" i="33" s="1"/>
  <c r="F11" i="33"/>
  <c r="AA11" i="33" s="1"/>
  <c r="W40" i="33"/>
  <c r="F37" i="40"/>
  <c r="AA37" i="40" s="1"/>
  <c r="F36" i="40"/>
  <c r="AA36" i="40" s="1"/>
  <c r="H28" i="40"/>
  <c r="U28" i="40"/>
  <c r="F23" i="40"/>
  <c r="AA23" i="40" s="1"/>
  <c r="F17" i="40"/>
  <c r="AA17" i="40"/>
  <c r="J17" i="40"/>
  <c r="W17" i="40" s="1"/>
  <c r="F15" i="40"/>
  <c r="S15" i="40" s="1"/>
  <c r="H15" i="40"/>
  <c r="U33" i="35"/>
  <c r="F29" i="35"/>
  <c r="H29" i="35"/>
  <c r="AB29" i="35" s="1"/>
  <c r="H33" i="37"/>
  <c r="F33" i="37"/>
  <c r="AA33" i="37"/>
  <c r="S34" i="37"/>
  <c r="AA34" i="37"/>
  <c r="J43" i="34"/>
  <c r="J40" i="34"/>
  <c r="W40" i="34" s="1"/>
  <c r="F114" i="34"/>
  <c r="G114" i="34" s="1"/>
  <c r="H114" i="34" s="1"/>
  <c r="I114" i="34" s="1"/>
  <c r="J114" i="34" s="1"/>
  <c r="K114" i="34" s="1"/>
  <c r="L114" i="34" s="1"/>
  <c r="M114" i="34" s="1"/>
  <c r="H38" i="34"/>
  <c r="J36" i="34"/>
  <c r="W36" i="34" s="1"/>
  <c r="H37" i="34"/>
  <c r="AB37" i="34" s="1"/>
  <c r="U37" i="34"/>
  <c r="H25" i="34"/>
  <c r="AB25" i="34" s="1"/>
  <c r="J25" i="34"/>
  <c r="F23" i="34"/>
  <c r="J19" i="34"/>
  <c r="AC19" i="34" s="1"/>
  <c r="F17" i="34"/>
  <c r="AA17" i="34" s="1"/>
  <c r="J17" i="34"/>
  <c r="AB17" i="34"/>
  <c r="AA15" i="34"/>
  <c r="H37" i="33"/>
  <c r="AB37" i="33"/>
  <c r="H15" i="33"/>
  <c r="AB15" i="33" s="1"/>
  <c r="H11" i="33"/>
  <c r="AB11" i="33" s="1"/>
  <c r="F28" i="40"/>
  <c r="AA28" i="40" s="1"/>
  <c r="AA42" i="34"/>
  <c r="S42" i="34"/>
  <c r="AC38" i="34"/>
  <c r="AA38" i="34"/>
  <c r="J37" i="34"/>
  <c r="AC37" i="34" s="1"/>
  <c r="J11" i="33"/>
  <c r="W11" i="33" s="1"/>
  <c r="U23" i="40"/>
  <c r="J42" i="21"/>
  <c r="AC42" i="21" s="1"/>
  <c r="H42" i="21"/>
  <c r="U42" i="21"/>
  <c r="J44" i="34"/>
  <c r="W44" i="34" s="1"/>
  <c r="F44" i="34"/>
  <c r="AA44" i="34"/>
  <c r="J10" i="35"/>
  <c r="W10" i="35" s="1"/>
  <c r="J14" i="21"/>
  <c r="W14" i="21"/>
  <c r="F14" i="21"/>
  <c r="H14" i="21"/>
  <c r="U14" i="21" s="1"/>
  <c r="H28" i="21"/>
  <c r="AB28" i="21" s="1"/>
  <c r="U44" i="21"/>
  <c r="F44" i="21"/>
  <c r="AA44" i="21" s="1"/>
  <c r="H119" i="21"/>
  <c r="I119" i="21" s="1"/>
  <c r="J119" i="21" s="1"/>
  <c r="K119" i="21" s="1"/>
  <c r="L119" i="21" s="1"/>
  <c r="M119" i="21" s="1"/>
  <c r="H28" i="33"/>
  <c r="F28" i="33"/>
  <c r="AA28" i="33" s="1"/>
  <c r="J28" i="33"/>
  <c r="W28" i="33" s="1"/>
  <c r="F33" i="35"/>
  <c r="S33" i="35"/>
  <c r="J33" i="35"/>
  <c r="AC33" i="35" s="1"/>
  <c r="F30" i="35"/>
  <c r="E89" i="35"/>
  <c r="F89" i="35" s="1"/>
  <c r="G89" i="35" s="1"/>
  <c r="H89" i="35" s="1"/>
  <c r="I89" i="35" s="1"/>
  <c r="J89" i="35" s="1"/>
  <c r="K89" i="35" s="1"/>
  <c r="L89" i="35" s="1"/>
  <c r="M89" i="35" s="1"/>
  <c r="H10" i="36"/>
  <c r="AB10" i="36" s="1"/>
  <c r="J14" i="36"/>
  <c r="AC14" i="36" s="1"/>
  <c r="H14" i="36"/>
  <c r="F28" i="36"/>
  <c r="AA28" i="36"/>
  <c r="J31" i="21"/>
  <c r="AC31" i="21" s="1"/>
  <c r="AA27" i="33"/>
  <c r="H13" i="33"/>
  <c r="AB13" i="33" s="1"/>
  <c r="J29" i="33"/>
  <c r="AC29" i="33" s="1"/>
  <c r="H29" i="33"/>
  <c r="U29" i="33" s="1"/>
  <c r="F29" i="33"/>
  <c r="H45" i="33"/>
  <c r="J45" i="33"/>
  <c r="F45" i="33"/>
  <c r="AA45" i="33"/>
  <c r="J14" i="34"/>
  <c r="W14" i="34" s="1"/>
  <c r="F14" i="34"/>
  <c r="H14" i="34"/>
  <c r="AB14" i="34" s="1"/>
  <c r="H32" i="34"/>
  <c r="AB32" i="34" s="1"/>
  <c r="F32" i="34"/>
  <c r="J32" i="34"/>
  <c r="H11" i="35"/>
  <c r="J11" i="35"/>
  <c r="S11" i="35"/>
  <c r="J26" i="36"/>
  <c r="W26" i="36" s="1"/>
  <c r="H28" i="36"/>
  <c r="J32" i="36"/>
  <c r="W32" i="36" s="1"/>
  <c r="J11" i="36"/>
  <c r="AC11" i="36"/>
  <c r="H11" i="36"/>
  <c r="U11" i="36" s="1"/>
  <c r="F11" i="36"/>
  <c r="H13" i="36"/>
  <c r="AB13" i="36" s="1"/>
  <c r="E89" i="37"/>
  <c r="F89" i="37" s="1"/>
  <c r="G89" i="37" s="1"/>
  <c r="H89" i="37" s="1"/>
  <c r="I89" i="37" s="1"/>
  <c r="J89" i="37" s="1"/>
  <c r="K89" i="37" s="1"/>
  <c r="L89" i="37" s="1"/>
  <c r="M89" i="37" s="1"/>
  <c r="J29" i="37"/>
  <c r="W29" i="37"/>
  <c r="F29" i="37"/>
  <c r="S29" i="37"/>
  <c r="H36" i="37"/>
  <c r="AB36" i="37"/>
  <c r="J37" i="37"/>
  <c r="AC37" i="37" s="1"/>
  <c r="H37" i="37"/>
  <c r="H40" i="37"/>
  <c r="U40" i="37"/>
  <c r="J40" i="37"/>
  <c r="AC40" i="37" s="1"/>
  <c r="F40" i="37"/>
  <c r="AC12" i="40"/>
  <c r="H14" i="33"/>
  <c r="F14" i="33"/>
  <c r="S14" i="33" s="1"/>
  <c r="J14" i="33"/>
  <c r="H30" i="33"/>
  <c r="F30" i="33"/>
  <c r="AA30" i="33" s="1"/>
  <c r="J30" i="33"/>
  <c r="H44" i="33"/>
  <c r="AB44" i="33" s="1"/>
  <c r="J44" i="33"/>
  <c r="AC44" i="33" s="1"/>
  <c r="F44" i="33"/>
  <c r="J46" i="33"/>
  <c r="F46" i="33"/>
  <c r="AA46" i="33"/>
  <c r="H46" i="33"/>
  <c r="AB46" i="33" s="1"/>
  <c r="H13" i="34"/>
  <c r="U13" i="34" s="1"/>
  <c r="J13" i="34"/>
  <c r="W13" i="34" s="1"/>
  <c r="F13" i="34"/>
  <c r="AA13" i="34"/>
  <c r="J29" i="34"/>
  <c r="F29" i="34"/>
  <c r="H29" i="34"/>
  <c r="AB29" i="34"/>
  <c r="J31" i="34"/>
  <c r="AC31" i="34" s="1"/>
  <c r="H31" i="34"/>
  <c r="AB31" i="34" s="1"/>
  <c r="F31" i="34"/>
  <c r="H45" i="34"/>
  <c r="U45" i="34"/>
  <c r="J45" i="34"/>
  <c r="W45" i="34" s="1"/>
  <c r="F45" i="34"/>
  <c r="S45" i="34" s="1"/>
  <c r="H47" i="34"/>
  <c r="U47" i="34" s="1"/>
  <c r="F47" i="34"/>
  <c r="S47" i="34"/>
  <c r="J47" i="34"/>
  <c r="AC47" i="34" s="1"/>
  <c r="F13" i="35"/>
  <c r="J13" i="35"/>
  <c r="AC13" i="35" s="1"/>
  <c r="H13" i="35"/>
  <c r="U13" i="35"/>
  <c r="F25" i="35"/>
  <c r="S25" i="35" s="1"/>
  <c r="H25" i="35"/>
  <c r="AB25" i="35" s="1"/>
  <c r="J35" i="35"/>
  <c r="AC35" i="35"/>
  <c r="F35" i="35"/>
  <c r="AA35" i="35" s="1"/>
  <c r="H35" i="35"/>
  <c r="AB35" i="35" s="1"/>
  <c r="J25" i="36"/>
  <c r="W25" i="36" s="1"/>
  <c r="F25" i="36"/>
  <c r="S25" i="36"/>
  <c r="H25" i="36"/>
  <c r="AB25" i="36" s="1"/>
  <c r="H13" i="37"/>
  <c r="F13" i="37"/>
  <c r="S13" i="37" s="1"/>
  <c r="J13" i="37"/>
  <c r="W13" i="37"/>
  <c r="F28" i="37"/>
  <c r="AA28" i="37" s="1"/>
  <c r="J28" i="37"/>
  <c r="H28" i="37"/>
  <c r="H38" i="37"/>
  <c r="AB38" i="37"/>
  <c r="J38" i="37"/>
  <c r="AC38" i="37" s="1"/>
  <c r="F38" i="37"/>
  <c r="F43" i="39"/>
  <c r="AA43" i="39" s="1"/>
  <c r="J14" i="39"/>
  <c r="AC14" i="39" s="1"/>
  <c r="F14" i="39"/>
  <c r="F12" i="40"/>
  <c r="H12" i="40"/>
  <c r="AB12" i="40" s="1"/>
  <c r="H30" i="40"/>
  <c r="F33" i="40"/>
  <c r="AA33" i="40" s="1"/>
  <c r="H33" i="40"/>
  <c r="J35" i="40"/>
  <c r="J37" i="40"/>
  <c r="H13" i="40"/>
  <c r="U13" i="40" s="1"/>
  <c r="J13" i="40"/>
  <c r="W13" i="40" s="1"/>
  <c r="F13" i="40"/>
  <c r="F27" i="37"/>
  <c r="H13" i="39"/>
  <c r="AB13" i="39" s="1"/>
  <c r="F14" i="40"/>
  <c r="U31" i="34"/>
  <c r="J36" i="37"/>
  <c r="AC36" i="37"/>
  <c r="G105" i="37"/>
  <c r="AB11" i="36"/>
  <c r="J10" i="36"/>
  <c r="AC10" i="36"/>
  <c r="W11" i="36"/>
  <c r="S45" i="33"/>
  <c r="W29" i="33"/>
  <c r="U13" i="33"/>
  <c r="S44" i="34"/>
  <c r="BA586" i="3"/>
  <c r="F17" i="21"/>
  <c r="AA17" i="21"/>
  <c r="H17" i="21"/>
  <c r="AB17" i="21" s="1"/>
  <c r="F15" i="21"/>
  <c r="AB11" i="21"/>
  <c r="J41" i="39"/>
  <c r="W41" i="39" s="1"/>
  <c r="G540" i="3"/>
  <c r="G535" i="3"/>
  <c r="G531" i="3"/>
  <c r="G527" i="3"/>
  <c r="G518" i="3"/>
  <c r="G510" i="3"/>
  <c r="G504" i="3"/>
  <c r="G496" i="3"/>
  <c r="G568" i="3"/>
  <c r="G554" i="3"/>
  <c r="BL560" i="3"/>
  <c r="BL546" i="3"/>
  <c r="BL538" i="3"/>
  <c r="BL530" i="3"/>
  <c r="BL522" i="3"/>
  <c r="AZ522" i="3" s="1"/>
  <c r="BL512" i="3"/>
  <c r="BL502" i="3"/>
  <c r="BL494" i="3"/>
  <c r="BL578" i="3"/>
  <c r="BL552" i="3"/>
  <c r="BL540" i="3"/>
  <c r="G533" i="3"/>
  <c r="G529" i="3"/>
  <c r="G525" i="3"/>
  <c r="BL518" i="3"/>
  <c r="AZ518" i="3" s="1"/>
  <c r="BL510" i="3"/>
  <c r="BL500" i="3"/>
  <c r="G493" i="3"/>
  <c r="BA582" i="3"/>
  <c r="AZ582" i="3" s="1"/>
  <c r="BA554" i="3"/>
  <c r="BA552" i="3"/>
  <c r="AZ552" i="3" s="1"/>
  <c r="BA546" i="3"/>
  <c r="AZ546" i="3" s="1"/>
  <c r="BA542" i="3"/>
  <c r="BA540" i="3"/>
  <c r="BA534" i="3"/>
  <c r="BA532" i="3"/>
  <c r="BA528" i="3"/>
  <c r="BA526" i="3"/>
  <c r="BA524" i="3"/>
  <c r="BA522" i="3"/>
  <c r="BA518" i="3"/>
  <c r="BA514" i="3"/>
  <c r="BA510" i="3"/>
  <c r="AZ510" i="3" s="1"/>
  <c r="BA508" i="3"/>
  <c r="BA504" i="3"/>
  <c r="BA502" i="3"/>
  <c r="BA498" i="3"/>
  <c r="BA496" i="3"/>
  <c r="BA573" i="3"/>
  <c r="BA553" i="3"/>
  <c r="AZ553" i="3" s="1"/>
  <c r="BA547" i="3"/>
  <c r="BA543" i="3"/>
  <c r="BA539" i="3"/>
  <c r="BA535" i="3"/>
  <c r="BA531" i="3"/>
  <c r="BA527" i="3"/>
  <c r="BA523" i="3"/>
  <c r="BA517" i="3"/>
  <c r="AZ517" i="3" s="1"/>
  <c r="BA513" i="3"/>
  <c r="BA507" i="3"/>
  <c r="BA503" i="3"/>
  <c r="AZ503" i="3" s="1"/>
  <c r="BA499" i="3"/>
  <c r="BA495" i="3"/>
  <c r="G573" i="3"/>
  <c r="AC557" i="3"/>
  <c r="BQ557" i="3"/>
  <c r="BQ583" i="3"/>
  <c r="BQ581" i="3"/>
  <c r="BQ579" i="3"/>
  <c r="BQ577" i="3"/>
  <c r="BQ575" i="3"/>
  <c r="BL575" i="3"/>
  <c r="BQ573" i="3"/>
  <c r="BQ571" i="3"/>
  <c r="BQ569" i="3"/>
  <c r="BQ567" i="3"/>
  <c r="BQ565" i="3"/>
  <c r="BL565" i="3"/>
  <c r="BQ563" i="3"/>
  <c r="BQ561" i="3"/>
  <c r="BQ559" i="3"/>
  <c r="G555" i="3"/>
  <c r="G549" i="3"/>
  <c r="G545" i="3"/>
  <c r="G541" i="3"/>
  <c r="G537" i="3"/>
  <c r="BQ555" i="3"/>
  <c r="BL555" i="3"/>
  <c r="BQ553" i="3"/>
  <c r="BL553" i="3"/>
  <c r="BQ551" i="3"/>
  <c r="BL551" i="3" s="1"/>
  <c r="BQ549" i="3"/>
  <c r="BQ547" i="3"/>
  <c r="BQ545" i="3"/>
  <c r="BQ543" i="3"/>
  <c r="BL543" i="3"/>
  <c r="BQ541" i="3"/>
  <c r="BQ539" i="3"/>
  <c r="BL539" i="3" s="1"/>
  <c r="AZ539" i="3" s="1"/>
  <c r="BQ537" i="3"/>
  <c r="BL537" i="3"/>
  <c r="BQ535" i="3"/>
  <c r="BQ533" i="3"/>
  <c r="BL533" i="3" s="1"/>
  <c r="BQ531" i="3"/>
  <c r="BL531" i="3"/>
  <c r="AZ531" i="3" s="1"/>
  <c r="BQ529" i="3"/>
  <c r="BL529" i="3"/>
  <c r="BQ527" i="3"/>
  <c r="BL527" i="3"/>
  <c r="BQ525" i="3"/>
  <c r="BL525" i="3" s="1"/>
  <c r="BQ523" i="3"/>
  <c r="BL523" i="3"/>
  <c r="AZ523" i="3" s="1"/>
  <c r="AC521" i="3"/>
  <c r="G521" i="3" s="1"/>
  <c r="BQ521" i="3"/>
  <c r="BL521" i="3"/>
  <c r="G519" i="3"/>
  <c r="G515" i="3"/>
  <c r="G511" i="3"/>
  <c r="BQ519" i="3"/>
  <c r="BL519" i="3"/>
  <c r="BQ517" i="3"/>
  <c r="BL517" i="3"/>
  <c r="BQ515" i="3"/>
  <c r="BL515" i="3"/>
  <c r="BQ513" i="3"/>
  <c r="BL513" i="3" s="1"/>
  <c r="AZ513" i="3" s="1"/>
  <c r="BQ511" i="3"/>
  <c r="BA509" i="3"/>
  <c r="AC509" i="3"/>
  <c r="BQ509" i="3"/>
  <c r="BL509" i="3" s="1"/>
  <c r="G505" i="3"/>
  <c r="G501" i="3"/>
  <c r="G497" i="3"/>
  <c r="BQ507" i="3"/>
  <c r="BQ505" i="3"/>
  <c r="BQ503" i="3"/>
  <c r="BL503" i="3"/>
  <c r="BQ501" i="3"/>
  <c r="BL501" i="3" s="1"/>
  <c r="BQ499" i="3"/>
  <c r="BL499" i="3"/>
  <c r="AZ499" i="3" s="1"/>
  <c r="BQ497" i="3"/>
  <c r="BQ495" i="3"/>
  <c r="BQ493" i="3"/>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s="1"/>
  <c r="H43" i="33"/>
  <c r="U43" i="33" s="1"/>
  <c r="AB43" i="33"/>
  <c r="H17" i="37"/>
  <c r="U17" i="37"/>
  <c r="U32" i="33"/>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AA41" i="34" s="1"/>
  <c r="S41" i="34"/>
  <c r="H41" i="34"/>
  <c r="U41" i="34"/>
  <c r="J41" i="34"/>
  <c r="AC41" i="34"/>
  <c r="F10" i="35"/>
  <c r="S10" i="35"/>
  <c r="F24" i="35"/>
  <c r="AA24" i="35"/>
  <c r="H23" i="37"/>
  <c r="AB23" i="37" s="1"/>
  <c r="J32" i="37"/>
  <c r="F36" i="37"/>
  <c r="AA36" i="37" s="1"/>
  <c r="F37" i="37"/>
  <c r="AA37" i="37"/>
  <c r="H31" i="40"/>
  <c r="F32" i="40"/>
  <c r="H32" i="40"/>
  <c r="AB32" i="40"/>
  <c r="J36" i="40"/>
  <c r="W36" i="40" s="1"/>
  <c r="H19" i="37"/>
  <c r="H42" i="33"/>
  <c r="J43" i="33"/>
  <c r="AC43" i="33" s="1"/>
  <c r="AC32" i="36"/>
  <c r="AC33" i="36"/>
  <c r="U35" i="35"/>
  <c r="W23" i="35"/>
  <c r="AC8" i="37"/>
  <c r="W37" i="34"/>
  <c r="U19" i="21"/>
  <c r="U26" i="21"/>
  <c r="U12" i="21"/>
  <c r="F43" i="33"/>
  <c r="AA43" i="33"/>
  <c r="AC15" i="34"/>
  <c r="W16" i="35"/>
  <c r="W40" i="37"/>
  <c r="H37" i="21"/>
  <c r="U37" i="21" s="1"/>
  <c r="H19" i="34"/>
  <c r="F36" i="35"/>
  <c r="S36" i="35" s="1"/>
  <c r="J9" i="37"/>
  <c r="W9" i="37" s="1"/>
  <c r="H9" i="37"/>
  <c r="F9" i="37"/>
  <c r="S9" i="37" s="1"/>
  <c r="J12" i="37"/>
  <c r="W12" i="37" s="1"/>
  <c r="H12" i="37"/>
  <c r="AB12" i="37"/>
  <c r="F12" i="37"/>
  <c r="S12" i="37" s="1"/>
  <c r="E71" i="37"/>
  <c r="F15" i="37"/>
  <c r="AA15" i="37"/>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c r="U12" i="37"/>
  <c r="AT6" i="3"/>
  <c r="AA25" i="21"/>
  <c r="C12" i="43"/>
  <c r="H19" i="40"/>
  <c r="U19" i="40" s="1"/>
  <c r="F88" i="40"/>
  <c r="G88" i="40" s="1"/>
  <c r="F19" i="40"/>
  <c r="S19" i="40" s="1"/>
  <c r="AC13" i="40"/>
  <c r="W23" i="39"/>
  <c r="H37" i="39"/>
  <c r="H25" i="39"/>
  <c r="J25" i="39"/>
  <c r="AC25" i="39" s="1"/>
  <c r="F25" i="39"/>
  <c r="AA25" i="39" s="1"/>
  <c r="F15" i="39"/>
  <c r="H15" i="39"/>
  <c r="U15" i="39" s="1"/>
  <c r="J15" i="39"/>
  <c r="W15" i="39" s="1"/>
  <c r="H41" i="39"/>
  <c r="AB41" i="39" s="1"/>
  <c r="AB34" i="39"/>
  <c r="S42" i="39"/>
  <c r="W8" i="39"/>
  <c r="J19" i="40"/>
  <c r="AC19" i="40" s="1"/>
  <c r="J50" i="40"/>
  <c r="H103" i="9"/>
  <c r="D8" i="53" s="1"/>
  <c r="C7" i="37"/>
  <c r="C52" i="37" s="1"/>
  <c r="D52" i="37" s="1"/>
  <c r="C7" i="34"/>
  <c r="C7" i="36"/>
  <c r="C46" i="36" s="1"/>
  <c r="D46" i="36" s="1"/>
  <c r="E46" i="36" s="1"/>
  <c r="F46" i="36" s="1"/>
  <c r="G46" i="36" s="1"/>
  <c r="H46" i="36" s="1"/>
  <c r="I46" i="36" s="1"/>
  <c r="A118" i="9"/>
  <c r="A4" i="52"/>
  <c r="B41" i="72" s="1"/>
  <c r="J11" i="39"/>
  <c r="AC11" i="39" s="1"/>
  <c r="F11" i="39"/>
  <c r="AA11" i="39" s="1"/>
  <c r="G4" i="4"/>
  <c r="I4" i="4"/>
  <c r="A2" i="9"/>
  <c r="F59" i="43"/>
  <c r="H62" i="43" s="1"/>
  <c r="BL549" i="3"/>
  <c r="G546" i="3"/>
  <c r="G303" i="3"/>
  <c r="BL304" i="3"/>
  <c r="G305" i="3"/>
  <c r="BL306" i="3"/>
  <c r="BA308" i="3"/>
  <c r="BA309" i="3"/>
  <c r="BL309" i="3"/>
  <c r="G310" i="3"/>
  <c r="BA311" i="3"/>
  <c r="G319" i="3"/>
  <c r="BL320" i="3"/>
  <c r="AZ320" i="3" s="1"/>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BA376" i="3"/>
  <c r="BL376" i="3"/>
  <c r="AZ376" i="3" s="1"/>
  <c r="G377" i="3"/>
  <c r="BA378" i="3"/>
  <c r="BL378" i="3"/>
  <c r="G379" i="3"/>
  <c r="BA380" i="3"/>
  <c r="G388" i="3"/>
  <c r="BL389" i="3"/>
  <c r="G390" i="3"/>
  <c r="BL391" i="3"/>
  <c r="BA393" i="3"/>
  <c r="AZ393" i="3" s="1"/>
  <c r="BA394" i="3"/>
  <c r="AZ394" i="3" s="1"/>
  <c r="BL394" i="3"/>
  <c r="G113" i="3"/>
  <c r="BA115" i="3"/>
  <c r="BL116" i="3"/>
  <c r="AZ116" i="3" s="1"/>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BL160" i="3"/>
  <c r="G161" i="3"/>
  <c r="BA163" i="3"/>
  <c r="BL164" i="3"/>
  <c r="AZ164" i="3"/>
  <c r="G165" i="3"/>
  <c r="BA167" i="3"/>
  <c r="BL168" i="3"/>
  <c r="G169" i="3"/>
  <c r="BA171" i="3"/>
  <c r="BL172" i="3"/>
  <c r="G173" i="3"/>
  <c r="BA175" i="3"/>
  <c r="BL176" i="3"/>
  <c r="G177" i="3"/>
  <c r="BA179" i="3"/>
  <c r="AZ179" i="3" s="1"/>
  <c r="BL180" i="3"/>
  <c r="G181" i="3"/>
  <c r="BL184" i="3"/>
  <c r="G185" i="3"/>
  <c r="BA187" i="3"/>
  <c r="BL188" i="3"/>
  <c r="G189" i="3"/>
  <c r="BA191" i="3"/>
  <c r="BL192" i="3"/>
  <c r="AZ192" i="3" s="1"/>
  <c r="G193" i="3"/>
  <c r="BA195" i="3"/>
  <c r="BL196" i="3"/>
  <c r="AZ196" i="3"/>
  <c r="G197" i="3"/>
  <c r="BA199" i="3"/>
  <c r="BL200" i="3"/>
  <c r="G201" i="3"/>
  <c r="BA203" i="3"/>
  <c r="AZ203" i="3" s="1"/>
  <c r="BL204" i="3"/>
  <c r="AZ136" i="3"/>
  <c r="AZ144" i="3"/>
  <c r="AZ176" i="3"/>
  <c r="G530" i="3"/>
  <c r="G516" i="3"/>
  <c r="G506" i="3"/>
  <c r="G494" i="3"/>
  <c r="G16" i="3"/>
  <c r="G15" i="3"/>
  <c r="BA304" i="3"/>
  <c r="AZ304" i="3" s="1"/>
  <c r="BA305" i="3"/>
  <c r="BL305" i="3"/>
  <c r="G306" i="3"/>
  <c r="G309" i="3"/>
  <c r="BL310" i="3"/>
  <c r="AZ310" i="3" s="1"/>
  <c r="BL313" i="3"/>
  <c r="G317" i="3"/>
  <c r="BL318" i="3"/>
  <c r="BA320" i="3"/>
  <c r="BA321" i="3"/>
  <c r="BL321" i="3"/>
  <c r="G322" i="3"/>
  <c r="G325" i="3"/>
  <c r="BL326" i="3"/>
  <c r="BA328" i="3"/>
  <c r="BA329" i="3"/>
  <c r="AZ329" i="3" s="1"/>
  <c r="BL329" i="3"/>
  <c r="G330" i="3"/>
  <c r="G333" i="3"/>
  <c r="BL334" i="3"/>
  <c r="BA336" i="3"/>
  <c r="AZ336" i="3"/>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AZ387" i="3" s="1"/>
  <c r="BA389" i="3"/>
  <c r="AZ389" i="3" s="1"/>
  <c r="BA390" i="3"/>
  <c r="BL390" i="3"/>
  <c r="G391" i="3"/>
  <c r="G394" i="3"/>
  <c r="BA16" i="3"/>
  <c r="BL303" i="3"/>
  <c r="G304" i="3"/>
  <c r="BA306" i="3"/>
  <c r="AZ306" i="3" s="1"/>
  <c r="BL307" i="3"/>
  <c r="G308" i="3"/>
  <c r="BA310" i="3"/>
  <c r="G312" i="3"/>
  <c r="BL315" i="3"/>
  <c r="G316" i="3"/>
  <c r="BA318" i="3"/>
  <c r="AZ318" i="3" s="1"/>
  <c r="BL319" i="3"/>
  <c r="AZ319" i="3" s="1"/>
  <c r="G320" i="3"/>
  <c r="BA322" i="3"/>
  <c r="BL323" i="3"/>
  <c r="AZ323" i="3" s="1"/>
  <c r="G324" i="3"/>
  <c r="BA326" i="3"/>
  <c r="AZ326" i="3"/>
  <c r="BL327" i="3"/>
  <c r="AZ327" i="3"/>
  <c r="G328" i="3"/>
  <c r="BA330" i="3"/>
  <c r="G332" i="3"/>
  <c r="BA334" i="3"/>
  <c r="BL335" i="3"/>
  <c r="AZ335" i="3" s="1"/>
  <c r="G336" i="3"/>
  <c r="BA338" i="3"/>
  <c r="BL339" i="3"/>
  <c r="G340" i="3"/>
  <c r="BL343" i="3"/>
  <c r="G344" i="3"/>
  <c r="G348" i="3"/>
  <c r="G355" i="3"/>
  <c r="G342" i="3"/>
  <c r="BL345" i="3"/>
  <c r="G346" i="3"/>
  <c r="BL349" i="3"/>
  <c r="BL352" i="3"/>
  <c r="G353" i="3"/>
  <c r="BA357" i="3"/>
  <c r="BL358" i="3"/>
  <c r="G359" i="3"/>
  <c r="BA361" i="3"/>
  <c r="BL362" i="3"/>
  <c r="G363" i="3"/>
  <c r="BA365" i="3"/>
  <c r="AZ365" i="3" s="1"/>
  <c r="BL366" i="3"/>
  <c r="G367" i="3"/>
  <c r="BA369" i="3"/>
  <c r="AZ369" i="3"/>
  <c r="BL370" i="3"/>
  <c r="AZ370" i="3" s="1"/>
  <c r="G371" i="3"/>
  <c r="BA373" i="3"/>
  <c r="BL374" i="3"/>
  <c r="AZ374" i="3" s="1"/>
  <c r="G375" i="3"/>
  <c r="BA377" i="3"/>
  <c r="AZ377" i="3" s="1"/>
  <c r="BA379" i="3"/>
  <c r="AZ379" i="3"/>
  <c r="BL380" i="3"/>
  <c r="G381" i="3"/>
  <c r="BA383" i="3"/>
  <c r="AZ383" i="3"/>
  <c r="BL384" i="3"/>
  <c r="G385" i="3"/>
  <c r="BA387" i="3"/>
  <c r="BL388" i="3"/>
  <c r="G389" i="3"/>
  <c r="BA391" i="3"/>
  <c r="AZ391" i="3"/>
  <c r="BL392" i="3"/>
  <c r="G393" i="3"/>
  <c r="BM5" i="3"/>
  <c r="G548" i="3"/>
  <c r="G520" i="3"/>
  <c r="BK5" i="3"/>
  <c r="G17" i="3"/>
  <c r="BA17" i="3"/>
  <c r="AZ364" i="3"/>
  <c r="BA15" i="3"/>
  <c r="AZ380" i="3"/>
  <c r="G509" i="3"/>
  <c r="BL493" i="3"/>
  <c r="U36" i="40"/>
  <c r="F36" i="43"/>
  <c r="F81" i="43"/>
  <c r="H86" i="43" s="1"/>
  <c r="H83" i="43"/>
  <c r="H113" i="43"/>
  <c r="F48" i="43"/>
  <c r="H53" i="43" s="1"/>
  <c r="F70" i="43"/>
  <c r="H73" i="43" s="1"/>
  <c r="M11" i="43"/>
  <c r="D17" i="43"/>
  <c r="F39" i="43"/>
  <c r="I17" i="43"/>
  <c r="F35" i="43"/>
  <c r="J17" i="43"/>
  <c r="F6" i="1"/>
  <c r="G6" i="1" s="1"/>
  <c r="U17" i="39"/>
  <c r="S14" i="35"/>
  <c r="U35" i="21"/>
  <c r="U10" i="21"/>
  <c r="G10" i="1"/>
  <c r="F48" i="9"/>
  <c r="O52" i="9" s="1"/>
  <c r="AC44" i="34"/>
  <c r="S15" i="37"/>
  <c r="U12" i="40"/>
  <c r="J37" i="33"/>
  <c r="W37" i="33" s="1"/>
  <c r="J34" i="33"/>
  <c r="F33" i="34"/>
  <c r="H20" i="36"/>
  <c r="U20" i="36" s="1"/>
  <c r="J20" i="36"/>
  <c r="W24" i="36"/>
  <c r="J27" i="36"/>
  <c r="W27" i="36"/>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U32" i="37" s="1"/>
  <c r="F96" i="37"/>
  <c r="G96" i="37" s="1"/>
  <c r="H96" i="37" s="1"/>
  <c r="I96" i="37" s="1"/>
  <c r="J96" i="37" s="1"/>
  <c r="K96" i="37" s="1"/>
  <c r="L96" i="37" s="1"/>
  <c r="M96" i="37" s="1"/>
  <c r="H27" i="40"/>
  <c r="U27" i="40"/>
  <c r="J27" i="40"/>
  <c r="AC27" i="40" s="1"/>
  <c r="F27" i="40"/>
  <c r="S27" i="40" s="1"/>
  <c r="J30" i="40"/>
  <c r="AC30" i="40" s="1"/>
  <c r="F30" i="40"/>
  <c r="AC21" i="40"/>
  <c r="E98" i="40"/>
  <c r="F98" i="40" s="1"/>
  <c r="G98" i="40" s="1"/>
  <c r="H98" i="40" s="1"/>
  <c r="I98" i="40" s="1"/>
  <c r="J98" i="40" s="1"/>
  <c r="K98" i="40" s="1"/>
  <c r="L98" i="40" s="1"/>
  <c r="M98" i="40" s="1"/>
  <c r="F10" i="33"/>
  <c r="S10" i="33" s="1"/>
  <c r="F34" i="33"/>
  <c r="S34" i="33"/>
  <c r="H34" i="33"/>
  <c r="U34" i="33" s="1"/>
  <c r="F35" i="33"/>
  <c r="AA35" i="33" s="1"/>
  <c r="F39" i="34"/>
  <c r="S39" i="34" s="1"/>
  <c r="J39" i="34"/>
  <c r="W39" i="34" s="1"/>
  <c r="F40" i="34"/>
  <c r="F43" i="34"/>
  <c r="AA43" i="34" s="1"/>
  <c r="H44" i="34"/>
  <c r="AB44" i="34" s="1"/>
  <c r="AC38" i="39"/>
  <c r="F39" i="39"/>
  <c r="S39" i="39" s="1"/>
  <c r="J39" i="39"/>
  <c r="AC39" i="39" s="1"/>
  <c r="E96" i="39"/>
  <c r="F96" i="39" s="1"/>
  <c r="G96" i="39" s="1"/>
  <c r="C40" i="11"/>
  <c r="AZ114" i="3"/>
  <c r="H75" i="43"/>
  <c r="I20" i="43"/>
  <c r="F23" i="39"/>
  <c r="AA23" i="39"/>
  <c r="H27" i="36"/>
  <c r="U27" i="36" s="1"/>
  <c r="F27" i="36"/>
  <c r="AA27" i="36" s="1"/>
  <c r="H33" i="34"/>
  <c r="U33" i="34" s="1"/>
  <c r="F32" i="37"/>
  <c r="F20" i="36"/>
  <c r="S20" i="36" s="1"/>
  <c r="J33" i="34"/>
  <c r="AC33" i="34"/>
  <c r="H23" i="39"/>
  <c r="U23" i="39" s="1"/>
  <c r="D48" i="9"/>
  <c r="M52" i="9" s="1"/>
  <c r="H82" i="43"/>
  <c r="H87" i="43"/>
  <c r="K9" i="1"/>
  <c r="M9" i="1" s="1"/>
  <c r="O9" i="1" s="1"/>
  <c r="AE9" i="1"/>
  <c r="D93" i="9"/>
  <c r="W27" i="34"/>
  <c r="AC27" i="34"/>
  <c r="AB34" i="36"/>
  <c r="U34" i="36"/>
  <c r="W12" i="33"/>
  <c r="AC12" i="33"/>
  <c r="AA39" i="34"/>
  <c r="BL14" i="3"/>
  <c r="AA47" i="34"/>
  <c r="S19" i="39"/>
  <c r="F12" i="33"/>
  <c r="H12" i="39"/>
  <c r="AB12" i="39" s="1"/>
  <c r="F39" i="40"/>
  <c r="BA14" i="3"/>
  <c r="S12" i="1"/>
  <c r="AQ12" i="1" s="1"/>
  <c r="R12" i="1"/>
  <c r="B12" i="1"/>
  <c r="E12" i="1" s="1"/>
  <c r="S10" i="1"/>
  <c r="AQ10" i="1" s="1"/>
  <c r="R10" i="1"/>
  <c r="B10" i="1"/>
  <c r="E10" i="1"/>
  <c r="K12" i="1"/>
  <c r="M12" i="1" s="1"/>
  <c r="S13" i="1"/>
  <c r="AQ13" i="1" s="1"/>
  <c r="R13" i="1"/>
  <c r="S11" i="1"/>
  <c r="AR11" i="1" s="1"/>
  <c r="R11" i="1"/>
  <c r="S9" i="1"/>
  <c r="AR9" i="1" s="1"/>
  <c r="R9" i="1"/>
  <c r="J51" i="67"/>
  <c r="C42" i="1"/>
  <c r="H100" i="43"/>
  <c r="AA34" i="33"/>
  <c r="B41" i="1"/>
  <c r="F53" i="9"/>
  <c r="J100" i="43"/>
  <c r="AB37" i="40"/>
  <c r="S35" i="40"/>
  <c r="AC36" i="40"/>
  <c r="S17" i="40"/>
  <c r="S23" i="40"/>
  <c r="AC17" i="40"/>
  <c r="AC15" i="40"/>
  <c r="AB27" i="40"/>
  <c r="AA19" i="40"/>
  <c r="S28" i="40"/>
  <c r="U21" i="40"/>
  <c r="S43" i="39"/>
  <c r="U35" i="39"/>
  <c r="F32" i="39"/>
  <c r="F106" i="39"/>
  <c r="G106" i="39" s="1"/>
  <c r="H106" i="39" s="1"/>
  <c r="I106" i="39" s="1"/>
  <c r="J106" i="39" s="1"/>
  <c r="K106" i="39" s="1"/>
  <c r="L106" i="39" s="1"/>
  <c r="M106" i="39" s="1"/>
  <c r="AB27" i="39"/>
  <c r="J21" i="39"/>
  <c r="W21" i="39" s="1"/>
  <c r="F21" i="39"/>
  <c r="AA21" i="39" s="1"/>
  <c r="G94" i="39"/>
  <c r="H21" i="39"/>
  <c r="U21" i="39" s="1"/>
  <c r="U19" i="39"/>
  <c r="AA12" i="39"/>
  <c r="U14" i="39"/>
  <c r="AC27" i="36"/>
  <c r="AB27" i="36"/>
  <c r="U26" i="36"/>
  <c r="S33" i="36"/>
  <c r="AA26" i="36"/>
  <c r="AA34" i="36"/>
  <c r="S29" i="36"/>
  <c r="AC26" i="36"/>
  <c r="AA22" i="36"/>
  <c r="W14" i="36"/>
  <c r="U22" i="36"/>
  <c r="S16" i="36"/>
  <c r="AA25" i="36"/>
  <c r="S24" i="36"/>
  <c r="U24" i="36"/>
  <c r="AB20" i="36"/>
  <c r="U16" i="36"/>
  <c r="S14" i="36"/>
  <c r="U10" i="36"/>
  <c r="W10" i="36"/>
  <c r="AA25" i="35"/>
  <c r="S23" i="35"/>
  <c r="AB13" i="35"/>
  <c r="U29" i="35"/>
  <c r="U28" i="35"/>
  <c r="AB27" i="35"/>
  <c r="AA33" i="35"/>
  <c r="AC30" i="35"/>
  <c r="S32" i="35"/>
  <c r="AA36" i="35"/>
  <c r="W32" i="35"/>
  <c r="AB16" i="35"/>
  <c r="S20" i="35"/>
  <c r="AC20" i="35"/>
  <c r="S22" i="35"/>
  <c r="U14" i="35"/>
  <c r="AC10" i="35"/>
  <c r="AA10" i="35"/>
  <c r="AB10" i="35"/>
  <c r="H9" i="35"/>
  <c r="U9" i="35" s="1"/>
  <c r="AB40" i="37"/>
  <c r="AC9" i="37"/>
  <c r="AC29" i="37"/>
  <c r="U29" i="37"/>
  <c r="AB31" i="37"/>
  <c r="W30" i="37"/>
  <c r="S36" i="37"/>
  <c r="W38" i="37"/>
  <c r="AC35" i="37"/>
  <c r="S37" i="37"/>
  <c r="AC15" i="37"/>
  <c r="J17" i="37"/>
  <c r="W17" i="37" s="1"/>
  <c r="G73" i="37"/>
  <c r="F17" i="37"/>
  <c r="AA17" i="37" s="1"/>
  <c r="AB17" i="37"/>
  <c r="F19" i="37"/>
  <c r="F79" i="37"/>
  <c r="G79" i="37" s="1"/>
  <c r="F23" i="37"/>
  <c r="S23" i="37" s="1"/>
  <c r="U23" i="37"/>
  <c r="U15" i="37"/>
  <c r="AC13" i="37"/>
  <c r="AA13" i="37"/>
  <c r="AA12" i="37"/>
  <c r="AA9" i="37"/>
  <c r="H10" i="37"/>
  <c r="H60" i="37"/>
  <c r="I60" i="37" s="1"/>
  <c r="F11" i="37"/>
  <c r="S27" i="34"/>
  <c r="AB8" i="34"/>
  <c r="U44" i="34"/>
  <c r="W41" i="34"/>
  <c r="AC42" i="34"/>
  <c r="AB35" i="34"/>
  <c r="U39" i="34"/>
  <c r="AB41" i="34"/>
  <c r="W34" i="34"/>
  <c r="S17" i="34"/>
  <c r="U27" i="34"/>
  <c r="U15" i="34"/>
  <c r="S13" i="34"/>
  <c r="H67" i="34"/>
  <c r="I67" i="34" s="1"/>
  <c r="H10" i="34"/>
  <c r="AB10" i="34" s="1"/>
  <c r="F11" i="34"/>
  <c r="S11" i="34"/>
  <c r="F70" i="34"/>
  <c r="W42" i="33"/>
  <c r="S27" i="33"/>
  <c r="S32" i="33"/>
  <c r="AB29" i="33"/>
  <c r="W38" i="33"/>
  <c r="H41" i="33"/>
  <c r="AB41" i="33" s="1"/>
  <c r="J121" i="33"/>
  <c r="K121" i="33" s="1"/>
  <c r="L121" i="33" s="1"/>
  <c r="M121" i="33" s="1"/>
  <c r="S42" i="33"/>
  <c r="K108" i="33"/>
  <c r="L108" i="33" s="1"/>
  <c r="M108" i="33" s="1"/>
  <c r="J35" i="33"/>
  <c r="AC35" i="33" s="1"/>
  <c r="S37" i="33"/>
  <c r="AA37" i="33"/>
  <c r="F101" i="33"/>
  <c r="G101" i="33" s="1"/>
  <c r="H101" i="33" s="1"/>
  <c r="I101" i="33" s="1"/>
  <c r="J101" i="33" s="1"/>
  <c r="K101" i="33" s="1"/>
  <c r="L101" i="33" s="1"/>
  <c r="M101" i="33" s="1"/>
  <c r="J32" i="33"/>
  <c r="W32" i="33" s="1"/>
  <c r="S46" i="33"/>
  <c r="S43" i="33"/>
  <c r="H27" i="33"/>
  <c r="U27" i="33" s="1"/>
  <c r="H25" i="33"/>
  <c r="AB25" i="33" s="1"/>
  <c r="F25" i="33"/>
  <c r="J23" i="33"/>
  <c r="W23" i="33" s="1"/>
  <c r="F85" i="33"/>
  <c r="H23" i="33"/>
  <c r="F19" i="33"/>
  <c r="W19" i="33"/>
  <c r="J17" i="33"/>
  <c r="F79" i="33"/>
  <c r="G79" i="33" s="1"/>
  <c r="S15" i="33"/>
  <c r="W15" i="33"/>
  <c r="U9" i="33"/>
  <c r="I66" i="33"/>
  <c r="J10" i="33"/>
  <c r="W10" i="33" s="1"/>
  <c r="H10" i="33"/>
  <c r="AA10" i="33"/>
  <c r="W43" i="21"/>
  <c r="W36" i="21"/>
  <c r="W41" i="21"/>
  <c r="AB39" i="21"/>
  <c r="AA43" i="21"/>
  <c r="S39" i="21"/>
  <c r="AA38" i="21"/>
  <c r="AC40" i="21"/>
  <c r="J15" i="21"/>
  <c r="W15" i="21"/>
  <c r="F77" i="21"/>
  <c r="G77" i="21"/>
  <c r="F23" i="21"/>
  <c r="AA23" i="21" s="1"/>
  <c r="S23" i="21"/>
  <c r="E85" i="21"/>
  <c r="AC11" i="21"/>
  <c r="AB8" i="21"/>
  <c r="M3" i="43"/>
  <c r="M1" i="43"/>
  <c r="N8" i="43"/>
  <c r="D120" i="9"/>
  <c r="D121" i="9" s="1"/>
  <c r="D7" i="52" s="1"/>
  <c r="F34" i="67"/>
  <c r="F62" i="67" s="1"/>
  <c r="F34" i="15"/>
  <c r="F62" i="15" s="1"/>
  <c r="BL17" i="3"/>
  <c r="BL13" i="3"/>
  <c r="J56" i="9"/>
  <c r="J57" i="9" s="1"/>
  <c r="J59" i="9" s="1"/>
  <c r="J61" i="9" s="1"/>
  <c r="U29" i="34"/>
  <c r="E32" i="6"/>
  <c r="L19" i="6"/>
  <c r="G1" i="68"/>
  <c r="K1" i="12"/>
  <c r="E19" i="69"/>
  <c r="E1" i="73"/>
  <c r="G22" i="11"/>
  <c r="C100" i="43"/>
  <c r="E81" i="43"/>
  <c r="B79" i="43"/>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7" i="39" s="1"/>
  <c r="C69" i="39" s="1"/>
  <c r="C7" i="35"/>
  <c r="C48" i="35" s="1"/>
  <c r="D48" i="35" s="1"/>
  <c r="C7" i="33"/>
  <c r="C7" i="21"/>
  <c r="C58" i="21" s="1"/>
  <c r="C7" i="40"/>
  <c r="C63" i="40" s="1"/>
  <c r="M47" i="9"/>
  <c r="G19" i="43"/>
  <c r="O19" i="43" s="1"/>
  <c r="C19" i="43" s="1"/>
  <c r="T35" i="4"/>
  <c r="A19" i="51" s="1"/>
  <c r="B14" i="72" s="1"/>
  <c r="C59" i="34"/>
  <c r="D59" i="34" s="1"/>
  <c r="E59" i="34" s="1"/>
  <c r="F59" i="34" s="1"/>
  <c r="G59" i="34" s="1"/>
  <c r="H59" i="34" s="1"/>
  <c r="I59" i="34" s="1"/>
  <c r="J59" i="34" s="1"/>
  <c r="C4" i="12"/>
  <c r="H66" i="43"/>
  <c r="H65" i="43"/>
  <c r="H64" i="43"/>
  <c r="H63" i="43"/>
  <c r="H72" i="43"/>
  <c r="L20" i="6"/>
  <c r="B6" i="1"/>
  <c r="E6" i="1" s="1"/>
  <c r="S8" i="1"/>
  <c r="AR8" i="1" s="1"/>
  <c r="K11" i="1"/>
  <c r="M11" i="1" s="1"/>
  <c r="O11" i="1" s="1"/>
  <c r="AP6" i="1"/>
  <c r="B9" i="1"/>
  <c r="E9" i="1"/>
  <c r="K7" i="1"/>
  <c r="G1" i="15"/>
  <c r="G1" i="69"/>
  <c r="G1" i="67"/>
  <c r="W23" i="40"/>
  <c r="U32" i="40"/>
  <c r="S37" i="40"/>
  <c r="AB28" i="40"/>
  <c r="W28" i="40"/>
  <c r="W34" i="40"/>
  <c r="W19" i="40"/>
  <c r="W27" i="40"/>
  <c r="S36" i="40"/>
  <c r="AA15" i="40"/>
  <c r="U11" i="40"/>
  <c r="AB17" i="40"/>
  <c r="S8" i="40"/>
  <c r="AC41" i="39"/>
  <c r="U42" i="39"/>
  <c r="U41" i="39"/>
  <c r="U13" i="39"/>
  <c r="S14" i="39"/>
  <c r="AA14" i="39"/>
  <c r="AB11" i="39"/>
  <c r="U11" i="39"/>
  <c r="AA27" i="39"/>
  <c r="S27" i="39"/>
  <c r="W17" i="39"/>
  <c r="AC17" i="39"/>
  <c r="S23" i="39"/>
  <c r="AB39" i="39"/>
  <c r="U38" i="39"/>
  <c r="S8" i="39"/>
  <c r="AC25" i="36"/>
  <c r="S28" i="36"/>
  <c r="U25" i="36"/>
  <c r="AB20" i="35"/>
  <c r="S24" i="35"/>
  <c r="W33" i="35"/>
  <c r="S35" i="35"/>
  <c r="W35" i="35"/>
  <c r="AA16" i="35"/>
  <c r="W36" i="37"/>
  <c r="S28" i="37"/>
  <c r="U36" i="37"/>
  <c r="U38" i="37"/>
  <c r="S33" i="37"/>
  <c r="AA29" i="37"/>
  <c r="AA8" i="37"/>
  <c r="U8" i="37"/>
  <c r="AB40" i="34"/>
  <c r="W19" i="34"/>
  <c r="AB33" i="34"/>
  <c r="AC45" i="34"/>
  <c r="AB45" i="34"/>
  <c r="AB47" i="34"/>
  <c r="U25" i="34"/>
  <c r="AB36" i="34"/>
  <c r="W33" i="34"/>
  <c r="AC14" i="34"/>
  <c r="AC29" i="34"/>
  <c r="W29" i="34"/>
  <c r="S32" i="34"/>
  <c r="AA32" i="34"/>
  <c r="S37" i="34"/>
  <c r="AC40" i="34"/>
  <c r="AA19" i="34"/>
  <c r="AA36" i="34"/>
  <c r="S36" i="34"/>
  <c r="AA8" i="34"/>
  <c r="S8" i="34"/>
  <c r="AB9" i="34"/>
  <c r="U9" i="34"/>
  <c r="U32" i="34"/>
  <c r="AC43" i="34"/>
  <c r="W43" i="34"/>
  <c r="AA11" i="34"/>
  <c r="W23" i="34"/>
  <c r="AC23" i="34"/>
  <c r="W35" i="34"/>
  <c r="AC37" i="33"/>
  <c r="U38" i="33"/>
  <c r="AB34" i="33"/>
  <c r="U44" i="33"/>
  <c r="S30" i="33"/>
  <c r="AC14" i="33"/>
  <c r="W14" i="33"/>
  <c r="AC30" i="33"/>
  <c r="W30" i="33"/>
  <c r="U15" i="33"/>
  <c r="U37" i="33"/>
  <c r="AC28" i="33"/>
  <c r="S28" i="33"/>
  <c r="W8" i="33"/>
  <c r="S44" i="21"/>
  <c r="AB42" i="21"/>
  <c r="U28" i="21"/>
  <c r="I101" i="21"/>
  <c r="J101" i="21"/>
  <c r="K101" i="21" s="1"/>
  <c r="L101" i="21" s="1"/>
  <c r="M101" i="21" s="1"/>
  <c r="F33" i="21"/>
  <c r="J33" i="21"/>
  <c r="W33" i="21" s="1"/>
  <c r="H33" i="21"/>
  <c r="AB33" i="21"/>
  <c r="F37" i="21"/>
  <c r="AA37" i="21" s="1"/>
  <c r="AA26" i="21"/>
  <c r="AB14" i="21"/>
  <c r="U40" i="21"/>
  <c r="AC15" i="21"/>
  <c r="AB37" i="21"/>
  <c r="J37" i="21"/>
  <c r="W37" i="21"/>
  <c r="H15" i="21"/>
  <c r="J17" i="21"/>
  <c r="AC17" i="21" s="1"/>
  <c r="AC19" i="21"/>
  <c r="W39" i="21"/>
  <c r="AC14" i="21"/>
  <c r="H45" i="21"/>
  <c r="U45" i="21" s="1"/>
  <c r="F29" i="21"/>
  <c r="AA29" i="21" s="1"/>
  <c r="H32" i="21"/>
  <c r="J9" i="21"/>
  <c r="AC9" i="21" s="1"/>
  <c r="J32" i="21"/>
  <c r="W32" i="21" s="1"/>
  <c r="F32" i="21"/>
  <c r="AA32" i="21" s="1"/>
  <c r="U17" i="21"/>
  <c r="K141" i="21"/>
  <c r="K143" i="21"/>
  <c r="AB25" i="21"/>
  <c r="AB44" i="21"/>
  <c r="W42" i="21"/>
  <c r="F10" i="21"/>
  <c r="AA10" i="21" s="1"/>
  <c r="W25" i="21"/>
  <c r="S17" i="21"/>
  <c r="AC27" i="21"/>
  <c r="AC34" i="21"/>
  <c r="W10" i="21"/>
  <c r="W30" i="40"/>
  <c r="C17" i="40"/>
  <c r="C23" i="40"/>
  <c r="C21" i="40"/>
  <c r="B54" i="43"/>
  <c r="B65" i="43"/>
  <c r="B49" i="43"/>
  <c r="B56" i="43"/>
  <c r="B63" i="43"/>
  <c r="B67" i="43"/>
  <c r="D23" i="15"/>
  <c r="E4" i="4"/>
  <c r="B5" i="62" s="1"/>
  <c r="B73" i="72" s="1"/>
  <c r="C4" i="4"/>
  <c r="M18" i="15"/>
  <c r="F28" i="15"/>
  <c r="AA39" i="40"/>
  <c r="S39" i="40"/>
  <c r="S12" i="33"/>
  <c r="AA12" i="33"/>
  <c r="J32" i="39"/>
  <c r="H32" i="39"/>
  <c r="AB32" i="39" s="1"/>
  <c r="AA32" i="39"/>
  <c r="S32" i="39"/>
  <c r="AB21" i="39"/>
  <c r="S21" i="39"/>
  <c r="J19" i="37"/>
  <c r="AC19" i="37" s="1"/>
  <c r="J23" i="37"/>
  <c r="AC23" i="37" s="1"/>
  <c r="J10" i="37"/>
  <c r="W10" i="37" s="1"/>
  <c r="G63" i="37"/>
  <c r="H63" i="37" s="1"/>
  <c r="I63" i="37" s="1"/>
  <c r="H11" i="37"/>
  <c r="AB10" i="37"/>
  <c r="U10" i="37"/>
  <c r="G70" i="34"/>
  <c r="H70" i="34" s="1"/>
  <c r="I70" i="34" s="1"/>
  <c r="J70" i="34" s="1"/>
  <c r="K70" i="34" s="1"/>
  <c r="L70" i="34" s="1"/>
  <c r="M70" i="34" s="1"/>
  <c r="H11" i="34"/>
  <c r="J10" i="34"/>
  <c r="U41" i="33"/>
  <c r="W35" i="33"/>
  <c r="AC32" i="33"/>
  <c r="J27" i="33"/>
  <c r="U25" i="33"/>
  <c r="S25" i="33"/>
  <c r="AA25" i="33"/>
  <c r="G87" i="33"/>
  <c r="H87" i="33" s="1"/>
  <c r="I87" i="33" s="1"/>
  <c r="J87" i="33" s="1"/>
  <c r="K87" i="33" s="1"/>
  <c r="L87" i="33" s="1"/>
  <c r="M87" i="33" s="1"/>
  <c r="J25" i="33"/>
  <c r="F23" i="33"/>
  <c r="S23" i="33" s="1"/>
  <c r="G85" i="33"/>
  <c r="H19" i="33"/>
  <c r="H17" i="33"/>
  <c r="U17" i="33" s="1"/>
  <c r="F17" i="33"/>
  <c r="U10" i="33"/>
  <c r="AB10" i="33"/>
  <c r="AC10" i="33"/>
  <c r="AC37" i="21"/>
  <c r="U33" i="21"/>
  <c r="S37" i="21"/>
  <c r="J23" i="21"/>
  <c r="F85" i="21"/>
  <c r="G85" i="21" s="1"/>
  <c r="H23" i="21"/>
  <c r="AB23" i="21" s="1"/>
  <c r="D6" i="52"/>
  <c r="AP7" i="1"/>
  <c r="AC33" i="21"/>
  <c r="S33" i="21"/>
  <c r="AA33" i="21"/>
  <c r="W9" i="21"/>
  <c r="U32" i="39"/>
  <c r="W23" i="37"/>
  <c r="AB11" i="37"/>
  <c r="U11" i="37"/>
  <c r="J63" i="37"/>
  <c r="K63" i="37" s="1"/>
  <c r="L63" i="37" s="1"/>
  <c r="M63" i="37" s="1"/>
  <c r="J11" i="37"/>
  <c r="W11" i="37" s="1"/>
  <c r="U11" i="34"/>
  <c r="AB11" i="34"/>
  <c r="J11" i="34"/>
  <c r="AC11" i="34" s="1"/>
  <c r="AB19" i="33"/>
  <c r="U19" i="33"/>
  <c r="AC23" i="21"/>
  <c r="W23" i="21"/>
  <c r="AC11" i="37"/>
  <c r="F11" i="12"/>
  <c r="C23" i="12" s="1"/>
  <c r="R8" i="1"/>
  <c r="AE8" i="1"/>
  <c r="H109" i="9"/>
  <c r="H110" i="9" s="1"/>
  <c r="D18" i="53" s="1"/>
  <c r="B35" i="72" s="1"/>
  <c r="D124" i="9"/>
  <c r="D10" i="52" s="1"/>
  <c r="H112" i="9"/>
  <c r="D21" i="53"/>
  <c r="B39" i="72" s="1"/>
  <c r="H111" i="9"/>
  <c r="D126" i="9" s="1"/>
  <c r="AD3" i="71"/>
  <c r="J1" i="73"/>
  <c r="C13" i="12"/>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D21" i="71"/>
  <c r="U21" i="71" s="1"/>
  <c r="T21" i="71"/>
  <c r="X17" i="71"/>
  <c r="AA17" i="71"/>
  <c r="X20" i="71"/>
  <c r="AB17" i="71"/>
  <c r="Y17" i="71"/>
  <c r="Z17" i="71" s="1"/>
  <c r="G20" i="43"/>
  <c r="F5" i="73"/>
  <c r="D2" i="34"/>
  <c r="D2" i="21"/>
  <c r="B11" i="76"/>
  <c r="AO12" i="1"/>
  <c r="F9" i="15"/>
  <c r="M9" i="15"/>
  <c r="AO13" i="1"/>
  <c r="F6" i="73"/>
  <c r="M24" i="15"/>
  <c r="E9" i="76"/>
  <c r="M6" i="15"/>
  <c r="D4" i="73"/>
  <c r="D2" i="33"/>
  <c r="F9" i="67"/>
  <c r="D3" i="73"/>
  <c r="L48" i="15"/>
  <c r="AO10" i="1"/>
  <c r="E2" i="68"/>
  <c r="F4" i="73"/>
  <c r="J15" i="67"/>
  <c r="D2" i="36"/>
  <c r="F3" i="73"/>
  <c r="AO11" i="1"/>
  <c r="E7" i="76"/>
  <c r="F8" i="15"/>
  <c r="F36" i="67"/>
  <c r="D34" i="9"/>
  <c r="B8" i="76"/>
  <c r="F26" i="15"/>
  <c r="D6" i="73"/>
  <c r="AO8" i="1"/>
  <c r="D2" i="35"/>
  <c r="B7" i="76"/>
  <c r="M29" i="67"/>
  <c r="E2" i="69"/>
  <c r="F20" i="31"/>
  <c r="E10" i="76"/>
  <c r="D2" i="37"/>
  <c r="D7" i="73"/>
  <c r="B9" i="76"/>
  <c r="AO9" i="1"/>
  <c r="F13" i="15"/>
  <c r="M27" i="67"/>
  <c r="E8" i="76"/>
  <c r="F7" i="67"/>
  <c r="C76" i="67"/>
  <c r="F42" i="67"/>
  <c r="F7" i="73"/>
  <c r="F6" i="15"/>
  <c r="F36" i="15"/>
  <c r="F37" i="67"/>
  <c r="B10" i="76"/>
  <c r="B12" i="76"/>
  <c r="F6" i="67"/>
  <c r="M28" i="67"/>
  <c r="M26" i="15"/>
  <c r="M26" i="67"/>
  <c r="F38" i="15"/>
  <c r="F38" i="67"/>
  <c r="F26" i="67"/>
  <c r="M8" i="15"/>
  <c r="F43" i="15"/>
  <c r="D5" i="73"/>
  <c r="L48" i="67"/>
  <c r="F40" i="67"/>
  <c r="F8" i="67"/>
  <c r="E11" i="76"/>
  <c r="E13" i="76"/>
  <c r="B13" i="76"/>
  <c r="E12" i="76"/>
  <c r="F37" i="15"/>
  <c r="D35" i="9"/>
  <c r="M22" i="67"/>
  <c r="M23" i="67"/>
  <c r="F36" i="33" l="1"/>
  <c r="J36" i="33"/>
  <c r="W36" i="33" s="1"/>
  <c r="H36" i="33"/>
  <c r="G111" i="33"/>
  <c r="H111" i="33" s="1"/>
  <c r="I111" i="33" s="1"/>
  <c r="J111" i="33" s="1"/>
  <c r="K111" i="33" s="1"/>
  <c r="L111" i="33" s="1"/>
  <c r="M111" i="33" s="1"/>
  <c r="AA36" i="39"/>
  <c r="S36" i="39"/>
  <c r="AZ583" i="3"/>
  <c r="AZ570" i="3"/>
  <c r="AB17" i="33"/>
  <c r="AC17" i="33"/>
  <c r="W17" i="33"/>
  <c r="AZ199" i="3"/>
  <c r="AZ343" i="3"/>
  <c r="AB9" i="37"/>
  <c r="U9" i="37"/>
  <c r="U31" i="40"/>
  <c r="AB31" i="40"/>
  <c r="AB15" i="40"/>
  <c r="U15" i="40"/>
  <c r="W34" i="37"/>
  <c r="AC34" i="37"/>
  <c r="AA10" i="34"/>
  <c r="S10" i="34"/>
  <c r="BA584" i="3"/>
  <c r="BL583" i="3"/>
  <c r="BA579" i="3"/>
  <c r="BA578" i="3"/>
  <c r="AZ578" i="3" s="1"/>
  <c r="BA571" i="3"/>
  <c r="G557" i="3"/>
  <c r="AZ311" i="3"/>
  <c r="AZ313" i="3"/>
  <c r="AZ79" i="3"/>
  <c r="AB16" i="71"/>
  <c r="H48" i="43"/>
  <c r="H54" i="43"/>
  <c r="AC10" i="37"/>
  <c r="S10" i="21"/>
  <c r="S32" i="21"/>
  <c r="AB27" i="33"/>
  <c r="S17" i="37"/>
  <c r="C19" i="39"/>
  <c r="W31" i="21"/>
  <c r="AB32" i="21"/>
  <c r="U32" i="21"/>
  <c r="W8" i="21"/>
  <c r="U14" i="34"/>
  <c r="AA31" i="37"/>
  <c r="U25" i="35"/>
  <c r="W31" i="39"/>
  <c r="W25" i="39"/>
  <c r="H56" i="43"/>
  <c r="AA45" i="34"/>
  <c r="W39" i="37"/>
  <c r="S8" i="35"/>
  <c r="S17" i="39"/>
  <c r="AC29" i="35"/>
  <c r="W20" i="36"/>
  <c r="AC20" i="36"/>
  <c r="W34" i="33"/>
  <c r="AC34" i="33"/>
  <c r="AZ328" i="3"/>
  <c r="AZ375" i="3"/>
  <c r="AB37" i="39"/>
  <c r="U37" i="39"/>
  <c r="AB13" i="34"/>
  <c r="AZ555" i="3"/>
  <c r="AZ526" i="3"/>
  <c r="F14" i="37"/>
  <c r="AC37" i="40"/>
  <c r="W37" i="40"/>
  <c r="AB30" i="40"/>
  <c r="U30" i="40"/>
  <c r="AB13" i="37"/>
  <c r="U13" i="37"/>
  <c r="S29" i="34"/>
  <c r="AA29" i="34"/>
  <c r="AA40" i="37"/>
  <c r="S40" i="37"/>
  <c r="U37" i="37"/>
  <c r="AB37" i="37"/>
  <c r="AA11" i="36"/>
  <c r="S11" i="36"/>
  <c r="AC11" i="35"/>
  <c r="W11" i="35"/>
  <c r="S14" i="34"/>
  <c r="AA14" i="34"/>
  <c r="W45" i="33"/>
  <c r="AC45" i="33"/>
  <c r="S14" i="21"/>
  <c r="AA14" i="21"/>
  <c r="AA23" i="34"/>
  <c r="S23" i="34"/>
  <c r="U30" i="36"/>
  <c r="U14" i="37"/>
  <c r="W26" i="21"/>
  <c r="AC26" i="21"/>
  <c r="AA35" i="21"/>
  <c r="S35" i="21"/>
  <c r="S36" i="21"/>
  <c r="AA36" i="21"/>
  <c r="BL585" i="3"/>
  <c r="J30" i="21"/>
  <c r="F30" i="21"/>
  <c r="H30" i="21"/>
  <c r="AA19" i="21"/>
  <c r="S19" i="21"/>
  <c r="B60" i="43"/>
  <c r="B71" i="43"/>
  <c r="B73" i="43"/>
  <c r="B52" i="43"/>
  <c r="J28" i="34"/>
  <c r="F28" i="34"/>
  <c r="H28" i="34"/>
  <c r="U43" i="34"/>
  <c r="AB43" i="34"/>
  <c r="W12" i="35"/>
  <c r="AC12" i="35"/>
  <c r="AA28" i="35"/>
  <c r="S28" i="35"/>
  <c r="F13" i="33"/>
  <c r="J13" i="33"/>
  <c r="F31" i="33"/>
  <c r="H31" i="33"/>
  <c r="J31" i="33"/>
  <c r="J12" i="34"/>
  <c r="F12" i="34"/>
  <c r="S12" i="34" s="1"/>
  <c r="H30" i="34"/>
  <c r="J30" i="34"/>
  <c r="F30" i="34"/>
  <c r="J46" i="34"/>
  <c r="H46" i="34"/>
  <c r="F46" i="34"/>
  <c r="W25" i="35"/>
  <c r="AC25" i="35"/>
  <c r="W27" i="35"/>
  <c r="AC27" i="35"/>
  <c r="H25" i="37"/>
  <c r="F25" i="37"/>
  <c r="J25" i="37"/>
  <c r="U8" i="39"/>
  <c r="AB8" i="39"/>
  <c r="AC9" i="39"/>
  <c r="W9" i="39"/>
  <c r="H45" i="39"/>
  <c r="F45" i="39"/>
  <c r="H40" i="40"/>
  <c r="U42" i="34"/>
  <c r="AB42" i="34"/>
  <c r="BA555" i="3"/>
  <c r="AZ551" i="3"/>
  <c r="BA549" i="3"/>
  <c r="AZ549" i="3" s="1"/>
  <c r="BA548" i="3"/>
  <c r="BL545" i="3"/>
  <c r="BL544" i="3"/>
  <c r="BL542" i="3"/>
  <c r="BA541" i="3"/>
  <c r="BA538" i="3"/>
  <c r="AZ538" i="3" s="1"/>
  <c r="BL536" i="3"/>
  <c r="BL535" i="3"/>
  <c r="BL534" i="3"/>
  <c r="BA533" i="3"/>
  <c r="BA530" i="3"/>
  <c r="AZ530" i="3" s="1"/>
  <c r="BL528" i="3"/>
  <c r="BL526" i="3"/>
  <c r="BA525" i="3"/>
  <c r="BL520" i="3"/>
  <c r="AZ520" i="3" s="1"/>
  <c r="BA519" i="3"/>
  <c r="BA516" i="3"/>
  <c r="BL514" i="3"/>
  <c r="AZ514" i="3" s="1"/>
  <c r="BA511" i="3"/>
  <c r="AZ511" i="3" s="1"/>
  <c r="BL508" i="3"/>
  <c r="AZ508" i="3" s="1"/>
  <c r="BL507" i="3"/>
  <c r="BL506" i="3"/>
  <c r="BA505" i="3"/>
  <c r="AZ505" i="3" s="1"/>
  <c r="BL498" i="3"/>
  <c r="BA497" i="3"/>
  <c r="BA494" i="3"/>
  <c r="AZ494" i="3" s="1"/>
  <c r="AZ438" i="3"/>
  <c r="S40" i="34"/>
  <c r="AA40" i="34"/>
  <c r="S33" i="34"/>
  <c r="AA33" i="34"/>
  <c r="AZ338" i="3"/>
  <c r="AA8" i="21"/>
  <c r="S8" i="21"/>
  <c r="J45" i="21"/>
  <c r="F45" i="21"/>
  <c r="S34" i="34"/>
  <c r="AA34" i="34"/>
  <c r="AC31" i="36"/>
  <c r="W31" i="36"/>
  <c r="C79" i="35"/>
  <c r="H26" i="35" s="1"/>
  <c r="BL581" i="3"/>
  <c r="BL572" i="3"/>
  <c r="AZ572" i="3" s="1"/>
  <c r="BL564" i="3"/>
  <c r="BL557" i="3"/>
  <c r="AB45" i="21"/>
  <c r="AA23" i="37"/>
  <c r="AC12" i="39"/>
  <c r="H52" i="43"/>
  <c r="H50" i="43"/>
  <c r="H51" i="43"/>
  <c r="H55" i="43"/>
  <c r="AZ17" i="3"/>
  <c r="AZ308" i="3"/>
  <c r="AB42" i="33"/>
  <c r="U42" i="33"/>
  <c r="AZ529" i="3"/>
  <c r="AZ507" i="3"/>
  <c r="AZ527" i="3"/>
  <c r="AZ543" i="3"/>
  <c r="AZ504" i="3"/>
  <c r="AZ528" i="3"/>
  <c r="W36" i="39"/>
  <c r="S13" i="40"/>
  <c r="AA13" i="40"/>
  <c r="U28" i="36"/>
  <c r="AB28" i="36"/>
  <c r="AB11" i="35"/>
  <c r="U11" i="35"/>
  <c r="AB45" i="33"/>
  <c r="U45" i="33"/>
  <c r="S30" i="35"/>
  <c r="AA30" i="35"/>
  <c r="W25" i="34"/>
  <c r="AC25" i="34"/>
  <c r="W33" i="37"/>
  <c r="AC33" i="37"/>
  <c r="S11" i="21"/>
  <c r="AA11" i="21"/>
  <c r="AB22" i="35"/>
  <c r="U22" i="35"/>
  <c r="F39" i="37"/>
  <c r="H36" i="39"/>
  <c r="AB36" i="39" s="1"/>
  <c r="U34" i="21"/>
  <c r="AB34" i="21"/>
  <c r="AC38" i="21"/>
  <c r="W38" i="21"/>
  <c r="B81" i="43"/>
  <c r="C15" i="40"/>
  <c r="AB9" i="40"/>
  <c r="U9" i="40"/>
  <c r="J40" i="40"/>
  <c r="J38" i="40"/>
  <c r="F38" i="40"/>
  <c r="H38" i="40"/>
  <c r="BA574" i="3"/>
  <c r="AZ574" i="3" s="1"/>
  <c r="BA572" i="3"/>
  <c r="BL566" i="3"/>
  <c r="AC5" i="3"/>
  <c r="BH5" i="3"/>
  <c r="BD5" i="3"/>
  <c r="BL15" i="3"/>
  <c r="BN5" i="3"/>
  <c r="G29" i="6" s="1"/>
  <c r="BT5" i="3"/>
  <c r="BR5" i="3"/>
  <c r="K144" i="21"/>
  <c r="K145" i="21"/>
  <c r="AZ399" i="3"/>
  <c r="AC27" i="33"/>
  <c r="W27" i="33"/>
  <c r="AA15" i="39"/>
  <c r="S15" i="39"/>
  <c r="AC32" i="37"/>
  <c r="W32" i="37"/>
  <c r="AZ535" i="3"/>
  <c r="AZ498" i="3"/>
  <c r="AZ534" i="3"/>
  <c r="AA14" i="40"/>
  <c r="S14" i="40"/>
  <c r="AA27" i="37"/>
  <c r="S27" i="37"/>
  <c r="AC28" i="37"/>
  <c r="W28" i="37"/>
  <c r="S31" i="34"/>
  <c r="AA31" i="34"/>
  <c r="U30" i="33"/>
  <c r="AB30" i="33"/>
  <c r="W32" i="34"/>
  <c r="AC32" i="34"/>
  <c r="S29" i="33"/>
  <c r="AA29" i="33"/>
  <c r="U28" i="33"/>
  <c r="AB28" i="33"/>
  <c r="U34" i="35"/>
  <c r="AB34" i="35"/>
  <c r="AC31" i="37"/>
  <c r="W31" i="37"/>
  <c r="H27" i="37"/>
  <c r="J27" i="37"/>
  <c r="S40" i="40"/>
  <c r="AA40" i="40"/>
  <c r="BL573" i="3"/>
  <c r="AZ573" i="3" s="1"/>
  <c r="BA568" i="3"/>
  <c r="AZ568" i="3" s="1"/>
  <c r="BA567" i="3"/>
  <c r="AZ567" i="3" s="1"/>
  <c r="BA566" i="3"/>
  <c r="AZ566" i="3" s="1"/>
  <c r="W9" i="33"/>
  <c r="AB35" i="37"/>
  <c r="W29" i="36"/>
  <c r="S33" i="40"/>
  <c r="S19" i="37"/>
  <c r="AA19" i="37"/>
  <c r="U13" i="36"/>
  <c r="AA30" i="40"/>
  <c r="S30" i="40"/>
  <c r="AZ16" i="3"/>
  <c r="S15" i="21"/>
  <c r="AA15" i="21"/>
  <c r="W13" i="36"/>
  <c r="W35" i="40"/>
  <c r="AC35" i="40"/>
  <c r="AC46" i="33"/>
  <c r="W46" i="33"/>
  <c r="U14" i="36"/>
  <c r="AB14" i="36"/>
  <c r="S35" i="37"/>
  <c r="AA35" i="37"/>
  <c r="AC34" i="39"/>
  <c r="W34" i="39"/>
  <c r="W35" i="21"/>
  <c r="AC35" i="21"/>
  <c r="AA40" i="33"/>
  <c r="AA9" i="36"/>
  <c r="S9" i="36"/>
  <c r="AA44" i="39"/>
  <c r="S44" i="39"/>
  <c r="W13" i="39"/>
  <c r="AC13" i="39"/>
  <c r="U8" i="40"/>
  <c r="AB8" i="40"/>
  <c r="BA575" i="3"/>
  <c r="AZ575" i="3" s="1"/>
  <c r="BL569" i="3"/>
  <c r="AZ569" i="3" s="1"/>
  <c r="BL567" i="3"/>
  <c r="BA563" i="3"/>
  <c r="BA557" i="3"/>
  <c r="BA556" i="3"/>
  <c r="AZ556" i="3" s="1"/>
  <c r="H49" i="43"/>
  <c r="W11" i="34"/>
  <c r="U23" i="21"/>
  <c r="AA23" i="33"/>
  <c r="AC23" i="33"/>
  <c r="AB36" i="21"/>
  <c r="W17" i="21"/>
  <c r="W22" i="36"/>
  <c r="AB13" i="40"/>
  <c r="C58" i="33"/>
  <c r="G7" i="33"/>
  <c r="E7" i="33"/>
  <c r="I7" i="33"/>
  <c r="U23" i="33"/>
  <c r="AB23" i="33"/>
  <c r="AA25" i="34"/>
  <c r="AC39" i="34"/>
  <c r="AA11" i="37"/>
  <c r="S11" i="37"/>
  <c r="W13" i="35"/>
  <c r="U36" i="35"/>
  <c r="W19" i="39"/>
  <c r="U35" i="40"/>
  <c r="AZ14" i="3"/>
  <c r="AB33" i="36"/>
  <c r="AA32" i="37"/>
  <c r="S32" i="37"/>
  <c r="AC12" i="36"/>
  <c r="W37" i="37"/>
  <c r="AZ15" i="3"/>
  <c r="AZ334" i="3"/>
  <c r="AZ123" i="3"/>
  <c r="AZ325" i="3"/>
  <c r="U25" i="39"/>
  <c r="AB25" i="39"/>
  <c r="AB19" i="34"/>
  <c r="U19" i="34"/>
  <c r="AC36" i="34"/>
  <c r="U39" i="37"/>
  <c r="AB19" i="37"/>
  <c r="U19" i="37"/>
  <c r="S32" i="40"/>
  <c r="AA32" i="40"/>
  <c r="AZ496" i="3"/>
  <c r="AZ542" i="3"/>
  <c r="AC45" i="39"/>
  <c r="J14" i="37"/>
  <c r="F13" i="39"/>
  <c r="U33" i="40"/>
  <c r="AB33" i="40"/>
  <c r="S12" i="40"/>
  <c r="AA12" i="40"/>
  <c r="S38" i="37"/>
  <c r="AA38" i="37"/>
  <c r="U28" i="37"/>
  <c r="AB28" i="37"/>
  <c r="AA13" i="35"/>
  <c r="S13" i="35"/>
  <c r="S44" i="33"/>
  <c r="AA44" i="33"/>
  <c r="U14" i="33"/>
  <c r="AB14" i="33"/>
  <c r="F13" i="36"/>
  <c r="AB38" i="34"/>
  <c r="U38" i="34"/>
  <c r="S12" i="36"/>
  <c r="AA12" i="36"/>
  <c r="U30" i="35"/>
  <c r="AB30" i="35"/>
  <c r="AB40" i="39"/>
  <c r="U40" i="39"/>
  <c r="AA11" i="40"/>
  <c r="S11" i="40"/>
  <c r="AB43" i="21"/>
  <c r="U43" i="21"/>
  <c r="H13" i="21"/>
  <c r="J13" i="21"/>
  <c r="F13" i="21"/>
  <c r="J28" i="21"/>
  <c r="W28" i="21" s="1"/>
  <c r="F28" i="21"/>
  <c r="F9" i="21"/>
  <c r="H9" i="21"/>
  <c r="F9" i="33"/>
  <c r="U40" i="33"/>
  <c r="AB40" i="33"/>
  <c r="H12" i="34"/>
  <c r="AB32" i="35"/>
  <c r="U32" i="35"/>
  <c r="J9" i="35"/>
  <c r="F9" i="35"/>
  <c r="S27" i="35"/>
  <c r="AA27" i="35"/>
  <c r="W9" i="36"/>
  <c r="AC9" i="36"/>
  <c r="W16" i="36"/>
  <c r="AC16" i="36"/>
  <c r="AA30" i="37"/>
  <c r="S30" i="37"/>
  <c r="AA9" i="39"/>
  <c r="S9" i="39"/>
  <c r="J43" i="39"/>
  <c r="H43" i="39"/>
  <c r="J37" i="39"/>
  <c r="F37" i="39"/>
  <c r="J14" i="40"/>
  <c r="H14" i="40"/>
  <c r="F31" i="40"/>
  <c r="J31" i="40"/>
  <c r="BL554" i="3"/>
  <c r="AZ554" i="3" s="1"/>
  <c r="BL550" i="3"/>
  <c r="BL547" i="3"/>
  <c r="AZ547" i="3" s="1"/>
  <c r="BA545" i="3"/>
  <c r="AZ545" i="3" s="1"/>
  <c r="BA544" i="3"/>
  <c r="BA537" i="3"/>
  <c r="AZ537" i="3" s="1"/>
  <c r="BA536" i="3"/>
  <c r="AZ536" i="3" s="1"/>
  <c r="BL532" i="3"/>
  <c r="AZ532" i="3" s="1"/>
  <c r="BA529" i="3"/>
  <c r="BL524" i="3"/>
  <c r="AZ524" i="3" s="1"/>
  <c r="BA521" i="3"/>
  <c r="AZ521" i="3" s="1"/>
  <c r="BA520" i="3"/>
  <c r="BL516" i="3"/>
  <c r="AZ516" i="3" s="1"/>
  <c r="BA515" i="3"/>
  <c r="AZ515" i="3" s="1"/>
  <c r="BA512" i="3"/>
  <c r="AZ512" i="3" s="1"/>
  <c r="BA506" i="3"/>
  <c r="BL505" i="3"/>
  <c r="BL504" i="3"/>
  <c r="BA501" i="3"/>
  <c r="AZ501" i="3" s="1"/>
  <c r="BA500" i="3"/>
  <c r="AZ500" i="3" s="1"/>
  <c r="BL496" i="3"/>
  <c r="BL495" i="3"/>
  <c r="AZ495" i="3" s="1"/>
  <c r="BA493" i="3"/>
  <c r="AZ493" i="3" s="1"/>
  <c r="AZ392" i="3"/>
  <c r="AZ357" i="3"/>
  <c r="AZ378" i="3"/>
  <c r="BL571" i="3"/>
  <c r="H27" i="21"/>
  <c r="F27" i="21"/>
  <c r="AB34" i="40"/>
  <c r="U34" i="40"/>
  <c r="BL402" i="3"/>
  <c r="AZ402" i="3" s="1"/>
  <c r="BL428" i="3"/>
  <c r="AZ428" i="3" s="1"/>
  <c r="BL429" i="3"/>
  <c r="AZ429" i="3" s="1"/>
  <c r="BA398" i="3"/>
  <c r="BA400" i="3"/>
  <c r="AZ400" i="3" s="1"/>
  <c r="BA407" i="3"/>
  <c r="AZ407" i="3" s="1"/>
  <c r="BA410" i="3"/>
  <c r="BL412" i="3"/>
  <c r="BL437" i="3"/>
  <c r="BL438" i="3"/>
  <c r="BL439" i="3"/>
  <c r="AZ439" i="3" s="1"/>
  <c r="BA444" i="3"/>
  <c r="AZ444" i="3" s="1"/>
  <c r="BL445" i="3"/>
  <c r="AZ445" i="3" s="1"/>
  <c r="BA449" i="3"/>
  <c r="BA450" i="3"/>
  <c r="BA452" i="3"/>
  <c r="AZ452" i="3" s="1"/>
  <c r="BL453" i="3"/>
  <c r="BL454" i="3"/>
  <c r="AZ454" i="3" s="1"/>
  <c r="BL459" i="3"/>
  <c r="S21" i="34"/>
  <c r="AA21" i="34"/>
  <c r="W19" i="37"/>
  <c r="F30" i="68"/>
  <c r="F28" i="80"/>
  <c r="C28" i="80" s="1"/>
  <c r="M18" i="80"/>
  <c r="F32" i="80"/>
  <c r="F60" i="80" s="1"/>
  <c r="AZ345" i="3"/>
  <c r="AZ322" i="3"/>
  <c r="AZ390" i="3"/>
  <c r="AZ371" i="3"/>
  <c r="AZ361" i="3"/>
  <c r="AZ356" i="3"/>
  <c r="AZ347" i="3"/>
  <c r="AZ337" i="3"/>
  <c r="AZ373" i="3"/>
  <c r="BL497" i="3"/>
  <c r="BL511" i="3"/>
  <c r="BL541" i="3"/>
  <c r="H29" i="21"/>
  <c r="J29" i="21"/>
  <c r="AC40" i="39"/>
  <c r="W40" i="39"/>
  <c r="H31" i="39"/>
  <c r="F31" i="39"/>
  <c r="H44" i="39"/>
  <c r="J44" i="39"/>
  <c r="AC30" i="36"/>
  <c r="W30" i="36"/>
  <c r="G578" i="3"/>
  <c r="BL584" i="3"/>
  <c r="AZ584" i="3" s="1"/>
  <c r="G574" i="3"/>
  <c r="G566" i="3"/>
  <c r="G565" i="3"/>
  <c r="BA564" i="3"/>
  <c r="AZ564" i="3" s="1"/>
  <c r="G564" i="3"/>
  <c r="G551" i="3"/>
  <c r="G14" i="3"/>
  <c r="BA403" i="3"/>
  <c r="BA413" i="3"/>
  <c r="BL417" i="3"/>
  <c r="AZ417" i="3" s="1"/>
  <c r="BL418" i="3"/>
  <c r="BA421" i="3"/>
  <c r="BA422" i="3"/>
  <c r="BA435" i="3"/>
  <c r="AZ435" i="3" s="1"/>
  <c r="BA436" i="3"/>
  <c r="AZ436" i="3" s="1"/>
  <c r="BL443" i="3"/>
  <c r="AZ443" i="3" s="1"/>
  <c r="BL456" i="3"/>
  <c r="BL457" i="3"/>
  <c r="AZ457" i="3" s="1"/>
  <c r="BL462" i="3"/>
  <c r="BA466" i="3"/>
  <c r="AZ466" i="3" s="1"/>
  <c r="M20" i="15"/>
  <c r="F34" i="80"/>
  <c r="F62" i="80" s="1"/>
  <c r="M20" i="80"/>
  <c r="AZ418" i="3"/>
  <c r="AZ462" i="3"/>
  <c r="AZ38" i="3"/>
  <c r="C5" i="11"/>
  <c r="I4" i="6"/>
  <c r="G3" i="43" s="1"/>
  <c r="AH11" i="43" s="1"/>
  <c r="AH13" i="43" s="1"/>
  <c r="G13" i="3"/>
  <c r="A3" i="3" s="1"/>
  <c r="BC5" i="3"/>
  <c r="BL16" i="3"/>
  <c r="BS5" i="3"/>
  <c r="G399" i="3"/>
  <c r="G417" i="3"/>
  <c r="BL419" i="3"/>
  <c r="BL423" i="3"/>
  <c r="BL425" i="3"/>
  <c r="AZ425" i="3" s="1"/>
  <c r="G427" i="3"/>
  <c r="BL430" i="3"/>
  <c r="BL432" i="3"/>
  <c r="AZ432" i="3" s="1"/>
  <c r="BA437" i="3"/>
  <c r="AZ437" i="3" s="1"/>
  <c r="BL441" i="3"/>
  <c r="AZ441" i="3" s="1"/>
  <c r="G443" i="3"/>
  <c r="G448" i="3"/>
  <c r="BA451" i="3"/>
  <c r="G452" i="3"/>
  <c r="BA456" i="3"/>
  <c r="AZ456" i="3" s="1"/>
  <c r="BA458" i="3"/>
  <c r="AZ458" i="3" s="1"/>
  <c r="G459" i="3"/>
  <c r="BA461" i="3"/>
  <c r="BA463" i="3"/>
  <c r="AZ463" i="3" s="1"/>
  <c r="BA465" i="3"/>
  <c r="AZ465" i="3" s="1"/>
  <c r="BL465" i="3"/>
  <c r="BL469" i="3"/>
  <c r="BA474" i="3"/>
  <c r="BA475" i="3"/>
  <c r="AZ475" i="3" s="1"/>
  <c r="BA479" i="3"/>
  <c r="G486" i="3"/>
  <c r="BL486" i="3"/>
  <c r="BL487" i="3"/>
  <c r="G488" i="3"/>
  <c r="BL308" i="3"/>
  <c r="BA315" i="3"/>
  <c r="AZ315" i="3" s="1"/>
  <c r="G323" i="3"/>
  <c r="BL324" i="3"/>
  <c r="AZ324" i="3" s="1"/>
  <c r="BA348" i="3"/>
  <c r="AZ348" i="3" s="1"/>
  <c r="BA349" i="3"/>
  <c r="AZ349" i="3" s="1"/>
  <c r="BA353" i="3"/>
  <c r="AZ353" i="3" s="1"/>
  <c r="BL375" i="3"/>
  <c r="BL381" i="3"/>
  <c r="AZ381" i="3" s="1"/>
  <c r="BL215" i="3"/>
  <c r="AZ215" i="3" s="1"/>
  <c r="BL217" i="3"/>
  <c r="AZ217" i="3" s="1"/>
  <c r="BL225" i="3"/>
  <c r="BL233" i="3"/>
  <c r="BA236" i="3"/>
  <c r="BL241" i="3"/>
  <c r="BA247" i="3"/>
  <c r="BL263" i="3"/>
  <c r="BL282" i="3"/>
  <c r="BA287" i="3"/>
  <c r="BA291" i="3"/>
  <c r="AZ291" i="3" s="1"/>
  <c r="BA292" i="3"/>
  <c r="BA293" i="3"/>
  <c r="BL299" i="3"/>
  <c r="AZ299" i="3" s="1"/>
  <c r="BA120" i="3"/>
  <c r="AZ120" i="3" s="1"/>
  <c r="BL125" i="3"/>
  <c r="BA140" i="3"/>
  <c r="AZ140" i="3" s="1"/>
  <c r="BL147" i="3"/>
  <c r="AZ147" i="3" s="1"/>
  <c r="BA181" i="3"/>
  <c r="BA205" i="3"/>
  <c r="AZ205" i="3" s="1"/>
  <c r="BA206" i="3"/>
  <c r="BA207" i="3"/>
  <c r="BL28" i="3"/>
  <c r="BL29" i="3"/>
  <c r="BL33" i="3"/>
  <c r="AZ33" i="3" s="1"/>
  <c r="BL61" i="3"/>
  <c r="D51" i="71"/>
  <c r="C52" i="71"/>
  <c r="F63" i="71"/>
  <c r="Q63" i="71" s="1"/>
  <c r="Q64" i="71"/>
  <c r="V65" i="71"/>
  <c r="Q65" i="71"/>
  <c r="BA468" i="3"/>
  <c r="AZ468" i="3" s="1"/>
  <c r="BA470" i="3"/>
  <c r="BL470" i="3"/>
  <c r="BA473" i="3"/>
  <c r="AZ473" i="3" s="1"/>
  <c r="BL482" i="3"/>
  <c r="AZ482" i="3" s="1"/>
  <c r="BA490" i="3"/>
  <c r="AZ490" i="3" s="1"/>
  <c r="BL330" i="3"/>
  <c r="AZ330" i="3" s="1"/>
  <c r="BL354" i="3"/>
  <c r="AZ354" i="3" s="1"/>
  <c r="BA366" i="3"/>
  <c r="AZ366" i="3" s="1"/>
  <c r="BL368" i="3"/>
  <c r="AZ368" i="3" s="1"/>
  <c r="BA384" i="3"/>
  <c r="AZ384" i="3" s="1"/>
  <c r="BA396" i="3"/>
  <c r="AZ396" i="3" s="1"/>
  <c r="BA397" i="3"/>
  <c r="BA227" i="3"/>
  <c r="BA230" i="3"/>
  <c r="BL232" i="3"/>
  <c r="BA238" i="3"/>
  <c r="BL240" i="3"/>
  <c r="BA256" i="3"/>
  <c r="AZ256" i="3" s="1"/>
  <c r="BL259" i="3"/>
  <c r="AZ259" i="3" s="1"/>
  <c r="BA266" i="3"/>
  <c r="BL269" i="3"/>
  <c r="BA273" i="3"/>
  <c r="BA274" i="3"/>
  <c r="BA278" i="3"/>
  <c r="AZ278" i="3" s="1"/>
  <c r="BA279" i="3"/>
  <c r="BA283" i="3"/>
  <c r="AZ283" i="3" s="1"/>
  <c r="BA284" i="3"/>
  <c r="BA285" i="3"/>
  <c r="BL289" i="3"/>
  <c r="BL298" i="3"/>
  <c r="BA117" i="3"/>
  <c r="AZ117" i="3" s="1"/>
  <c r="BA118" i="3"/>
  <c r="BL134" i="3"/>
  <c r="BA137" i="3"/>
  <c r="AZ137" i="3" s="1"/>
  <c r="BA138" i="3"/>
  <c r="BA160" i="3"/>
  <c r="AZ160" i="3" s="1"/>
  <c r="BA166" i="3"/>
  <c r="BA186" i="3"/>
  <c r="BA190" i="3"/>
  <c r="BA202" i="3"/>
  <c r="AZ202" i="3" s="1"/>
  <c r="BA204" i="3"/>
  <c r="AZ204" i="3" s="1"/>
  <c r="BL22" i="3"/>
  <c r="BL26" i="3"/>
  <c r="AZ26" i="3" s="1"/>
  <c r="BL31" i="3"/>
  <c r="AZ31" i="3" s="1"/>
  <c r="BL32" i="3"/>
  <c r="BA51" i="3"/>
  <c r="AZ51" i="3" s="1"/>
  <c r="BL53" i="3"/>
  <c r="BL56" i="3"/>
  <c r="BA72" i="3"/>
  <c r="AZ72" i="3" s="1"/>
  <c r="BA75" i="3"/>
  <c r="BA80" i="3"/>
  <c r="AZ80" i="3" s="1"/>
  <c r="BA81" i="3"/>
  <c r="BA97" i="3"/>
  <c r="AZ97" i="3" s="1"/>
  <c r="BA98" i="3"/>
  <c r="BL101" i="3"/>
  <c r="AZ101" i="3" s="1"/>
  <c r="BA103" i="3"/>
  <c r="AZ103" i="3" s="1"/>
  <c r="BA104" i="3"/>
  <c r="AZ104" i="3" s="1"/>
  <c r="BA105" i="3"/>
  <c r="AZ105" i="3" s="1"/>
  <c r="BL106" i="3"/>
  <c r="AD12" i="43"/>
  <c r="AD10" i="43"/>
  <c r="P74" i="67"/>
  <c r="P61" i="67"/>
  <c r="AA3" i="71"/>
  <c r="BI5" i="3"/>
  <c r="BE5" i="3"/>
  <c r="BO5" i="3"/>
  <c r="F29" i="6" s="1"/>
  <c r="E29" i="6" s="1"/>
  <c r="K15" i="1" s="1"/>
  <c r="G405" i="3"/>
  <c r="G412" i="3"/>
  <c r="G415" i="3"/>
  <c r="BL416" i="3"/>
  <c r="BA419" i="3"/>
  <c r="AZ419" i="3" s="1"/>
  <c r="G420" i="3"/>
  <c r="BA424" i="3"/>
  <c r="AZ424" i="3" s="1"/>
  <c r="BA426" i="3"/>
  <c r="BA431" i="3"/>
  <c r="AZ431" i="3" s="1"/>
  <c r="BL433" i="3"/>
  <c r="BL440" i="3"/>
  <c r="BA447" i="3"/>
  <c r="BL447" i="3"/>
  <c r="BL451" i="3"/>
  <c r="BL455" i="3"/>
  <c r="BL458" i="3"/>
  <c r="BL460" i="3"/>
  <c r="AZ460" i="3" s="1"/>
  <c r="BL461" i="3"/>
  <c r="G462" i="3"/>
  <c r="BL464" i="3"/>
  <c r="G466" i="3"/>
  <c r="BA469" i="3"/>
  <c r="AZ469" i="3" s="1"/>
  <c r="G470" i="3"/>
  <c r="BL471" i="3"/>
  <c r="BL472" i="3"/>
  <c r="G473" i="3"/>
  <c r="BL474" i="3"/>
  <c r="BA481" i="3"/>
  <c r="AZ481" i="3" s="1"/>
  <c r="BA484" i="3"/>
  <c r="AZ484" i="3" s="1"/>
  <c r="BL484" i="3"/>
  <c r="BA487" i="3"/>
  <c r="BL491" i="3"/>
  <c r="BA303" i="3"/>
  <c r="AZ303" i="3" s="1"/>
  <c r="BL314" i="3"/>
  <c r="AZ314" i="3" s="1"/>
  <c r="AZ294" i="3"/>
  <c r="BL171" i="3"/>
  <c r="AZ171" i="3" s="1"/>
  <c r="AZ177" i="3"/>
  <c r="BA193" i="3"/>
  <c r="AZ18" i="3"/>
  <c r="BA19" i="3"/>
  <c r="AZ19" i="3" s="1"/>
  <c r="BL59" i="3"/>
  <c r="AZ59" i="3" s="1"/>
  <c r="D35" i="71"/>
  <c r="C36" i="71"/>
  <c r="D48" i="71"/>
  <c r="C49" i="71"/>
  <c r="C56" i="71"/>
  <c r="D55" i="71"/>
  <c r="O65" i="71"/>
  <c r="C64" i="71"/>
  <c r="T65" i="71"/>
  <c r="BL333" i="3"/>
  <c r="AZ333" i="3" s="1"/>
  <c r="G345" i="3"/>
  <c r="BA352" i="3"/>
  <c r="AZ352" i="3" s="1"/>
  <c r="BA358" i="3"/>
  <c r="AZ358" i="3" s="1"/>
  <c r="BA386" i="3"/>
  <c r="BL386" i="3"/>
  <c r="BA392" i="3"/>
  <c r="G209" i="3"/>
  <c r="BL209" i="3"/>
  <c r="AZ209" i="3" s="1"/>
  <c r="BL210" i="3"/>
  <c r="G211" i="3"/>
  <c r="BL211" i="3"/>
  <c r="BA213" i="3"/>
  <c r="AZ213" i="3" s="1"/>
  <c r="BL218" i="3"/>
  <c r="AZ218" i="3" s="1"/>
  <c r="BL219" i="3"/>
  <c r="G221" i="3"/>
  <c r="BL222" i="3"/>
  <c r="AZ222" i="3" s="1"/>
  <c r="BL223" i="3"/>
  <c r="AZ223" i="3" s="1"/>
  <c r="G226" i="3"/>
  <c r="BL226" i="3"/>
  <c r="BL227" i="3"/>
  <c r="G229" i="3"/>
  <c r="BL229" i="3"/>
  <c r="AZ229" i="3" s="1"/>
  <c r="G231" i="3"/>
  <c r="BA237" i="3"/>
  <c r="G245" i="3"/>
  <c r="BL246" i="3"/>
  <c r="BA250" i="3"/>
  <c r="G255" i="3"/>
  <c r="G256" i="3"/>
  <c r="G262" i="3"/>
  <c r="BL262" i="3"/>
  <c r="AZ262" i="3" s="1"/>
  <c r="BA263" i="3"/>
  <c r="BA267" i="3"/>
  <c r="AZ267" i="3" s="1"/>
  <c r="G270" i="3"/>
  <c r="BL271" i="3"/>
  <c r="AZ271" i="3" s="1"/>
  <c r="G273" i="3"/>
  <c r="BL273" i="3"/>
  <c r="BA276" i="3"/>
  <c r="AZ276" i="3" s="1"/>
  <c r="BA277" i="3"/>
  <c r="G282" i="3"/>
  <c r="G283" i="3"/>
  <c r="BL284" i="3"/>
  <c r="BA289" i="3"/>
  <c r="AZ289" i="3" s="1"/>
  <c r="BA290" i="3"/>
  <c r="BL293" i="3"/>
  <c r="AZ293" i="3" s="1"/>
  <c r="G295" i="3"/>
  <c r="BL295" i="3"/>
  <c r="AZ295" i="3" s="1"/>
  <c r="BA297" i="3"/>
  <c r="AZ297" i="3" s="1"/>
  <c r="BA298" i="3"/>
  <c r="AZ298" i="3" s="1"/>
  <c r="G114" i="3"/>
  <c r="G115" i="3"/>
  <c r="G116" i="3"/>
  <c r="BL118" i="3"/>
  <c r="BL123" i="3"/>
  <c r="BA125" i="3"/>
  <c r="BL127" i="3"/>
  <c r="AZ127" i="3" s="1"/>
  <c r="G130" i="3"/>
  <c r="BL130" i="3"/>
  <c r="AZ130" i="3" s="1"/>
  <c r="BA133" i="3"/>
  <c r="G138" i="3"/>
  <c r="BL138" i="3"/>
  <c r="G147" i="3"/>
  <c r="BA152" i="3"/>
  <c r="AZ152" i="3" s="1"/>
  <c r="BA154" i="3"/>
  <c r="BA157" i="3"/>
  <c r="AZ157" i="3" s="1"/>
  <c r="BA158" i="3"/>
  <c r="AZ158" i="3" s="1"/>
  <c r="BA170" i="3"/>
  <c r="BA172" i="3"/>
  <c r="AZ172" i="3" s="1"/>
  <c r="BA178" i="3"/>
  <c r="AZ178" i="3" s="1"/>
  <c r="BA180" i="3"/>
  <c r="AZ180" i="3" s="1"/>
  <c r="BL181" i="3"/>
  <c r="BL182" i="3"/>
  <c r="AZ182" i="3" s="1"/>
  <c r="BL185" i="3"/>
  <c r="BL186" i="3"/>
  <c r="BL187" i="3"/>
  <c r="AZ187" i="3" s="1"/>
  <c r="BA188" i="3"/>
  <c r="AZ188" i="3" s="1"/>
  <c r="BL191" i="3"/>
  <c r="AZ191" i="3" s="1"/>
  <c r="BL193" i="3"/>
  <c r="BA194" i="3"/>
  <c r="BL23" i="3"/>
  <c r="G24" i="3"/>
  <c r="BL24" i="3"/>
  <c r="AZ24" i="3" s="1"/>
  <c r="G30" i="3"/>
  <c r="G31" i="3"/>
  <c r="G33" i="3"/>
  <c r="BL34" i="3"/>
  <c r="AC21" i="21"/>
  <c r="W21" i="21"/>
  <c r="X30" i="71"/>
  <c r="B32" i="71"/>
  <c r="B33" i="71" s="1"/>
  <c r="S33" i="71" s="1"/>
  <c r="BA472" i="3"/>
  <c r="BA476" i="3"/>
  <c r="BL476" i="3"/>
  <c r="BL478" i="3"/>
  <c r="BL479" i="3"/>
  <c r="G480" i="3"/>
  <c r="G485" i="3"/>
  <c r="BA489" i="3"/>
  <c r="AZ489" i="3" s="1"/>
  <c r="BA491" i="3"/>
  <c r="AZ491" i="3" s="1"/>
  <c r="BA307" i="3"/>
  <c r="AZ307" i="3" s="1"/>
  <c r="BL316" i="3"/>
  <c r="BL317" i="3"/>
  <c r="AZ317" i="3" s="1"/>
  <c r="BL328" i="3"/>
  <c r="BA332" i="3"/>
  <c r="BA339" i="3"/>
  <c r="AZ339" i="3" s="1"/>
  <c r="BL346" i="3"/>
  <c r="AZ346" i="3" s="1"/>
  <c r="G347" i="3"/>
  <c r="BA350" i="3"/>
  <c r="AZ350" i="3" s="1"/>
  <c r="BL363" i="3"/>
  <c r="AZ363" i="3" s="1"/>
  <c r="BA367" i="3"/>
  <c r="BL367" i="3"/>
  <c r="BA385" i="3"/>
  <c r="AZ385" i="3" s="1"/>
  <c r="G387" i="3"/>
  <c r="BA388" i="3"/>
  <c r="AZ388" i="3" s="1"/>
  <c r="G395" i="3"/>
  <c r="BA210" i="3"/>
  <c r="G214" i="3"/>
  <c r="BL214" i="3"/>
  <c r="AZ214" i="3" s="1"/>
  <c r="G217" i="3"/>
  <c r="BA217" i="3"/>
  <c r="BA220" i="3"/>
  <c r="AZ220" i="3" s="1"/>
  <c r="BA225" i="3"/>
  <c r="AZ225" i="3" s="1"/>
  <c r="BA228" i="3"/>
  <c r="AZ228" i="3" s="1"/>
  <c r="G238" i="3"/>
  <c r="G239" i="3"/>
  <c r="BL247" i="3"/>
  <c r="G249" i="3"/>
  <c r="G253" i="3"/>
  <c r="BL253" i="3"/>
  <c r="BA254" i="3"/>
  <c r="AZ254" i="3" s="1"/>
  <c r="BA257" i="3"/>
  <c r="BA260" i="3"/>
  <c r="BA261" i="3"/>
  <c r="G264" i="3"/>
  <c r="BL265" i="3"/>
  <c r="AZ265" i="3" s="1"/>
  <c r="G268" i="3"/>
  <c r="BL268" i="3"/>
  <c r="AZ268" i="3" s="1"/>
  <c r="BA269" i="3"/>
  <c r="AZ269" i="3" s="1"/>
  <c r="BL275" i="3"/>
  <c r="AZ275" i="3" s="1"/>
  <c r="G277" i="3"/>
  <c r="G278" i="3"/>
  <c r="G279" i="3"/>
  <c r="BL279" i="3"/>
  <c r="BA281" i="3"/>
  <c r="AZ281" i="3" s="1"/>
  <c r="BA282" i="3"/>
  <c r="AZ282" i="3" s="1"/>
  <c r="BL286" i="3"/>
  <c r="AZ286" i="3" s="1"/>
  <c r="BL288" i="3"/>
  <c r="AZ288" i="3" s="1"/>
  <c r="G290" i="3"/>
  <c r="G291" i="3"/>
  <c r="BL292" i="3"/>
  <c r="G298" i="3"/>
  <c r="G299" i="3"/>
  <c r="BL300" i="3"/>
  <c r="AZ300" i="3" s="1"/>
  <c r="BA302" i="3"/>
  <c r="AZ302" i="3" s="1"/>
  <c r="BA113" i="3"/>
  <c r="BL119" i="3"/>
  <c r="AZ119" i="3" s="1"/>
  <c r="BL121" i="3"/>
  <c r="AZ121" i="3" s="1"/>
  <c r="G126" i="3"/>
  <c r="BL131" i="3"/>
  <c r="AZ131" i="3" s="1"/>
  <c r="G134" i="3"/>
  <c r="BA134" i="3"/>
  <c r="AZ134" i="3" s="1"/>
  <c r="BL139" i="3"/>
  <c r="AZ139" i="3" s="1"/>
  <c r="BL141" i="3"/>
  <c r="AZ141" i="3" s="1"/>
  <c r="BA142" i="3"/>
  <c r="AZ142" i="3" s="1"/>
  <c r="BA145" i="3"/>
  <c r="AZ145" i="3" s="1"/>
  <c r="BA146" i="3"/>
  <c r="AZ146" i="3" s="1"/>
  <c r="BA148" i="3"/>
  <c r="AZ148" i="3" s="1"/>
  <c r="BL149" i="3"/>
  <c r="AZ149" i="3" s="1"/>
  <c r="BL150" i="3"/>
  <c r="AZ150" i="3" s="1"/>
  <c r="G154" i="3"/>
  <c r="G159" i="3"/>
  <c r="BL165" i="3"/>
  <c r="AZ165" i="3" s="1"/>
  <c r="BL167" i="3"/>
  <c r="AZ167" i="3" s="1"/>
  <c r="BA169" i="3"/>
  <c r="BL170" i="3"/>
  <c r="BL173" i="3"/>
  <c r="BA174" i="3"/>
  <c r="AZ174" i="3" s="1"/>
  <c r="BL194" i="3"/>
  <c r="G195" i="3"/>
  <c r="G202" i="3"/>
  <c r="G204" i="3"/>
  <c r="G205" i="3"/>
  <c r="G206" i="3"/>
  <c r="BL206" i="3"/>
  <c r="G22" i="3"/>
  <c r="G23" i="3"/>
  <c r="BL35" i="3"/>
  <c r="G36" i="3"/>
  <c r="BL36" i="3"/>
  <c r="AZ36" i="3" s="1"/>
  <c r="BA45" i="3"/>
  <c r="BL49" i="3"/>
  <c r="BA54" i="3"/>
  <c r="BA55" i="3"/>
  <c r="BL57" i="3"/>
  <c r="BA62" i="3"/>
  <c r="AZ62" i="3" s="1"/>
  <c r="BA63" i="3"/>
  <c r="BL66" i="3"/>
  <c r="BA84" i="3"/>
  <c r="AZ84" i="3" s="1"/>
  <c r="BL88" i="3"/>
  <c r="F3" i="35"/>
  <c r="G1" i="80"/>
  <c r="Y34" i="71"/>
  <c r="Z34" i="71" s="1"/>
  <c r="Y27" i="71"/>
  <c r="Z27" i="71" s="1"/>
  <c r="BL153" i="3"/>
  <c r="AZ153" i="3" s="1"/>
  <c r="BL154" i="3"/>
  <c r="BL155" i="3"/>
  <c r="AZ155" i="3" s="1"/>
  <c r="BA156" i="3"/>
  <c r="AZ156" i="3" s="1"/>
  <c r="BL159" i="3"/>
  <c r="AZ159" i="3" s="1"/>
  <c r="BL161" i="3"/>
  <c r="AZ161" i="3" s="1"/>
  <c r="BA162" i="3"/>
  <c r="AZ162" i="3" s="1"/>
  <c r="G170" i="3"/>
  <c r="G172" i="3"/>
  <c r="BA173" i="3"/>
  <c r="AZ173" i="3" s="1"/>
  <c r="G179" i="3"/>
  <c r="BA184" i="3"/>
  <c r="AZ184" i="3" s="1"/>
  <c r="G190" i="3"/>
  <c r="BL190" i="3"/>
  <c r="BL197" i="3"/>
  <c r="AZ197" i="3" s="1"/>
  <c r="BL199" i="3"/>
  <c r="BA201" i="3"/>
  <c r="G19" i="3"/>
  <c r="BL19" i="3"/>
  <c r="BA21" i="3"/>
  <c r="AZ21" i="3" s="1"/>
  <c r="BA22" i="3"/>
  <c r="G25" i="3"/>
  <c r="G26" i="3"/>
  <c r="BL27" i="3"/>
  <c r="BA28" i="3"/>
  <c r="AZ28" i="3" s="1"/>
  <c r="BA29" i="3"/>
  <c r="AZ29" i="3" s="1"/>
  <c r="BA30" i="3"/>
  <c r="AZ30" i="3" s="1"/>
  <c r="BA32" i="3"/>
  <c r="AZ32" i="3" s="1"/>
  <c r="BA37" i="3"/>
  <c r="BA39" i="3"/>
  <c r="G43" i="3"/>
  <c r="BL43" i="3"/>
  <c r="AZ43" i="3" s="1"/>
  <c r="BA44" i="3"/>
  <c r="BA46" i="3"/>
  <c r="AZ46" i="3" s="1"/>
  <c r="BL47" i="3"/>
  <c r="BL50" i="3"/>
  <c r="G53" i="3"/>
  <c r="G54" i="3"/>
  <c r="G57" i="3"/>
  <c r="BL58" i="3"/>
  <c r="G61" i="3"/>
  <c r="G62" i="3"/>
  <c r="G65" i="3"/>
  <c r="BA69" i="3"/>
  <c r="AZ69" i="3" s="1"/>
  <c r="G73" i="3"/>
  <c r="BL82" i="3"/>
  <c r="BA86" i="3"/>
  <c r="AZ86" i="3" s="1"/>
  <c r="BA87" i="3"/>
  <c r="BL102" i="3"/>
  <c r="AZ102" i="3" s="1"/>
  <c r="BL108" i="3"/>
  <c r="BA111" i="3"/>
  <c r="D100" i="43"/>
  <c r="D108" i="43"/>
  <c r="F40" i="69"/>
  <c r="C21" i="69"/>
  <c r="C40" i="69"/>
  <c r="AA25" i="40"/>
  <c r="S25" i="40"/>
  <c r="P62" i="71"/>
  <c r="P63" i="71"/>
  <c r="F36" i="71"/>
  <c r="D43" i="71"/>
  <c r="C44" i="71"/>
  <c r="D44" i="71" s="1"/>
  <c r="U65" i="71"/>
  <c r="P65" i="71"/>
  <c r="C68" i="71"/>
  <c r="D68" i="71" s="1"/>
  <c r="T69" i="71"/>
  <c r="D69" i="71"/>
  <c r="Z10" i="43"/>
  <c r="Z12" i="43"/>
  <c r="AJ10" i="43"/>
  <c r="AJ12" i="43"/>
  <c r="Y23" i="71"/>
  <c r="Z23" i="71" s="1"/>
  <c r="G38" i="3"/>
  <c r="BL40" i="3"/>
  <c r="BL42" i="3"/>
  <c r="BL44" i="3"/>
  <c r="G48" i="3"/>
  <c r="BA49" i="3"/>
  <c r="AZ49" i="3" s="1"/>
  <c r="BA53" i="3"/>
  <c r="AZ53" i="3" s="1"/>
  <c r="BA57" i="3"/>
  <c r="AZ57" i="3" s="1"/>
  <c r="BA61" i="3"/>
  <c r="AZ61" i="3" s="1"/>
  <c r="BA65" i="3"/>
  <c r="AZ65" i="3" s="1"/>
  <c r="G68" i="3"/>
  <c r="G69" i="3"/>
  <c r="BA71" i="3"/>
  <c r="BL74" i="3"/>
  <c r="AA21" i="21"/>
  <c r="S21" i="21"/>
  <c r="C33" i="71"/>
  <c r="D32" i="71"/>
  <c r="C40" i="71"/>
  <c r="BL79" i="3"/>
  <c r="BA82" i="3"/>
  <c r="AZ82" i="3" s="1"/>
  <c r="BL89" i="3"/>
  <c r="G90" i="3"/>
  <c r="BL90" i="3"/>
  <c r="BL92" i="3"/>
  <c r="AZ92" i="3" s="1"/>
  <c r="G94" i="3"/>
  <c r="BL94" i="3"/>
  <c r="AZ94" i="3" s="1"/>
  <c r="BL95" i="3"/>
  <c r="G96" i="3"/>
  <c r="BL96" i="3"/>
  <c r="BA99" i="3"/>
  <c r="BL109" i="3"/>
  <c r="G110" i="3"/>
  <c r="BA112" i="3"/>
  <c r="N100" i="43"/>
  <c r="BL67" i="3"/>
  <c r="AZ67" i="3" s="1"/>
  <c r="BL70" i="3"/>
  <c r="AZ70" i="3" s="1"/>
  <c r="G72" i="3"/>
  <c r="BL73" i="3"/>
  <c r="AZ73" i="3" s="1"/>
  <c r="BL77" i="3"/>
  <c r="AZ77" i="3" s="1"/>
  <c r="BL83" i="3"/>
  <c r="BL85" i="3"/>
  <c r="G89" i="3"/>
  <c r="BA89" i="3"/>
  <c r="BA91" i="3"/>
  <c r="AZ91" i="3" s="1"/>
  <c r="BA93" i="3"/>
  <c r="BA95" i="3"/>
  <c r="G100" i="3"/>
  <c r="G103" i="3"/>
  <c r="G106" i="3"/>
  <c r="G109" i="3"/>
  <c r="BA109" i="3"/>
  <c r="AZ109" i="3" s="1"/>
  <c r="BA110" i="3"/>
  <c r="AZ110" i="3" s="1"/>
  <c r="G8" i="1"/>
  <c r="E28" i="71"/>
  <c r="E29" i="71" s="1"/>
  <c r="U29" i="71" s="1"/>
  <c r="Y28" i="71"/>
  <c r="Z28" i="71" s="1"/>
  <c r="B7" i="1"/>
  <c r="E7" i="1" s="1"/>
  <c r="M7" i="1"/>
  <c r="K5" i="4"/>
  <c r="B47" i="48" s="1"/>
  <c r="H39" i="33"/>
  <c r="AB39" i="33" s="1"/>
  <c r="S39" i="33"/>
  <c r="W39" i="33"/>
  <c r="W33" i="33"/>
  <c r="C18" i="9"/>
  <c r="D18" i="9" s="1"/>
  <c r="S33" i="33"/>
  <c r="U33" i="33"/>
  <c r="AC11" i="33"/>
  <c r="U11" i="33"/>
  <c r="S11" i="33"/>
  <c r="U8" i="33"/>
  <c r="S8" i="33"/>
  <c r="P74" i="15"/>
  <c r="M20" i="67"/>
  <c r="C94" i="9"/>
  <c r="C92" i="9"/>
  <c r="F32" i="67"/>
  <c r="F60" i="67" s="1"/>
  <c r="F52" i="9"/>
  <c r="F54" i="9"/>
  <c r="F32" i="15"/>
  <c r="F60" i="15" s="1"/>
  <c r="F31" i="12"/>
  <c r="F30" i="69"/>
  <c r="F48" i="69" s="1"/>
  <c r="F28" i="67"/>
  <c r="C28" i="67" s="1"/>
  <c r="D68" i="9"/>
  <c r="M18" i="67"/>
  <c r="F30" i="11"/>
  <c r="F48" i="68"/>
  <c r="C48" i="68"/>
  <c r="C31" i="12"/>
  <c r="E19" i="11"/>
  <c r="F34" i="11"/>
  <c r="C36" i="11" s="1"/>
  <c r="D22" i="15"/>
  <c r="G22" i="68"/>
  <c r="D22" i="67"/>
  <c r="G26" i="12"/>
  <c r="G22" i="69"/>
  <c r="L27" i="6"/>
  <c r="AQ8" i="1"/>
  <c r="T9" i="1"/>
  <c r="E5" i="6"/>
  <c r="D9" i="68" s="1"/>
  <c r="C9" i="68" s="1"/>
  <c r="AQ11" i="1"/>
  <c r="E8" i="6"/>
  <c r="E56" i="39" s="1"/>
  <c r="T13" i="1"/>
  <c r="T11" i="1"/>
  <c r="AR12" i="1"/>
  <c r="M101" i="43"/>
  <c r="M106" i="43" s="1"/>
  <c r="E101" i="43"/>
  <c r="E104" i="43" s="1"/>
  <c r="H22" i="43"/>
  <c r="S7" i="43"/>
  <c r="Y11" i="43"/>
  <c r="Y13" i="43" s="1"/>
  <c r="F27" i="6"/>
  <c r="T10" i="1"/>
  <c r="O13" i="1"/>
  <c r="P13" i="1" s="1"/>
  <c r="C36" i="69"/>
  <c r="T8" i="1"/>
  <c r="S5" i="43"/>
  <c r="AR10" i="1"/>
  <c r="H101" i="43"/>
  <c r="B113" i="43"/>
  <c r="BG5" i="3"/>
  <c r="P9" i="1"/>
  <c r="H16" i="1"/>
  <c r="J22" i="43"/>
  <c r="AJ11" i="43"/>
  <c r="AJ13" i="43" s="1"/>
  <c r="BA13" i="3"/>
  <c r="C101" i="43"/>
  <c r="C109" i="43" s="1"/>
  <c r="G13" i="1"/>
  <c r="G9" i="1"/>
  <c r="G7" i="1"/>
  <c r="G11" i="1"/>
  <c r="C20" i="43"/>
  <c r="D16" i="53"/>
  <c r="D127" i="9"/>
  <c r="D13" i="52" s="1"/>
  <c r="D12" i="52"/>
  <c r="I14" i="74"/>
  <c r="B8" i="74" s="1"/>
  <c r="D19" i="53"/>
  <c r="D20" i="53" s="1"/>
  <c r="B40" i="72" s="1"/>
  <c r="B13" i="53"/>
  <c r="B29" i="72" s="1"/>
  <c r="C24" i="12"/>
  <c r="C30" i="69"/>
  <c r="C28" i="15"/>
  <c r="D67" i="39"/>
  <c r="D69" i="39" s="1"/>
  <c r="C30" i="68"/>
  <c r="D125" i="9"/>
  <c r="D11" i="52" s="1"/>
  <c r="S17" i="33"/>
  <c r="AA17" i="33"/>
  <c r="W25" i="33"/>
  <c r="AC25" i="33"/>
  <c r="W32" i="39"/>
  <c r="AC32" i="39"/>
  <c r="H14" i="74"/>
  <c r="B7" i="74" s="1"/>
  <c r="W10" i="34"/>
  <c r="AC10" i="34"/>
  <c r="AC32" i="21"/>
  <c r="Q16" i="1"/>
  <c r="S29" i="21"/>
  <c r="P11" i="1"/>
  <c r="U13" i="21"/>
  <c r="AB13" i="21"/>
  <c r="P6" i="1"/>
  <c r="U10" i="34"/>
  <c r="U15" i="21"/>
  <c r="AB15" i="21"/>
  <c r="AZ13" i="3"/>
  <c r="S19" i="33"/>
  <c r="AA19" i="33"/>
  <c r="O12" i="1"/>
  <c r="P12" i="1" s="1"/>
  <c r="AA41" i="33"/>
  <c r="S41" i="33"/>
  <c r="W11" i="40"/>
  <c r="AC11" i="40"/>
  <c r="AC35" i="39"/>
  <c r="W35" i="39"/>
  <c r="U38" i="21"/>
  <c r="AB38" i="21"/>
  <c r="BL587" i="3"/>
  <c r="BA587" i="3"/>
  <c r="AZ587" i="3" s="1"/>
  <c r="BL586" i="3"/>
  <c r="AZ586" i="3" s="1"/>
  <c r="H31" i="21"/>
  <c r="F31" i="21"/>
  <c r="H46" i="21"/>
  <c r="F46" i="21"/>
  <c r="AA42" i="21"/>
  <c r="S42" i="21"/>
  <c r="S12" i="35"/>
  <c r="AA12" i="35"/>
  <c r="H23" i="36"/>
  <c r="J23" i="36"/>
  <c r="H5" i="3"/>
  <c r="O8" i="1"/>
  <c r="P8" i="1" s="1"/>
  <c r="U12" i="39"/>
  <c r="AA27" i="40"/>
  <c r="AR13" i="1"/>
  <c r="AA20" i="36"/>
  <c r="S35" i="33"/>
  <c r="AB32" i="37"/>
  <c r="AZ309" i="3"/>
  <c r="AZ519" i="3"/>
  <c r="W31" i="34"/>
  <c r="AA14" i="33"/>
  <c r="AA21" i="40"/>
  <c r="S21" i="40"/>
  <c r="AA34" i="35"/>
  <c r="S34" i="35"/>
  <c r="J24" i="35"/>
  <c r="H24" i="35"/>
  <c r="AC8" i="36"/>
  <c r="W8" i="36"/>
  <c r="F23" i="36"/>
  <c r="AB26" i="37"/>
  <c r="U26" i="37"/>
  <c r="AB9" i="35"/>
  <c r="S43" i="34"/>
  <c r="S27" i="36"/>
  <c r="BQ5" i="3"/>
  <c r="F28" i="6" s="1"/>
  <c r="AZ305" i="3"/>
  <c r="AZ341" i="3"/>
  <c r="AC12" i="37"/>
  <c r="W47" i="34"/>
  <c r="AZ509" i="3"/>
  <c r="AZ577" i="3"/>
  <c r="AZ540" i="3"/>
  <c r="U46" i="33"/>
  <c r="W17" i="34"/>
  <c r="AC17" i="34"/>
  <c r="S29" i="35"/>
  <c r="AA29" i="35"/>
  <c r="W34" i="36"/>
  <c r="AC34" i="36"/>
  <c r="AC27" i="39"/>
  <c r="W27" i="39"/>
  <c r="S41" i="39"/>
  <c r="AA41" i="39"/>
  <c r="BA585" i="3"/>
  <c r="AZ585" i="3" s="1"/>
  <c r="W8" i="35"/>
  <c r="AC8" i="35"/>
  <c r="F32" i="36"/>
  <c r="H32" i="36"/>
  <c r="W31" i="40"/>
  <c r="AC31" i="40"/>
  <c r="BA581" i="3"/>
  <c r="AZ581" i="3" s="1"/>
  <c r="BL580" i="3"/>
  <c r="BA580" i="3"/>
  <c r="AZ580" i="3" s="1"/>
  <c r="BL579" i="3"/>
  <c r="AZ579" i="3" s="1"/>
  <c r="BA560" i="3"/>
  <c r="AZ560" i="3" s="1"/>
  <c r="BL559" i="3"/>
  <c r="BA559" i="3"/>
  <c r="AZ559" i="3" s="1"/>
  <c r="BJ5" i="3"/>
  <c r="BA558" i="3"/>
  <c r="AZ558" i="3" s="1"/>
  <c r="T12" i="1"/>
  <c r="C77" i="9"/>
  <c r="C74" i="9" s="1"/>
  <c r="AC17" i="37"/>
  <c r="AQ9" i="1"/>
  <c r="AA39" i="39"/>
  <c r="W43" i="33"/>
  <c r="AB19" i="40"/>
  <c r="AC13" i="34"/>
  <c r="G28" i="6"/>
  <c r="AZ382" i="3"/>
  <c r="AZ321" i="3"/>
  <c r="S11" i="39"/>
  <c r="W11" i="39"/>
  <c r="W44" i="33"/>
  <c r="AZ525" i="3"/>
  <c r="AZ533" i="3"/>
  <c r="AZ541" i="3"/>
  <c r="AZ571" i="3"/>
  <c r="AZ502" i="3"/>
  <c r="J46" i="21"/>
  <c r="J44" i="21"/>
  <c r="AB33" i="37"/>
  <c r="U33" i="37"/>
  <c r="AB12" i="36"/>
  <c r="BL563" i="3"/>
  <c r="AZ563" i="3" s="1"/>
  <c r="AB35" i="33"/>
  <c r="U35" i="33"/>
  <c r="J26" i="33"/>
  <c r="F26" i="33"/>
  <c r="J26" i="37"/>
  <c r="F26" i="37"/>
  <c r="H39" i="40"/>
  <c r="J39" i="40"/>
  <c r="BA550" i="3"/>
  <c r="AZ550" i="3" s="1"/>
  <c r="S10" i="37"/>
  <c r="S30" i="36"/>
  <c r="F35" i="39"/>
  <c r="G585" i="3"/>
  <c r="H26" i="33"/>
  <c r="W28" i="36"/>
  <c r="G587" i="3"/>
  <c r="F12" i="21"/>
  <c r="J12" i="21"/>
  <c r="AC31" i="35"/>
  <c r="AC34" i="35"/>
  <c r="W34" i="35"/>
  <c r="BL548" i="3"/>
  <c r="AZ548" i="3" s="1"/>
  <c r="AZ410" i="3"/>
  <c r="AZ413" i="3"/>
  <c r="G400" i="3"/>
  <c r="BA401" i="3"/>
  <c r="G403" i="3"/>
  <c r="BA405" i="3"/>
  <c r="AZ405" i="3" s="1"/>
  <c r="G407" i="3"/>
  <c r="BA408" i="3"/>
  <c r="BA409" i="3"/>
  <c r="AZ409" i="3" s="1"/>
  <c r="BA412" i="3"/>
  <c r="AZ412" i="3" s="1"/>
  <c r="BA415" i="3"/>
  <c r="BA416" i="3"/>
  <c r="AZ416" i="3" s="1"/>
  <c r="G424" i="3"/>
  <c r="G431" i="3"/>
  <c r="BA433" i="3"/>
  <c r="AZ433" i="3" s="1"/>
  <c r="BA440" i="3"/>
  <c r="AZ440" i="3" s="1"/>
  <c r="BA442" i="3"/>
  <c r="BL446" i="3"/>
  <c r="AZ453" i="3"/>
  <c r="BA455" i="3"/>
  <c r="AZ455" i="3" s="1"/>
  <c r="AZ459" i="3"/>
  <c r="AZ464" i="3"/>
  <c r="AZ471" i="3"/>
  <c r="BL475" i="3"/>
  <c r="AZ477" i="3"/>
  <c r="G481" i="3"/>
  <c r="AZ486" i="3"/>
  <c r="BA488" i="3"/>
  <c r="AZ488" i="3" s="1"/>
  <c r="AZ316" i="3"/>
  <c r="BL332" i="3"/>
  <c r="G351" i="3"/>
  <c r="BA395" i="3"/>
  <c r="AZ395" i="3" s="1"/>
  <c r="AZ397" i="3"/>
  <c r="G212" i="3"/>
  <c r="BA219" i="3"/>
  <c r="AZ219" i="3" s="1"/>
  <c r="AZ247" i="3"/>
  <c r="AZ403" i="3"/>
  <c r="BL398" i="3"/>
  <c r="AZ398" i="3" s="1"/>
  <c r="BL401" i="3"/>
  <c r="G402" i="3"/>
  <c r="BL404" i="3"/>
  <c r="BL405" i="3"/>
  <c r="G406" i="3"/>
  <c r="BL408" i="3"/>
  <c r="G409" i="3"/>
  <c r="BL411" i="3"/>
  <c r="BL414" i="3"/>
  <c r="AZ414" i="3" s="1"/>
  <c r="BL415" i="3"/>
  <c r="G416" i="3"/>
  <c r="AZ421" i="3"/>
  <c r="BA423" i="3"/>
  <c r="BL426" i="3"/>
  <c r="AZ426" i="3" s="1"/>
  <c r="BA430" i="3"/>
  <c r="AZ430" i="3" s="1"/>
  <c r="G434" i="3"/>
  <c r="G441" i="3"/>
  <c r="BL442" i="3"/>
  <c r="G444" i="3"/>
  <c r="BA446" i="3"/>
  <c r="AZ449" i="3"/>
  <c r="G456" i="3"/>
  <c r="AZ467" i="3"/>
  <c r="AZ478" i="3"/>
  <c r="BA480" i="3"/>
  <c r="AZ480" i="3" s="1"/>
  <c r="BL483" i="3"/>
  <c r="AZ483" i="3" s="1"/>
  <c r="G489" i="3"/>
  <c r="AZ332" i="3"/>
  <c r="AZ211" i="3"/>
  <c r="AA31" i="36"/>
  <c r="AZ404" i="3"/>
  <c r="AZ411" i="3"/>
  <c r="AZ422" i="3"/>
  <c r="AZ450" i="3"/>
  <c r="AZ461" i="3"/>
  <c r="AZ479" i="3"/>
  <c r="BA331" i="3"/>
  <c r="AZ331" i="3" s="1"/>
  <c r="G380" i="3"/>
  <c r="G384" i="3"/>
  <c r="BA208" i="3"/>
  <c r="AZ208" i="3" s="1"/>
  <c r="AZ210" i="3"/>
  <c r="BA212" i="3"/>
  <c r="AZ212" i="3" s="1"/>
  <c r="BL216" i="3"/>
  <c r="AZ216" i="3" s="1"/>
  <c r="AZ226" i="3"/>
  <c r="BL236" i="3"/>
  <c r="AZ236" i="3" s="1"/>
  <c r="BL242" i="3"/>
  <c r="AZ242" i="3" s="1"/>
  <c r="BA244" i="3"/>
  <c r="AZ244" i="3" s="1"/>
  <c r="BA245" i="3"/>
  <c r="AZ245" i="3" s="1"/>
  <c r="BL250" i="3"/>
  <c r="AZ250" i="3" s="1"/>
  <c r="BA252" i="3"/>
  <c r="AZ252" i="3" s="1"/>
  <c r="BA258" i="3"/>
  <c r="AZ258" i="3" s="1"/>
  <c r="BL261" i="3"/>
  <c r="AZ261" i="3" s="1"/>
  <c r="BL264" i="3"/>
  <c r="BL270" i="3"/>
  <c r="AZ270" i="3" s="1"/>
  <c r="BL274" i="3"/>
  <c r="BA280" i="3"/>
  <c r="AZ280" i="3" s="1"/>
  <c r="BL285" i="3"/>
  <c r="BL287" i="3"/>
  <c r="AB6" i="71"/>
  <c r="AB36" i="71"/>
  <c r="AB33" i="71"/>
  <c r="AB34" i="71"/>
  <c r="AB25" i="71"/>
  <c r="AB35" i="71"/>
  <c r="C60" i="71"/>
  <c r="D59" i="71"/>
  <c r="C67" i="71"/>
  <c r="D67" i="71" s="1"/>
  <c r="Y22" i="71"/>
  <c r="Z22" i="71" s="1"/>
  <c r="Y20" i="71"/>
  <c r="Z20" i="71" s="1"/>
  <c r="Y21" i="71"/>
  <c r="Z21" i="71" s="1"/>
  <c r="Y18" i="71"/>
  <c r="Z18" i="71" s="1"/>
  <c r="Y15" i="71"/>
  <c r="Z15" i="71" s="1"/>
  <c r="BL224" i="3"/>
  <c r="AZ224" i="3" s="1"/>
  <c r="BA231" i="3"/>
  <c r="AZ231" i="3" s="1"/>
  <c r="BA232" i="3"/>
  <c r="AZ232" i="3" s="1"/>
  <c r="BA233" i="3"/>
  <c r="AZ233" i="3" s="1"/>
  <c r="BA234" i="3"/>
  <c r="AZ234" i="3" s="1"/>
  <c r="BA235" i="3"/>
  <c r="AZ235" i="3" s="1"/>
  <c r="BL237" i="3"/>
  <c r="AZ237" i="3" s="1"/>
  <c r="BA239" i="3"/>
  <c r="AZ239" i="3" s="1"/>
  <c r="BA240" i="3"/>
  <c r="AZ240" i="3" s="1"/>
  <c r="BA241" i="3"/>
  <c r="BL243" i="3"/>
  <c r="AZ243" i="3" s="1"/>
  <c r="BL251" i="3"/>
  <c r="AZ251" i="3" s="1"/>
  <c r="BL255" i="3"/>
  <c r="AZ255" i="3" s="1"/>
  <c r="BL266" i="3"/>
  <c r="BL115" i="3"/>
  <c r="AZ115" i="3" s="1"/>
  <c r="AZ122" i="3"/>
  <c r="G215" i="3"/>
  <c r="G218" i="3"/>
  <c r="BL221" i="3"/>
  <c r="AZ221" i="3" s="1"/>
  <c r="BL230" i="3"/>
  <c r="AZ230" i="3" s="1"/>
  <c r="BL238" i="3"/>
  <c r="BL248" i="3"/>
  <c r="AZ248" i="3" s="1"/>
  <c r="G259" i="3"/>
  <c r="BA272" i="3"/>
  <c r="AZ272" i="3" s="1"/>
  <c r="AZ274" i="3"/>
  <c r="BL277" i="3"/>
  <c r="AZ277" i="3" s="1"/>
  <c r="AZ284" i="3"/>
  <c r="BL290" i="3"/>
  <c r="AZ290" i="3" s="1"/>
  <c r="BA296" i="3"/>
  <c r="AZ296" i="3" s="1"/>
  <c r="BL301" i="3"/>
  <c r="AZ301" i="3" s="1"/>
  <c r="BL122" i="3"/>
  <c r="BA124" i="3"/>
  <c r="AZ124" i="3" s="1"/>
  <c r="AZ125" i="3"/>
  <c r="BL143" i="3"/>
  <c r="AZ143" i="3" s="1"/>
  <c r="BL163" i="3"/>
  <c r="AZ163" i="3" s="1"/>
  <c r="BL166" i="3"/>
  <c r="AZ166" i="3" s="1"/>
  <c r="BA168" i="3"/>
  <c r="AZ168" i="3" s="1"/>
  <c r="AZ169" i="3"/>
  <c r="BA189" i="3"/>
  <c r="AZ189" i="3" s="1"/>
  <c r="BL201" i="3"/>
  <c r="AZ201" i="3" s="1"/>
  <c r="BA20" i="3"/>
  <c r="AZ20" i="3" s="1"/>
  <c r="AZ22" i="3"/>
  <c r="BL25" i="3"/>
  <c r="AZ34" i="3"/>
  <c r="BA41" i="3"/>
  <c r="AZ41" i="3" s="1"/>
  <c r="BL45" i="3"/>
  <c r="AZ45" i="3" s="1"/>
  <c r="BA246" i="3"/>
  <c r="AZ246" i="3" s="1"/>
  <c r="BA253" i="3"/>
  <c r="BL257" i="3"/>
  <c r="AZ257" i="3" s="1"/>
  <c r="BL260" i="3"/>
  <c r="AZ260" i="3" s="1"/>
  <c r="AZ264" i="3"/>
  <c r="AZ292" i="3"/>
  <c r="AZ113" i="3"/>
  <c r="AZ185" i="3"/>
  <c r="AZ193" i="3"/>
  <c r="AZ27" i="3"/>
  <c r="BL37" i="3"/>
  <c r="AZ37" i="3" s="1"/>
  <c r="AZ54" i="3"/>
  <c r="BA126" i="3"/>
  <c r="AZ126" i="3" s="1"/>
  <c r="BA129" i="3"/>
  <c r="AZ129" i="3" s="1"/>
  <c r="BL133" i="3"/>
  <c r="AZ133" i="3" s="1"/>
  <c r="BL135" i="3"/>
  <c r="AZ135" i="3" s="1"/>
  <c r="BL175" i="3"/>
  <c r="AZ175" i="3" s="1"/>
  <c r="BL195" i="3"/>
  <c r="AZ195" i="3" s="1"/>
  <c r="BL198" i="3"/>
  <c r="AZ198" i="3" s="1"/>
  <c r="BA200" i="3"/>
  <c r="AZ200" i="3" s="1"/>
  <c r="BL207" i="3"/>
  <c r="BA23" i="3"/>
  <c r="AZ23" i="3" s="1"/>
  <c r="AZ25" i="3"/>
  <c r="BA35" i="3"/>
  <c r="AZ35" i="3" s="1"/>
  <c r="M108" i="43"/>
  <c r="M100" i="43"/>
  <c r="E108" i="43"/>
  <c r="E100" i="43"/>
  <c r="BA40" i="3"/>
  <c r="AZ40" i="3" s="1"/>
  <c r="BA48" i="3"/>
  <c r="AZ48" i="3" s="1"/>
  <c r="G51" i="3"/>
  <c r="BA56" i="3"/>
  <c r="G59" i="3"/>
  <c r="BA64" i="3"/>
  <c r="AZ64" i="3" s="1"/>
  <c r="G67" i="3"/>
  <c r="BL75" i="3"/>
  <c r="AZ75" i="3" s="1"/>
  <c r="G77" i="3"/>
  <c r="BL81" i="3"/>
  <c r="G84" i="3"/>
  <c r="G86" i="3"/>
  <c r="BL87" i="3"/>
  <c r="BA90" i="3"/>
  <c r="AZ90" i="3" s="1"/>
  <c r="BL93" i="3"/>
  <c r="AZ93" i="3" s="1"/>
  <c r="BA96" i="3"/>
  <c r="AZ96" i="3" s="1"/>
  <c r="BA100" i="3"/>
  <c r="AZ100" i="3" s="1"/>
  <c r="BA108" i="3"/>
  <c r="BL111" i="3"/>
  <c r="AZ111" i="3" s="1"/>
  <c r="BL112" i="3"/>
  <c r="AZ112" i="3" s="1"/>
  <c r="AB21" i="34"/>
  <c r="U21" i="34"/>
  <c r="Y7" i="71"/>
  <c r="Z7" i="71" s="1"/>
  <c r="BL39" i="3"/>
  <c r="AZ81" i="3"/>
  <c r="AZ95" i="3"/>
  <c r="E59" i="43"/>
  <c r="B57" i="43" s="1"/>
  <c r="I108" i="43"/>
  <c r="I100" i="43"/>
  <c r="X5" i="71"/>
  <c r="Y5" i="71"/>
  <c r="Z5" i="71" s="1"/>
  <c r="AB5" i="71"/>
  <c r="AA5" i="71"/>
  <c r="AC21" i="37"/>
  <c r="W21" i="37"/>
  <c r="X28" i="71"/>
  <c r="X27" i="71"/>
  <c r="X29" i="71"/>
  <c r="X25" i="71"/>
  <c r="X26" i="71"/>
  <c r="AB30" i="71"/>
  <c r="AA31" i="71"/>
  <c r="AA27" i="71"/>
  <c r="AA25" i="71"/>
  <c r="AA29" i="71"/>
  <c r="S77" i="71"/>
  <c r="B76" i="71"/>
  <c r="B75" i="71" s="1"/>
  <c r="V77" i="71"/>
  <c r="F76" i="71"/>
  <c r="F75" i="71" s="1"/>
  <c r="AF12" i="43"/>
  <c r="AF10" i="43"/>
  <c r="AI12" i="43"/>
  <c r="AI10" i="43"/>
  <c r="AB21" i="71"/>
  <c r="X14" i="71"/>
  <c r="X11" i="71"/>
  <c r="X10" i="71"/>
  <c r="X15" i="71"/>
  <c r="AA15" i="71"/>
  <c r="AA8" i="71"/>
  <c r="AA9" i="71"/>
  <c r="AA14" i="71"/>
  <c r="BA42" i="3"/>
  <c r="AZ42" i="3" s="1"/>
  <c r="BA47" i="3"/>
  <c r="AZ47" i="3" s="1"/>
  <c r="BA50" i="3"/>
  <c r="AZ50" i="3" s="1"/>
  <c r="BL52" i="3"/>
  <c r="AZ52" i="3" s="1"/>
  <c r="BL55" i="3"/>
  <c r="BA58" i="3"/>
  <c r="AZ58" i="3" s="1"/>
  <c r="BL60" i="3"/>
  <c r="BL63" i="3"/>
  <c r="AZ63" i="3" s="1"/>
  <c r="BA66" i="3"/>
  <c r="BL68" i="3"/>
  <c r="AZ68" i="3" s="1"/>
  <c r="BL71" i="3"/>
  <c r="BA74" i="3"/>
  <c r="AZ74" i="3" s="1"/>
  <c r="BA76" i="3"/>
  <c r="AZ76" i="3" s="1"/>
  <c r="BL78" i="3"/>
  <c r="AZ78" i="3" s="1"/>
  <c r="BA83" i="3"/>
  <c r="BA85" i="3"/>
  <c r="AZ85" i="3" s="1"/>
  <c r="AZ87" i="3"/>
  <c r="BA88" i="3"/>
  <c r="AZ88" i="3" s="1"/>
  <c r="G91" i="3"/>
  <c r="G97" i="3"/>
  <c r="BL98" i="3"/>
  <c r="AZ98" i="3" s="1"/>
  <c r="BL99" i="3"/>
  <c r="AZ99" i="3" s="1"/>
  <c r="AZ106" i="3"/>
  <c r="BL107" i="3"/>
  <c r="AZ107" i="3" s="1"/>
  <c r="G100" i="43"/>
  <c r="K108" i="43"/>
  <c r="K100" i="43"/>
  <c r="B75" i="43"/>
  <c r="C29" i="39"/>
  <c r="B55" i="43"/>
  <c r="B66" i="43"/>
  <c r="C37" i="71"/>
  <c r="D36" i="71"/>
  <c r="D25" i="71"/>
  <c r="U25" i="71" s="1"/>
  <c r="T25" i="71"/>
  <c r="C24" i="71"/>
  <c r="S73" i="71"/>
  <c r="B72" i="71"/>
  <c r="B71" i="71" s="1"/>
  <c r="X21" i="71"/>
  <c r="F40" i="68"/>
  <c r="C21" i="68"/>
  <c r="U21" i="37"/>
  <c r="AB22" i="71"/>
  <c r="Q62" i="71"/>
  <c r="AA12" i="43"/>
  <c r="AA10" i="43"/>
  <c r="AB20" i="71"/>
  <c r="AB15" i="71"/>
  <c r="AB18" i="71"/>
  <c r="AB14" i="71"/>
  <c r="AB7" i="71"/>
  <c r="AB8" i="71"/>
  <c r="W21" i="33"/>
  <c r="F37" i="71"/>
  <c r="V37" i="71" s="1"/>
  <c r="C57" i="71"/>
  <c r="D56" i="71"/>
  <c r="S69" i="71"/>
  <c r="B68" i="71"/>
  <c r="B67" i="71" s="1"/>
  <c r="E24" i="71"/>
  <c r="E23" i="71" s="1"/>
  <c r="AA23" i="71"/>
  <c r="AA24" i="71"/>
  <c r="B21" i="71"/>
  <c r="X19" i="71"/>
  <c r="X18" i="71"/>
  <c r="X22" i="71"/>
  <c r="B25" i="71"/>
  <c r="X23" i="71"/>
  <c r="X24" i="71"/>
  <c r="C28" i="71"/>
  <c r="D27" i="71"/>
  <c r="AB27" i="71"/>
  <c r="AB26" i="71"/>
  <c r="AB23" i="71"/>
  <c r="F28" i="71"/>
  <c r="F29" i="71" s="1"/>
  <c r="V29" i="71" s="1"/>
  <c r="AB24" i="71"/>
  <c r="AB29" i="71"/>
  <c r="AB28" i="71"/>
  <c r="E31" i="71"/>
  <c r="E32" i="71" s="1"/>
  <c r="E33" i="71" s="1"/>
  <c r="U33" i="71" s="1"/>
  <c r="AA30" i="71"/>
  <c r="AA28" i="71"/>
  <c r="Y32" i="71"/>
  <c r="Z32" i="71" s="1"/>
  <c r="Y31" i="71"/>
  <c r="Z31" i="71" s="1"/>
  <c r="Y29" i="71"/>
  <c r="Z29" i="71" s="1"/>
  <c r="Y30" i="71"/>
  <c r="Z30" i="71" s="1"/>
  <c r="B35" i="71"/>
  <c r="B36" i="71" s="1"/>
  <c r="B37" i="71" s="1"/>
  <c r="S37" i="71" s="1"/>
  <c r="X34" i="71"/>
  <c r="U73" i="71"/>
  <c r="E72" i="71"/>
  <c r="E71" i="71" s="1"/>
  <c r="D85" i="71"/>
  <c r="C84" i="71"/>
  <c r="AA22" i="71"/>
  <c r="AA20" i="71"/>
  <c r="AB31" i="71"/>
  <c r="F20" i="71"/>
  <c r="F19" i="71" s="1"/>
  <c r="F18" i="71" s="1"/>
  <c r="F17" i="71" s="1"/>
  <c r="F16" i="71" s="1"/>
  <c r="F15" i="71" s="1"/>
  <c r="F14" i="71" s="1"/>
  <c r="AA19" i="71"/>
  <c r="Y19" i="71"/>
  <c r="Z19" i="71" s="1"/>
  <c r="AB9" i="71"/>
  <c r="Y14" i="71"/>
  <c r="Z14" i="71" s="1"/>
  <c r="Y8" i="71"/>
  <c r="Z8" i="71" s="1"/>
  <c r="Y24" i="71"/>
  <c r="Z24" i="71" s="1"/>
  <c r="X31" i="71"/>
  <c r="AB32" i="71"/>
  <c r="Y33" i="71"/>
  <c r="Z33" i="71" s="1"/>
  <c r="X7" i="71"/>
  <c r="X36" i="71"/>
  <c r="S65" i="71"/>
  <c r="B64" i="71"/>
  <c r="E21" i="71"/>
  <c r="X12" i="71"/>
  <c r="X8" i="71"/>
  <c r="X9" i="71"/>
  <c r="Y11" i="71"/>
  <c r="Z11" i="71" s="1"/>
  <c r="C80" i="71"/>
  <c r="C76" i="71"/>
  <c r="N65" i="71"/>
  <c r="AA26" i="71"/>
  <c r="B28" i="71"/>
  <c r="B29" i="71" s="1"/>
  <c r="S29" i="71" s="1"/>
  <c r="AA7" i="71"/>
  <c r="AA6" i="71"/>
  <c r="AG10" i="43"/>
  <c r="AC12" i="43"/>
  <c r="AC10" i="43"/>
  <c r="AA21" i="71"/>
  <c r="C20" i="71"/>
  <c r="AA18" i="71"/>
  <c r="Y9" i="71"/>
  <c r="Z9" i="71" s="1"/>
  <c r="Y10" i="71"/>
  <c r="Z10" i="71" s="1"/>
  <c r="X6" i="71"/>
  <c r="AA12" i="71"/>
  <c r="AB10" i="71"/>
  <c r="AA10" i="71"/>
  <c r="Y6" i="71"/>
  <c r="Z6" i="71" s="1"/>
  <c r="AB12" i="71"/>
  <c r="AB11" i="71"/>
  <c r="AA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B8" i="70"/>
  <c r="F66" i="15"/>
  <c r="Q71" i="67"/>
  <c r="F64" i="15"/>
  <c r="F70" i="67"/>
  <c r="C27" i="67"/>
  <c r="C27" i="15"/>
  <c r="F65" i="15"/>
  <c r="B9" i="70"/>
  <c r="B13" i="70"/>
  <c r="M7" i="67"/>
  <c r="F50" i="67"/>
  <c r="F68" i="67"/>
  <c r="F64" i="67"/>
  <c r="M6" i="67"/>
  <c r="F16" i="67"/>
  <c r="M22" i="15"/>
  <c r="M24" i="67"/>
  <c r="M23" i="15"/>
  <c r="F40" i="15"/>
  <c r="M28" i="15"/>
  <c r="F43" i="67"/>
  <c r="J15" i="15"/>
  <c r="L47" i="15"/>
  <c r="C76" i="15"/>
  <c r="F16" i="15"/>
  <c r="F42" i="15"/>
  <c r="M9" i="67"/>
  <c r="M29" i="15"/>
  <c r="M8" i="67"/>
  <c r="F7" i="15"/>
  <c r="L47" i="67"/>
  <c r="F13" i="67"/>
  <c r="G1" i="73"/>
  <c r="L58" i="67" l="1"/>
  <c r="Q73" i="67" s="1"/>
  <c r="M59" i="67"/>
  <c r="L59" i="67"/>
  <c r="Q61" i="67" s="1"/>
  <c r="N59" i="67"/>
  <c r="F71" i="67"/>
  <c r="AA9" i="33"/>
  <c r="S9" i="33"/>
  <c r="S13" i="36"/>
  <c r="AA13" i="36"/>
  <c r="U26" i="35"/>
  <c r="AB26" i="35"/>
  <c r="AB40" i="40"/>
  <c r="U40" i="40"/>
  <c r="AA25" i="37"/>
  <c r="S25" i="37"/>
  <c r="W30" i="21"/>
  <c r="AC30" i="21"/>
  <c r="AZ66" i="3"/>
  <c r="AZ55" i="3"/>
  <c r="AZ39" i="3"/>
  <c r="AZ266" i="3"/>
  <c r="AZ241" i="3"/>
  <c r="AZ423" i="3"/>
  <c r="AA12" i="34"/>
  <c r="G30" i="6"/>
  <c r="G31" i="6" s="1"/>
  <c r="N101" i="43"/>
  <c r="U36" i="39"/>
  <c r="AC28" i="21"/>
  <c r="AD11" i="43"/>
  <c r="AD13" i="43" s="1"/>
  <c r="E22" i="43"/>
  <c r="I101" i="43"/>
  <c r="I106" i="43" s="1"/>
  <c r="S6" i="43"/>
  <c r="Z7" i="43"/>
  <c r="AC11" i="43"/>
  <c r="S4" i="43"/>
  <c r="C23" i="43"/>
  <c r="C21" i="43" s="1"/>
  <c r="J101" i="43"/>
  <c r="J106" i="43" s="1"/>
  <c r="AZ89" i="3"/>
  <c r="AZ44" i="3"/>
  <c r="AZ5" i="3" s="1"/>
  <c r="AZ476" i="3"/>
  <c r="AZ154" i="3"/>
  <c r="AZ263" i="3"/>
  <c r="AZ386" i="3"/>
  <c r="AZ447" i="3"/>
  <c r="AZ190" i="3"/>
  <c r="AZ138" i="3"/>
  <c r="D52" i="71"/>
  <c r="C53" i="71"/>
  <c r="AZ206" i="3"/>
  <c r="AZ474" i="3"/>
  <c r="S31" i="39"/>
  <c r="AA31" i="39"/>
  <c r="AC29" i="21"/>
  <c r="W29" i="21"/>
  <c r="AA27" i="21"/>
  <c r="S27" i="21"/>
  <c r="U14" i="40"/>
  <c r="AB14" i="40"/>
  <c r="AB43" i="39"/>
  <c r="U43" i="39"/>
  <c r="S9" i="35"/>
  <c r="AA9" i="35"/>
  <c r="U12" i="34"/>
  <c r="AB12" i="34"/>
  <c r="U9" i="21"/>
  <c r="AB9" i="21"/>
  <c r="AA13" i="21"/>
  <c r="S13" i="21"/>
  <c r="W27" i="37"/>
  <c r="AC27" i="37"/>
  <c r="S38" i="40"/>
  <c r="AA38" i="40"/>
  <c r="AA39" i="37"/>
  <c r="S39" i="37"/>
  <c r="AA45" i="21"/>
  <c r="S45" i="21"/>
  <c r="AZ506" i="3"/>
  <c r="S45" i="39"/>
  <c r="AA45" i="39"/>
  <c r="AB25" i="37"/>
  <c r="U25" i="37"/>
  <c r="S30" i="34"/>
  <c r="AA30" i="34"/>
  <c r="AC12" i="34"/>
  <c r="W12" i="34"/>
  <c r="AC13" i="33"/>
  <c r="W13" i="33"/>
  <c r="U28" i="34"/>
  <c r="AB28" i="34"/>
  <c r="S36" i="33"/>
  <c r="AA36" i="33"/>
  <c r="D33" i="71"/>
  <c r="T33" i="71"/>
  <c r="AZ118" i="3"/>
  <c r="AB44" i="39"/>
  <c r="U44" i="39"/>
  <c r="AA31" i="40"/>
  <c r="S31" i="40"/>
  <c r="W37" i="39"/>
  <c r="AC37" i="39"/>
  <c r="AC14" i="37"/>
  <c r="W14" i="37"/>
  <c r="AB38" i="40"/>
  <c r="U38" i="40"/>
  <c r="AC46" i="34"/>
  <c r="W46" i="34"/>
  <c r="AA31" i="33"/>
  <c r="S31" i="33"/>
  <c r="AZ56" i="3"/>
  <c r="AZ207" i="3"/>
  <c r="AZ238" i="3"/>
  <c r="AZ287" i="3"/>
  <c r="AZ415" i="3"/>
  <c r="K101" i="43"/>
  <c r="AC36" i="33"/>
  <c r="L101" i="43"/>
  <c r="L105" i="43" s="1"/>
  <c r="AG11" i="43"/>
  <c r="AG13" i="43" s="1"/>
  <c r="N104" i="46"/>
  <c r="S3" i="43"/>
  <c r="D101" i="43"/>
  <c r="D105" i="43" s="1"/>
  <c r="Z11" i="43"/>
  <c r="Z13" i="43" s="1"/>
  <c r="AE11" i="43"/>
  <c r="AE13" i="43" s="1"/>
  <c r="AI11" i="43"/>
  <c r="F101" i="43"/>
  <c r="F107" i="43" s="1"/>
  <c r="C41" i="71"/>
  <c r="D40" i="71"/>
  <c r="AZ472" i="3"/>
  <c r="AZ194" i="3"/>
  <c r="AZ170" i="3"/>
  <c r="AZ487" i="3"/>
  <c r="AZ186" i="3"/>
  <c r="AZ273" i="3"/>
  <c r="U31" i="39"/>
  <c r="AB31" i="39"/>
  <c r="U29" i="21"/>
  <c r="AB29" i="21"/>
  <c r="U27" i="21"/>
  <c r="AB27" i="21"/>
  <c r="AZ544" i="3"/>
  <c r="W14" i="40"/>
  <c r="AC14" i="40"/>
  <c r="AC43" i="39"/>
  <c r="W43" i="39"/>
  <c r="AC9" i="35"/>
  <c r="W9" i="35"/>
  <c r="AA9" i="21"/>
  <c r="S9" i="21"/>
  <c r="AC13" i="21"/>
  <c r="W13" i="21"/>
  <c r="U27" i="37"/>
  <c r="AB27" i="37"/>
  <c r="AC38" i="40"/>
  <c r="W38" i="40"/>
  <c r="AZ557" i="3"/>
  <c r="J26" i="35"/>
  <c r="W45" i="21"/>
  <c r="AC45" i="21"/>
  <c r="AZ497" i="3"/>
  <c r="U45" i="39"/>
  <c r="AB45" i="39"/>
  <c r="AA46" i="34"/>
  <c r="S46" i="34"/>
  <c r="W30" i="34"/>
  <c r="AC30" i="34"/>
  <c r="W31" i="33"/>
  <c r="AC31" i="33"/>
  <c r="AA13" i="33"/>
  <c r="S13" i="33"/>
  <c r="AA28" i="34"/>
  <c r="S28" i="34"/>
  <c r="AB30" i="21"/>
  <c r="U30" i="21"/>
  <c r="AA14" i="37"/>
  <c r="S14" i="37"/>
  <c r="AZ83" i="3"/>
  <c r="AZ71" i="3"/>
  <c r="BL5" i="3"/>
  <c r="AZ108" i="3"/>
  <c r="AZ253" i="3"/>
  <c r="AZ285" i="3"/>
  <c r="F22" i="43"/>
  <c r="G22" i="43"/>
  <c r="AA11" i="43"/>
  <c r="D9" i="11"/>
  <c r="C9" i="11" s="1"/>
  <c r="AB11" i="43"/>
  <c r="AB13" i="43" s="1"/>
  <c r="G101" i="43"/>
  <c r="G103" i="43" s="1"/>
  <c r="S2" i="43"/>
  <c r="AF11" i="43"/>
  <c r="AF13" i="43" s="1"/>
  <c r="U39" i="33"/>
  <c r="AZ367" i="3"/>
  <c r="D64" i="71"/>
  <c r="O64" i="71"/>
  <c r="C63" i="71"/>
  <c r="T49" i="71"/>
  <c r="D49" i="71"/>
  <c r="AZ279" i="3"/>
  <c r="AZ227" i="3"/>
  <c r="AZ470" i="3"/>
  <c r="AZ181" i="3"/>
  <c r="AZ451" i="3"/>
  <c r="AC44" i="39"/>
  <c r="W44" i="39"/>
  <c r="S37" i="39"/>
  <c r="AA37" i="39"/>
  <c r="S28" i="21"/>
  <c r="AA28" i="21"/>
  <c r="S13" i="39"/>
  <c r="AA13" i="39"/>
  <c r="W40" i="40"/>
  <c r="AC40" i="40"/>
  <c r="F26" i="35"/>
  <c r="W25" i="37"/>
  <c r="AC25" i="37"/>
  <c r="AB46" i="34"/>
  <c r="U46" i="34"/>
  <c r="AB30" i="34"/>
  <c r="U30" i="34"/>
  <c r="AB31" i="33"/>
  <c r="U31" i="33"/>
  <c r="AC28" i="34"/>
  <c r="W28" i="34"/>
  <c r="S30" i="21"/>
  <c r="AA30" i="21"/>
  <c r="AB36" i="33"/>
  <c r="U36" i="33"/>
  <c r="J41" i="15"/>
  <c r="O7" i="1"/>
  <c r="P7" i="1" s="1"/>
  <c r="M11" i="80"/>
  <c r="F11" i="80"/>
  <c r="J107" i="43"/>
  <c r="C48" i="69"/>
  <c r="C48" i="11"/>
  <c r="C30" i="11"/>
  <c r="AC13" i="43"/>
  <c r="E103" i="43"/>
  <c r="J109" i="43"/>
  <c r="J103" i="43"/>
  <c r="AA13" i="43"/>
  <c r="D109" i="43"/>
  <c r="F102" i="43"/>
  <c r="E109" i="43"/>
  <c r="M107" i="43"/>
  <c r="E51" i="40"/>
  <c r="M103" i="43"/>
  <c r="D19" i="12"/>
  <c r="C19" i="12" s="1"/>
  <c r="D9" i="69"/>
  <c r="C9" i="69" s="1"/>
  <c r="AI13" i="43"/>
  <c r="E102" i="43"/>
  <c r="M104" i="43"/>
  <c r="K109" i="43"/>
  <c r="E105" i="43"/>
  <c r="M109" i="43"/>
  <c r="C104" i="43"/>
  <c r="G105" i="43"/>
  <c r="G102" i="43"/>
  <c r="G107" i="43"/>
  <c r="E107" i="43"/>
  <c r="E106" i="43"/>
  <c r="M105" i="43"/>
  <c r="M102" i="43"/>
  <c r="J104" i="43"/>
  <c r="J102" i="43"/>
  <c r="J105" i="43"/>
  <c r="D22" i="43"/>
  <c r="D102" i="43"/>
  <c r="I103" i="43"/>
  <c r="I109" i="43"/>
  <c r="L102" i="43"/>
  <c r="E15" i="6"/>
  <c r="E60" i="40" s="1"/>
  <c r="C103" i="43"/>
  <c r="C106" i="43"/>
  <c r="C102" i="43"/>
  <c r="C107" i="43"/>
  <c r="C105"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G118" i="43"/>
  <c r="H118" i="43" s="1"/>
  <c r="B118" i="43"/>
  <c r="C118" i="43" s="1"/>
  <c r="B117" i="43"/>
  <c r="C117" i="43" s="1"/>
  <c r="D115" i="43"/>
  <c r="E115" i="43" s="1"/>
  <c r="F115" i="43" s="1"/>
  <c r="G115" i="43" s="1"/>
  <c r="H115" i="43" s="1"/>
  <c r="B115" i="43"/>
  <c r="I115" i="43"/>
  <c r="J115" i="43" s="1"/>
  <c r="K115" i="43" s="1"/>
  <c r="L115" i="43" s="1"/>
  <c r="M115" i="43" s="1"/>
  <c r="D118" i="43"/>
  <c r="E118" i="43" s="1"/>
  <c r="F118" i="43" s="1"/>
  <c r="H106" i="43"/>
  <c r="H109" i="43"/>
  <c r="H107" i="43"/>
  <c r="H105" i="43"/>
  <c r="H103" i="43"/>
  <c r="H102" i="43"/>
  <c r="H104" i="43"/>
  <c r="G16" i="1"/>
  <c r="F10" i="40" s="1"/>
  <c r="S10" i="40" s="1"/>
  <c r="D17" i="53"/>
  <c r="B36" i="72" s="1"/>
  <c r="B34" i="72"/>
  <c r="B38" i="72"/>
  <c r="H7" i="34"/>
  <c r="J7" i="34"/>
  <c r="AC7" i="34" s="1"/>
  <c r="V49" i="34" s="1"/>
  <c r="I49" i="34" s="1"/>
  <c r="F7" i="36"/>
  <c r="H7" i="36"/>
  <c r="AB7" i="36" s="1"/>
  <c r="T36" i="36" s="1"/>
  <c r="G36" i="36" s="1"/>
  <c r="F7" i="34"/>
  <c r="AA7" i="34" s="1"/>
  <c r="R49" i="34" s="1"/>
  <c r="M59" i="15"/>
  <c r="L59" i="15"/>
  <c r="Q61" i="15" s="1"/>
  <c r="N59" i="15"/>
  <c r="L58" i="15"/>
  <c r="Q73" i="15" s="1"/>
  <c r="F31" i="15"/>
  <c r="M7" i="15"/>
  <c r="J6" i="15" s="1"/>
  <c r="J18" i="15" s="1"/>
  <c r="F50" i="15"/>
  <c r="F59" i="15" s="1"/>
  <c r="C6" i="15"/>
  <c r="C32" i="15" s="1"/>
  <c r="F68" i="15"/>
  <c r="Q71" i="15"/>
  <c r="C29" i="71"/>
  <c r="D28" i="71"/>
  <c r="S12" i="21"/>
  <c r="AA12" i="21"/>
  <c r="U26" i="33"/>
  <c r="AB26" i="33"/>
  <c r="AA26" i="37"/>
  <c r="S26" i="37"/>
  <c r="E10" i="6"/>
  <c r="AC24" i="35"/>
  <c r="W24" i="35"/>
  <c r="AA46" i="21"/>
  <c r="S46" i="21"/>
  <c r="C19" i="71"/>
  <c r="D20" i="71"/>
  <c r="E20" i="71"/>
  <c r="E19" i="71" s="1"/>
  <c r="E18" i="71" s="1"/>
  <c r="E17" i="71" s="1"/>
  <c r="V21" i="71"/>
  <c r="G5" i="3"/>
  <c r="B3" i="3" s="1"/>
  <c r="E259" i="3" s="1"/>
  <c r="E28" i="6"/>
  <c r="F30" i="6"/>
  <c r="F31" i="6" s="1"/>
  <c r="U46" i="21"/>
  <c r="AB46" i="21"/>
  <c r="C7" i="43"/>
  <c r="N64" i="71"/>
  <c r="B63" i="71"/>
  <c r="T57" i="71"/>
  <c r="D57" i="71"/>
  <c r="C23" i="71"/>
  <c r="D23" i="71" s="1"/>
  <c r="D24" i="71"/>
  <c r="T37" i="71"/>
  <c r="D37" i="71"/>
  <c r="AZ60" i="3"/>
  <c r="AA35" i="39"/>
  <c r="S35" i="39"/>
  <c r="W39" i="40"/>
  <c r="AC39" i="40"/>
  <c r="S26" i="33"/>
  <c r="AA26" i="33"/>
  <c r="AC44" i="21"/>
  <c r="W44" i="21"/>
  <c r="AB32" i="36"/>
  <c r="U32" i="36"/>
  <c r="N104" i="43"/>
  <c r="N103" i="43"/>
  <c r="N107" i="43"/>
  <c r="N102" i="43"/>
  <c r="N105" i="43"/>
  <c r="N106" i="43"/>
  <c r="N109" i="43"/>
  <c r="AC23" i="36"/>
  <c r="W23" i="36"/>
  <c r="AA31" i="21"/>
  <c r="S31" i="21"/>
  <c r="F27" i="69"/>
  <c r="F27" i="68"/>
  <c r="C29" i="68" s="1"/>
  <c r="D27" i="68" s="1"/>
  <c r="F27" i="11"/>
  <c r="F28" i="12"/>
  <c r="C29" i="12" s="1"/>
  <c r="D28" i="12" s="1"/>
  <c r="J6" i="67"/>
  <c r="J18" i="67" s="1"/>
  <c r="C79" i="71"/>
  <c r="D79" i="71" s="1"/>
  <c r="D80" i="71"/>
  <c r="E12" i="6"/>
  <c r="E13" i="6"/>
  <c r="E11" i="6"/>
  <c r="AA23" i="36"/>
  <c r="S23" i="36"/>
  <c r="BA5" i="3"/>
  <c r="E27" i="6" s="1"/>
  <c r="C61" i="71"/>
  <c r="D60" i="71"/>
  <c r="AZ442" i="3"/>
  <c r="AC26" i="37"/>
  <c r="W26" i="37"/>
  <c r="E14" i="6"/>
  <c r="D76" i="71"/>
  <c r="C75" i="71"/>
  <c r="D75" i="71" s="1"/>
  <c r="C83" i="71"/>
  <c r="D83" i="71" s="1"/>
  <c r="D84" i="71"/>
  <c r="S25" i="71"/>
  <c r="B24" i="71"/>
  <c r="B23" i="71" s="1"/>
  <c r="B20" i="71"/>
  <c r="B19" i="71" s="1"/>
  <c r="B18" i="71" s="1"/>
  <c r="B17" i="71" s="1"/>
  <c r="S21" i="71"/>
  <c r="AZ446" i="3"/>
  <c r="AZ408" i="3"/>
  <c r="AZ401" i="3"/>
  <c r="AC12" i="21"/>
  <c r="W12" i="21"/>
  <c r="AB39" i="40"/>
  <c r="U39" i="40"/>
  <c r="AC26" i="33"/>
  <c r="W26" i="33"/>
  <c r="W46" i="21"/>
  <c r="AC46" i="21"/>
  <c r="AA32" i="36"/>
  <c r="S32" i="36"/>
  <c r="K107" i="43"/>
  <c r="K106" i="43"/>
  <c r="K103" i="43"/>
  <c r="K102" i="43"/>
  <c r="K104" i="43"/>
  <c r="K105" i="43"/>
  <c r="AB24" i="35"/>
  <c r="U24" i="35"/>
  <c r="AB23" i="36"/>
  <c r="U23" i="36"/>
  <c r="AB31" i="21"/>
  <c r="U31" i="2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H7" i="33"/>
  <c r="J7" i="33"/>
  <c r="D65" i="40"/>
  <c r="E63" i="40"/>
  <c r="F48" i="35"/>
  <c r="S7" i="36"/>
  <c r="AA7" i="36"/>
  <c r="R36" i="36" s="1"/>
  <c r="AC7" i="37"/>
  <c r="V42" i="37" s="1"/>
  <c r="I42" i="37" s="1"/>
  <c r="W7" i="37"/>
  <c r="AB7" i="34"/>
  <c r="T49" i="34" s="1"/>
  <c r="G49" i="34" s="1"/>
  <c r="U7" i="34"/>
  <c r="F7" i="33"/>
  <c r="E58" i="21"/>
  <c r="AC7" i="36"/>
  <c r="V36" i="36" s="1"/>
  <c r="I36" i="36" s="1"/>
  <c r="W7" i="36"/>
  <c r="F7" i="37"/>
  <c r="W7" i="34"/>
  <c r="M17" i="67"/>
  <c r="P24" i="43"/>
  <c r="B66" i="40" s="1"/>
  <c r="P21" i="43"/>
  <c r="C49" i="67"/>
  <c r="P25" i="43"/>
  <c r="P23" i="43"/>
  <c r="B70" i="39" s="1"/>
  <c r="C32" i="67"/>
  <c r="Q60" i="67"/>
  <c r="M28" i="43"/>
  <c r="N28" i="43"/>
  <c r="O28" i="43"/>
  <c r="P28" i="43"/>
  <c r="M11" i="67"/>
  <c r="J10" i="67" s="1"/>
  <c r="F11" i="15"/>
  <c r="M11" i="15"/>
  <c r="F11" i="67"/>
  <c r="F1" i="15"/>
  <c r="Q52" i="15"/>
  <c r="F1" i="67"/>
  <c r="Q52" i="67"/>
  <c r="AE7" i="1"/>
  <c r="C16" i="67"/>
  <c r="F36" i="80"/>
  <c r="F43" i="80"/>
  <c r="M28" i="80"/>
  <c r="M8" i="80"/>
  <c r="L47" i="80"/>
  <c r="J15" i="80"/>
  <c r="F7" i="80"/>
  <c r="F42" i="80"/>
  <c r="M6" i="80"/>
  <c r="F40" i="80"/>
  <c r="F16" i="80"/>
  <c r="M29" i="80"/>
  <c r="M23" i="80"/>
  <c r="F41" i="67"/>
  <c r="M9" i="80"/>
  <c r="L48" i="80"/>
  <c r="F37" i="80"/>
  <c r="M24" i="80"/>
  <c r="M22" i="80"/>
  <c r="F9" i="80"/>
  <c r="F38" i="80"/>
  <c r="C16" i="15"/>
  <c r="F26" i="80"/>
  <c r="F8" i="80"/>
  <c r="M27" i="80"/>
  <c r="M26" i="80"/>
  <c r="F6" i="80"/>
  <c r="F13" i="80"/>
  <c r="C76" i="80"/>
  <c r="AE6" i="1"/>
  <c r="Q74" i="67" l="1"/>
  <c r="Q71" i="80"/>
  <c r="C6" i="80"/>
  <c r="C10" i="80" s="1"/>
  <c r="C5" i="80" s="1"/>
  <c r="F51" i="80"/>
  <c r="C27" i="80"/>
  <c r="F66" i="80"/>
  <c r="F65" i="80"/>
  <c r="J57" i="80"/>
  <c r="J55" i="80" s="1"/>
  <c r="J58" i="80" s="1"/>
  <c r="Q50" i="80" s="1"/>
  <c r="L56" i="80"/>
  <c r="L57" i="80"/>
  <c r="L60" i="80"/>
  <c r="J53" i="80"/>
  <c r="I54" i="80"/>
  <c r="F68" i="80"/>
  <c r="M7" i="80"/>
  <c r="J6" i="80" s="1"/>
  <c r="J18" i="80" s="1"/>
  <c r="F50" i="80"/>
  <c r="N59" i="80"/>
  <c r="L58" i="80"/>
  <c r="M59" i="80"/>
  <c r="L59" i="80"/>
  <c r="F71" i="80"/>
  <c r="F64" i="80"/>
  <c r="L109" i="43"/>
  <c r="I102" i="43"/>
  <c r="I104" i="43"/>
  <c r="D106" i="43"/>
  <c r="G106" i="43"/>
  <c r="F109" i="43"/>
  <c r="D107" i="43"/>
  <c r="L103" i="43"/>
  <c r="S26" i="35"/>
  <c r="AA26" i="35"/>
  <c r="W26" i="35"/>
  <c r="AC26" i="35"/>
  <c r="U7" i="36"/>
  <c r="I105" i="43"/>
  <c r="L104" i="43"/>
  <c r="I107" i="43"/>
  <c r="D103" i="43"/>
  <c r="F106" i="43"/>
  <c r="U7" i="37"/>
  <c r="L107" i="43"/>
  <c r="L106" i="43"/>
  <c r="D104" i="43"/>
  <c r="G109" i="43"/>
  <c r="G104" i="43"/>
  <c r="F104" i="43"/>
  <c r="F105" i="43"/>
  <c r="F103" i="43"/>
  <c r="O62" i="71"/>
  <c r="D63" i="71"/>
  <c r="O63" i="71"/>
  <c r="D41" i="71"/>
  <c r="T41" i="71"/>
  <c r="D53" i="71"/>
  <c r="T53" i="71"/>
  <c r="AG6" i="1"/>
  <c r="F69" i="67"/>
  <c r="C24" i="80"/>
  <c r="C53" i="80"/>
  <c r="E97" i="3"/>
  <c r="E587" i="3"/>
  <c r="E84" i="3"/>
  <c r="E351" i="3"/>
  <c r="E51" i="3"/>
  <c r="E218" i="3"/>
  <c r="E212" i="3"/>
  <c r="E91" i="3"/>
  <c r="E431" i="3"/>
  <c r="E215" i="3"/>
  <c r="E406" i="3"/>
  <c r="E59" i="3"/>
  <c r="E416" i="3"/>
  <c r="E380" i="3"/>
  <c r="E585" i="3"/>
  <c r="AA10" i="40"/>
  <c r="J10" i="39"/>
  <c r="W10" i="39" s="1"/>
  <c r="E64" i="39"/>
  <c r="C115" i="43"/>
  <c r="D113" i="43" s="1"/>
  <c r="H10" i="40"/>
  <c r="U10" i="40" s="1"/>
  <c r="F10" i="39"/>
  <c r="H10" i="39"/>
  <c r="U10" i="39" s="1"/>
  <c r="J10" i="40"/>
  <c r="W10" i="40" s="1"/>
  <c r="Q74" i="15"/>
  <c r="C49" i="15"/>
  <c r="Q60" i="15"/>
  <c r="J10" i="15"/>
  <c r="J5" i="15" s="1"/>
  <c r="J26" i="15" s="1"/>
  <c r="M17" i="15"/>
  <c r="J5" i="67"/>
  <c r="J26" i="67" s="1"/>
  <c r="J29" i="67" s="1"/>
  <c r="S7" i="34"/>
  <c r="AY6" i="3"/>
  <c r="E3" i="6"/>
  <c r="D61" i="71"/>
  <c r="T61" i="71"/>
  <c r="E58" i="40"/>
  <c r="E62" i="39"/>
  <c r="E86" i="3"/>
  <c r="F45" i="69"/>
  <c r="C29" i="69"/>
  <c r="D27" i="69" s="1"/>
  <c r="C47" i="69"/>
  <c r="D45" i="69" s="1"/>
  <c r="E424" i="3"/>
  <c r="E489" i="3"/>
  <c r="E384" i="3"/>
  <c r="E16" i="6"/>
  <c r="E407" i="3"/>
  <c r="E61" i="39"/>
  <c r="E57" i="40"/>
  <c r="E30" i="6"/>
  <c r="E31" i="6" s="1"/>
  <c r="K24" i="6"/>
  <c r="M24" i="6" s="1"/>
  <c r="I24" i="6" s="1"/>
  <c r="S24" i="6" s="1"/>
  <c r="K14" i="1"/>
  <c r="K21" i="6"/>
  <c r="M21" i="6" s="1"/>
  <c r="I21" i="6" s="1"/>
  <c r="S21" i="6" s="1"/>
  <c r="K25" i="6"/>
  <c r="M25" i="6" s="1"/>
  <c r="I25" i="6" s="1"/>
  <c r="S25" i="6" s="1"/>
  <c r="K23" i="6"/>
  <c r="M23" i="6" s="1"/>
  <c r="I23" i="6" s="1"/>
  <c r="S23" i="6" s="1"/>
  <c r="K22" i="6"/>
  <c r="M22" i="6" s="1"/>
  <c r="I22" i="6" s="1"/>
  <c r="S22" i="6" s="1"/>
  <c r="K20" i="6"/>
  <c r="K26" i="6"/>
  <c r="M26" i="6" s="1"/>
  <c r="I26" i="6" s="1"/>
  <c r="S26" i="6" s="1"/>
  <c r="K19" i="6"/>
  <c r="S6" i="1" s="1"/>
  <c r="E16" i="71"/>
  <c r="E15" i="71" s="1"/>
  <c r="E14" i="71" s="1"/>
  <c r="E13" i="71" s="1"/>
  <c r="V17" i="71"/>
  <c r="B16" i="71"/>
  <c r="B15" i="71" s="1"/>
  <c r="B14" i="71" s="1"/>
  <c r="B13" i="71" s="1"/>
  <c r="S17" i="71"/>
  <c r="E63" i="39"/>
  <c r="E59" i="40"/>
  <c r="C47" i="11"/>
  <c r="D45" i="11" s="1"/>
  <c r="C29" i="11"/>
  <c r="D27" i="11" s="1"/>
  <c r="N62" i="71"/>
  <c r="N6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527" i="3"/>
  <c r="E438" i="3"/>
  <c r="E457" i="3"/>
  <c r="E465" i="3"/>
  <c r="E288" i="3"/>
  <c r="E34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15" i="3"/>
  <c r="E357" i="3"/>
  <c r="E394" i="3"/>
  <c r="E318" i="3"/>
  <c r="E362" i="3"/>
  <c r="E14" i="3"/>
  <c r="E580" i="3"/>
  <c r="E31" i="3"/>
  <c r="E74" i="3"/>
  <c r="E93" i="3"/>
  <c r="E32" i="3"/>
  <c r="E75"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65" i="3"/>
  <c r="E365" i="3"/>
  <c r="E524" i="3"/>
  <c r="E101" i="3"/>
  <c r="E239" i="3"/>
  <c r="E509" i="3"/>
  <c r="E516" i="3"/>
  <c r="E569" i="3"/>
  <c r="E396" i="3"/>
  <c r="E229" i="3"/>
  <c r="E201" i="3"/>
  <c r="E397" i="3"/>
  <c r="E568" i="3"/>
  <c r="I6" i="3"/>
  <c r="E16" i="3"/>
  <c r="AK6" i="3"/>
  <c r="E549" i="3"/>
  <c r="E453" i="3"/>
  <c r="E368" i="3"/>
  <c r="E244" i="3"/>
  <c r="E196" i="3"/>
  <c r="E156" i="3"/>
  <c r="E148" i="3"/>
  <c r="E269" i="3"/>
  <c r="E89" i="3"/>
  <c r="E140" i="3"/>
  <c r="E223" i="3"/>
  <c r="E197" i="3"/>
  <c r="E173" i="3"/>
  <c r="E327" i="3"/>
  <c r="E576" i="3"/>
  <c r="Z6" i="3"/>
  <c r="U6" i="3"/>
  <c r="E515" i="3"/>
  <c r="E411" i="3"/>
  <c r="E478" i="3"/>
  <c r="E548" i="3"/>
  <c r="E443" i="3"/>
  <c r="E345" i="3"/>
  <c r="E69" i="3"/>
  <c r="E114" i="3"/>
  <c r="E278" i="3"/>
  <c r="E415" i="3"/>
  <c r="E563" i="3"/>
  <c r="E395" i="3"/>
  <c r="E172" i="3"/>
  <c r="E260" i="3"/>
  <c r="E445" i="3"/>
  <c r="E550" i="3"/>
  <c r="E535" i="3"/>
  <c r="E579" i="3"/>
  <c r="E247" i="3"/>
  <c r="E151" i="3"/>
  <c r="E314" i="3"/>
  <c r="E511" i="3"/>
  <c r="E536" i="3"/>
  <c r="E306" i="3"/>
  <c r="E296" i="3"/>
  <c r="E262" i="3"/>
  <c r="E136" i="3"/>
  <c r="E236" i="3"/>
  <c r="E122" i="3"/>
  <c r="E85" i="3"/>
  <c r="E238" i="3"/>
  <c r="E116" i="3"/>
  <c r="E105" i="3"/>
  <c r="E379" i="3"/>
  <c r="AG6" i="3"/>
  <c r="AO6" i="3"/>
  <c r="E448" i="3"/>
  <c r="E485" i="3"/>
  <c r="P6" i="3"/>
  <c r="E414" i="3"/>
  <c r="E432" i="3"/>
  <c r="E477" i="3"/>
  <c r="E367" i="3"/>
  <c r="E237" i="3"/>
  <c r="E304" i="3"/>
  <c r="E565" i="3"/>
  <c r="E213" i="3"/>
  <c r="E17" i="3"/>
  <c r="E302" i="3"/>
  <c r="E329" i="3"/>
  <c r="E545" i="3"/>
  <c r="E510" i="3"/>
  <c r="E352" i="3"/>
  <c r="E205" i="3"/>
  <c r="E128" i="3"/>
  <c r="E311" i="3"/>
  <c r="E514" i="3"/>
  <c r="E570" i="3"/>
  <c r="M6" i="3"/>
  <c r="AB6" i="3"/>
  <c r="E387" i="3"/>
  <c r="E335" i="3"/>
  <c r="E189" i="3"/>
  <c r="E134" i="3"/>
  <c r="E180" i="3"/>
  <c r="E45" i="3"/>
  <c r="E224" i="3"/>
  <c r="E193" i="3"/>
  <c r="E286" i="3"/>
  <c r="E575" i="3"/>
  <c r="E499" i="3"/>
  <c r="R6" i="3"/>
  <c r="E502" i="3"/>
  <c r="E442" i="3"/>
  <c r="E466" i="3"/>
  <c r="E541" i="3"/>
  <c r="E430" i="3"/>
  <c r="E449" i="3"/>
  <c r="E255" i="3"/>
  <c r="I3" i="6"/>
  <c r="E505" i="3"/>
  <c r="E554" i="3"/>
  <c r="AS6" i="3"/>
  <c r="E494" i="3"/>
  <c r="E435" i="3"/>
  <c r="E476" i="3"/>
  <c r="E470" i="3"/>
  <c r="E417" i="3"/>
  <c r="E447" i="3"/>
  <c r="E26" i="3"/>
  <c r="E56" i="3"/>
  <c r="E41" i="3"/>
  <c r="E162" i="3"/>
  <c r="E132" i="3"/>
  <c r="E258" i="3"/>
  <c r="E292" i="3"/>
  <c r="E349" i="3"/>
  <c r="E44" i="3"/>
  <c r="E446" i="3"/>
  <c r="E78" i="3"/>
  <c r="E220" i="3"/>
  <c r="E300" i="3"/>
  <c r="E354" i="3"/>
  <c r="E48" i="3"/>
  <c r="E284" i="3"/>
  <c r="E19" i="3"/>
  <c r="E287" i="3"/>
  <c r="E83" i="3"/>
  <c r="E175" i="3"/>
  <c r="E530" i="3"/>
  <c r="E343" i="3"/>
  <c r="E305" i="3"/>
  <c r="E508" i="3"/>
  <c r="E388" i="3"/>
  <c r="E555" i="3"/>
  <c r="E410" i="3"/>
  <c r="E337" i="3"/>
  <c r="E143" i="3"/>
  <c r="E353" i="3"/>
  <c r="E495" i="3"/>
  <c r="AN6" i="3"/>
  <c r="E586" i="3"/>
  <c r="E350" i="3"/>
  <c r="E303" i="3"/>
  <c r="E301" i="3"/>
  <c r="E159" i="3"/>
  <c r="E99" i="3"/>
  <c r="E228" i="3"/>
  <c r="E157" i="3"/>
  <c r="E149" i="3"/>
  <c r="E167" i="3"/>
  <c r="E141" i="3"/>
  <c r="E369" i="3"/>
  <c r="E525" i="3"/>
  <c r="E534" i="3"/>
  <c r="T6" i="3"/>
  <c r="E405" i="3"/>
  <c r="E469" i="3"/>
  <c r="E512" i="3"/>
  <c r="E408" i="3"/>
  <c r="E451" i="3"/>
  <c r="E360" i="3"/>
  <c r="E558" i="3"/>
  <c r="AH6" i="3"/>
  <c r="E500" i="3"/>
  <c r="E581" i="3"/>
  <c r="E498" i="3"/>
  <c r="E413" i="3"/>
  <c r="E483" i="3"/>
  <c r="E520" i="3"/>
  <c r="E404" i="3"/>
  <c r="E463" i="3"/>
  <c r="E39" i="3"/>
  <c r="E88" i="3"/>
  <c r="E25" i="3"/>
  <c r="E57" i="3"/>
  <c r="E121" i="3"/>
  <c r="E178" i="3"/>
  <c r="E187" i="3"/>
  <c r="E166" i="3"/>
  <c r="E202" i="3"/>
  <c r="E240" i="3"/>
  <c r="E295" i="3"/>
  <c r="E226"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81" i="3"/>
  <c r="E158" i="3"/>
  <c r="E222" i="3"/>
  <c r="E309" i="3"/>
  <c r="E22" i="3"/>
  <c r="E261" i="3"/>
  <c r="E528" i="3"/>
  <c r="E183" i="3"/>
  <c r="E361" i="3"/>
  <c r="E503" i="3"/>
  <c r="E53" i="3"/>
  <c r="E319" i="3"/>
  <c r="E501" i="3"/>
  <c r="E153" i="3"/>
  <c r="E426" i="3"/>
  <c r="E328" i="3"/>
  <c r="O6" i="3"/>
  <c r="E574" i="3"/>
  <c r="E359" i="3"/>
  <c r="E285" i="3"/>
  <c r="E385" i="3"/>
  <c r="E518" i="3"/>
  <c r="AI6" i="3"/>
  <c r="E578" i="3"/>
  <c r="E423" i="3"/>
  <c r="E382" i="3"/>
  <c r="E263" i="3"/>
  <c r="E245" i="3"/>
  <c r="E191" i="3"/>
  <c r="E188" i="3"/>
  <c r="E181" i="3"/>
  <c r="E253" i="3"/>
  <c r="E199" i="3"/>
  <c r="E393" i="3"/>
  <c r="E493" i="3"/>
  <c r="E564" i="3"/>
  <c r="E543" i="3"/>
  <c r="E427" i="3"/>
  <c r="E486" i="3"/>
  <c r="E507" i="3"/>
  <c r="E422" i="3"/>
  <c r="E440" i="3"/>
  <c r="E490" i="3"/>
  <c r="E376" i="3"/>
  <c r="E566" i="3"/>
  <c r="E557" i="3"/>
  <c r="J6" i="3"/>
  <c r="E582" i="3"/>
  <c r="E531" i="3"/>
  <c r="E419" i="3"/>
  <c r="E460"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34" i="3"/>
  <c r="E87" i="3"/>
  <c r="E184" i="3"/>
  <c r="E251" i="3"/>
  <c r="E341" i="3"/>
  <c r="E68" i="3"/>
  <c r="E80" i="3"/>
  <c r="E154" i="3"/>
  <c r="E264" i="3"/>
  <c r="E308" i="3"/>
  <c r="E373" i="3"/>
  <c r="E21" i="3"/>
  <c r="E497" i="3"/>
  <c r="E27" i="3"/>
  <c r="E95" i="3"/>
  <c r="E198" i="3"/>
  <c r="E186" i="3"/>
  <c r="E225" i="3"/>
  <c r="E210" i="3"/>
  <c r="E243" i="3"/>
  <c r="E331" i="3"/>
  <c r="E391" i="3"/>
  <c r="AL6" i="3"/>
  <c r="E544" i="3"/>
  <c r="E94" i="3"/>
  <c r="E482" i="3"/>
  <c r="E64" i="3"/>
  <c r="E138" i="3"/>
  <c r="E142" i="3"/>
  <c r="E209" i="3"/>
  <c r="E383" i="3"/>
  <c r="E23" i="3"/>
  <c r="E144" i="3"/>
  <c r="E232" i="3"/>
  <c r="E381" i="3"/>
  <c r="E102" i="3"/>
  <c r="E118" i="3"/>
  <c r="E323" i="3"/>
  <c r="E513" i="3"/>
  <c r="E461" i="3"/>
  <c r="V6" i="3"/>
  <c r="E230" i="3"/>
  <c r="E277" i="3"/>
  <c r="AD6" i="3"/>
  <c r="E464" i="3"/>
  <c r="E459" i="3"/>
  <c r="E547" i="3"/>
  <c r="E452" i="3"/>
  <c r="E479" i="3"/>
  <c r="E92" i="3"/>
  <c r="E139" i="3"/>
  <c r="E241" i="3"/>
  <c r="E317" i="3"/>
  <c r="E42" i="3"/>
  <c r="E462" i="3"/>
  <c r="E103" i="3"/>
  <c r="E235" i="3"/>
  <c r="E66" i="3"/>
  <c r="E233" i="3"/>
  <c r="E113" i="3"/>
  <c r="E82" i="3"/>
  <c r="E227" i="3"/>
  <c r="E358" i="3"/>
  <c r="E130" i="3"/>
  <c r="E177" i="3"/>
  <c r="E542" i="3"/>
  <c r="E487" i="3"/>
  <c r="E374" i="3"/>
  <c r="E13" i="3"/>
  <c r="E491" i="3"/>
  <c r="E71" i="3"/>
  <c r="E115" i="3"/>
  <c r="E192" i="3"/>
  <c r="E291" i="3"/>
  <c r="E356" i="3"/>
  <c r="E76" i="3"/>
  <c r="E425" i="3"/>
  <c r="E190" i="3"/>
  <c r="E307" i="3"/>
  <c r="E370" i="3"/>
  <c r="E179" i="3"/>
  <c r="E539" i="3"/>
  <c r="E165" i="3"/>
  <c r="E559" i="3"/>
  <c r="E320" i="3"/>
  <c r="E254" i="3"/>
  <c r="E133" i="3"/>
  <c r="E552" i="3"/>
  <c r="E398" i="3"/>
  <c r="E556" i="3"/>
  <c r="E517" i="3"/>
  <c r="E546" i="3"/>
  <c r="E104" i="3"/>
  <c r="E152" i="3"/>
  <c r="E272" i="3"/>
  <c r="E332" i="3"/>
  <c r="E389" i="3"/>
  <c r="E29" i="3"/>
  <c r="E18" i="3"/>
  <c r="E163" i="3"/>
  <c r="E310" i="3"/>
  <c r="E49" i="3"/>
  <c r="Y6" i="3"/>
  <c r="E283" i="3"/>
  <c r="E567" i="3"/>
  <c r="E551" i="3"/>
  <c r="E294" i="3"/>
  <c r="E221" i="3"/>
  <c r="E120" i="3"/>
  <c r="E312" i="3"/>
  <c r="E421" i="3"/>
  <c r="AP6" i="3"/>
  <c r="E420" i="3"/>
  <c r="E37" i="3"/>
  <c r="E126" i="3"/>
  <c r="E281" i="3"/>
  <c r="E363" i="3"/>
  <c r="AM6" i="3"/>
  <c r="E488" i="3"/>
  <c r="E98" i="3"/>
  <c r="E267" i="3"/>
  <c r="E522" i="3"/>
  <c r="E127" i="3"/>
  <c r="E63" i="3"/>
  <c r="E326" i="3"/>
  <c r="E481" i="3"/>
  <c r="T29" i="71"/>
  <c r="D29" i="71"/>
  <c r="E434" i="3"/>
  <c r="E77" i="3"/>
  <c r="E456" i="3"/>
  <c r="E60" i="39"/>
  <c r="E56" i="40"/>
  <c r="E444" i="3"/>
  <c r="C47" i="68"/>
  <c r="D45" i="68" s="1"/>
  <c r="F45" i="68"/>
  <c r="E403" i="3"/>
  <c r="E441" i="3"/>
  <c r="E402" i="3"/>
  <c r="E67" i="3"/>
  <c r="D19" i="71"/>
  <c r="C18" i="71"/>
  <c r="E400" i="3"/>
  <c r="E40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F25" i="12"/>
  <c r="F22" i="69"/>
  <c r="F41" i="69" s="1"/>
  <c r="F24" i="67"/>
  <c r="C24" i="67" s="1"/>
  <c r="F22" i="11"/>
  <c r="F22" i="68"/>
  <c r="F24" i="15"/>
  <c r="C24" i="15" s="1"/>
  <c r="C16" i="80"/>
  <c r="M27" i="15"/>
  <c r="F41" i="80"/>
  <c r="C17" i="15"/>
  <c r="F41" i="15"/>
  <c r="J10" i="80" l="1"/>
  <c r="J5" i="80" s="1"/>
  <c r="J24" i="80" s="1"/>
  <c r="Q74" i="80"/>
  <c r="Q61" i="80"/>
  <c r="Q52" i="80"/>
  <c r="F1" i="80"/>
  <c r="C49" i="80"/>
  <c r="C48" i="80" s="1"/>
  <c r="Q60" i="80"/>
  <c r="Q73" i="80"/>
  <c r="Q66" i="80"/>
  <c r="Q57" i="80"/>
  <c r="C32" i="80"/>
  <c r="C33" i="80"/>
  <c r="J39" i="15"/>
  <c r="J40" i="15" s="1"/>
  <c r="J37" i="15" s="1"/>
  <c r="AC10" i="39"/>
  <c r="AB10" i="39"/>
  <c r="F69" i="80"/>
  <c r="C38" i="80"/>
  <c r="E6" i="70"/>
  <c r="F69" i="15"/>
  <c r="M20" i="6"/>
  <c r="I20" i="6" s="1"/>
  <c r="S20" i="6" s="1"/>
  <c r="S7" i="1"/>
  <c r="AQ6" i="1"/>
  <c r="T6" i="1"/>
  <c r="AR6" i="1"/>
  <c r="AC6" i="3"/>
  <c r="H6" i="3"/>
  <c r="AB10" i="40"/>
  <c r="J24" i="15"/>
  <c r="AC10" i="40"/>
  <c r="AA10" i="39"/>
  <c r="S10" i="39"/>
  <c r="C48" i="15"/>
  <c r="C66" i="15" s="1"/>
  <c r="J24" i="67"/>
  <c r="B12" i="71"/>
  <c r="B11" i="71" s="1"/>
  <c r="B10" i="71" s="1"/>
  <c r="B9" i="71" s="1"/>
  <c r="S13" i="71"/>
  <c r="E12" i="71"/>
  <c r="E11" i="71" s="1"/>
  <c r="E10" i="71" s="1"/>
  <c r="E9" i="71" s="1"/>
  <c r="V13" i="71"/>
  <c r="M14" i="1"/>
  <c r="K16" i="1"/>
  <c r="C34" i="69"/>
  <c r="D3" i="21"/>
  <c r="D37" i="11"/>
  <c r="C37" i="11" s="1"/>
  <c r="M18" i="9"/>
  <c r="B118" i="9" s="1"/>
  <c r="B14" i="74" s="1"/>
  <c r="B1" i="74" s="1"/>
  <c r="D19" i="11"/>
  <c r="C19" i="11" s="1"/>
  <c r="L18" i="9"/>
  <c r="D3" i="33"/>
  <c r="D3" i="37"/>
  <c r="E6" i="6"/>
  <c r="D14" i="12"/>
  <c r="D3" i="34"/>
  <c r="C17" i="4"/>
  <c r="B4" i="52" s="1"/>
  <c r="B43" i="72" s="1"/>
  <c r="C17" i="71"/>
  <c r="D18" i="71"/>
  <c r="K27" i="6"/>
  <c r="M19"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160" i="3"/>
  <c r="AY387"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51" i="3"/>
  <c r="AY18" i="3"/>
  <c r="AY124" i="3"/>
  <c r="AY90" i="3"/>
  <c r="AY183" i="3"/>
  <c r="AY281" i="3"/>
  <c r="AY75" i="3"/>
  <c r="AY284" i="3"/>
  <c r="AY236" i="3"/>
  <c r="AY319" i="3"/>
  <c r="AY473" i="3"/>
  <c r="AY444" i="3"/>
  <c r="AY497" i="3"/>
  <c r="AY26" i="3"/>
  <c r="AY269" i="3"/>
  <c r="AY212" i="3"/>
  <c r="AY372" i="3"/>
  <c r="AY311" i="3"/>
  <c r="AY478" i="3"/>
  <c r="AY420" i="3"/>
  <c r="AY171" i="3"/>
  <c r="AY261" i="3"/>
  <c r="AY366" i="3"/>
  <c r="AY526" i="3"/>
  <c r="AY343" i="3"/>
  <c r="AY535" i="3"/>
  <c r="AY533" i="3"/>
  <c r="AY100" i="3"/>
  <c r="AY68" i="3"/>
  <c r="AY190" i="3"/>
  <c r="AY173" i="3"/>
  <c r="AY117" i="3"/>
  <c r="AY247" i="3"/>
  <c r="AY227" i="3"/>
  <c r="AY365" i="3"/>
  <c r="AY109" i="3"/>
  <c r="AY29" i="3"/>
  <c r="AY130" i="3"/>
  <c r="AY242" i="3"/>
  <c r="AY341" i="3"/>
  <c r="AY308" i="3"/>
  <c r="AY462" i="3"/>
  <c r="AY419" i="3"/>
  <c r="AY516" i="3"/>
  <c r="AY495" i="3"/>
  <c r="AY532" i="3"/>
  <c r="AY112" i="3"/>
  <c r="AY194" i="3"/>
  <c r="AY113" i="3"/>
  <c r="AY218" i="3"/>
  <c r="AY329" i="3"/>
  <c r="AY479" i="3"/>
  <c r="AY450" i="3"/>
  <c r="AY407" i="3"/>
  <c r="AY522" i="3"/>
  <c r="AY530" i="3"/>
  <c r="AY99" i="3"/>
  <c r="AY19" i="3"/>
  <c r="AY120" i="3"/>
  <c r="AY232" i="3"/>
  <c r="AY315" i="3"/>
  <c r="AY440" i="3"/>
  <c r="AY560" i="3"/>
  <c r="AY71" i="3"/>
  <c r="AY195" i="3"/>
  <c r="AY277" i="3"/>
  <c r="AY386" i="3"/>
  <c r="AY322" i="3"/>
  <c r="AY429" i="3"/>
  <c r="BT6" i="3"/>
  <c r="AY98" i="3"/>
  <c r="AY289" i="3"/>
  <c r="AY168" i="3"/>
  <c r="AY334" i="3"/>
  <c r="AY116" i="3"/>
  <c r="AY310"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75" i="3"/>
  <c r="AY570" i="3"/>
  <c r="AY79" i="3"/>
  <c r="AY203" i="3"/>
  <c r="AY285" i="3"/>
  <c r="AY394" i="3"/>
  <c r="AY330" i="3"/>
  <c r="AY437" i="3"/>
  <c r="AY568" i="3"/>
  <c r="AY39" i="3"/>
  <c r="AY148" i="3"/>
  <c r="AY257" i="3"/>
  <c r="AY375" i="3"/>
  <c r="AY490" i="3"/>
  <c r="AY521" i="3"/>
  <c r="AY567" i="3"/>
  <c r="AY50" i="3"/>
  <c r="AY42" i="3"/>
  <c r="AY237" i="3"/>
  <c r="AY455" i="3"/>
  <c r="AY260" i="3"/>
  <c r="AY447"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65" i="3"/>
  <c r="BP6" i="3"/>
  <c r="AY47" i="3"/>
  <c r="AY156" i="3"/>
  <c r="AY265" i="3"/>
  <c r="AY383" i="3"/>
  <c r="AY469" i="3"/>
  <c r="AY500" i="3"/>
  <c r="AY576" i="3"/>
  <c r="AY38" i="3"/>
  <c r="AY143" i="3"/>
  <c r="AY272" i="3"/>
  <c r="AY354" i="3"/>
  <c r="AY443" i="3"/>
  <c r="AY15" i="3"/>
  <c r="AY207" i="3"/>
  <c r="AY163" i="3"/>
  <c r="AY209" i="3"/>
  <c r="AY441" i="3"/>
  <c r="AY39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51" i="3"/>
  <c r="AY563" i="3"/>
  <c r="AY46" i="3"/>
  <c r="AY151" i="3"/>
  <c r="AY233" i="3"/>
  <c r="AY362" i="3"/>
  <c r="AY451" i="3"/>
  <c r="AY13" i="3"/>
  <c r="AY91" i="3"/>
  <c r="AY200" i="3"/>
  <c r="AY136" i="3"/>
  <c r="AY224" i="3"/>
  <c r="AY307" i="3"/>
  <c r="AY432" i="3"/>
  <c r="AY511" i="3"/>
  <c r="E65" i="3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66" i="67"/>
  <c r="C60" i="67"/>
  <c r="C17" i="67"/>
  <c r="C14" i="15"/>
  <c r="E6" i="76"/>
  <c r="C17" i="80"/>
  <c r="B6" i="76"/>
  <c r="C14" i="67"/>
  <c r="J26" i="80" l="1"/>
  <c r="J29" i="80" s="1"/>
  <c r="C66" i="80"/>
  <c r="C60" i="80"/>
  <c r="E6" i="3"/>
  <c r="J29" i="15"/>
  <c r="C15" i="67"/>
  <c r="C18" i="67"/>
  <c r="S16" i="1"/>
  <c r="E7" i="70"/>
  <c r="E2" i="70" s="1"/>
  <c r="C18" i="15"/>
  <c r="C15" i="15"/>
  <c r="T7" i="1"/>
  <c r="AQ7" i="1"/>
  <c r="AR7" i="1"/>
  <c r="B2" i="34"/>
  <c r="B3" i="34" s="1"/>
  <c r="C60" i="15"/>
  <c r="I19" i="6"/>
  <c r="M27" i="6"/>
  <c r="D20" i="12"/>
  <c r="C20" i="12" s="1"/>
  <c r="D10" i="69"/>
  <c r="D10" i="68"/>
  <c r="D10" i="11"/>
  <c r="C10" i="11" s="1"/>
  <c r="C20" i="11"/>
  <c r="C25" i="11" s="1"/>
  <c r="C8" i="74"/>
  <c r="C7" i="74"/>
  <c r="D25" i="6"/>
  <c r="D22" i="6"/>
  <c r="D24" i="6"/>
  <c r="D9" i="6"/>
  <c r="L19" i="9"/>
  <c r="H25" i="6"/>
  <c r="H21" i="6"/>
  <c r="D26" i="6"/>
  <c r="D21" i="6"/>
  <c r="D12" i="6"/>
  <c r="D28" i="6"/>
  <c r="H22" i="6"/>
  <c r="C18" i="4"/>
  <c r="D14" i="6"/>
  <c r="D5" i="6"/>
  <c r="D10" i="6"/>
  <c r="E61" i="40"/>
  <c r="H26" i="6"/>
  <c r="H20" i="6"/>
  <c r="D15" i="6"/>
  <c r="D29" i="6"/>
  <c r="D8" i="6"/>
  <c r="D6" i="6"/>
  <c r="M19" i="9"/>
  <c r="C118" i="9" s="1"/>
  <c r="C14" i="74" s="1"/>
  <c r="B2" i="74" s="1"/>
  <c r="D23" i="6"/>
  <c r="D11" i="6"/>
  <c r="H23" i="6"/>
  <c r="D19" i="6"/>
  <c r="D20" i="6"/>
  <c r="D13" i="6"/>
  <c r="H24" i="6"/>
  <c r="H19" i="6"/>
  <c r="C35" i="69"/>
  <c r="C38" i="69"/>
  <c r="C24" i="11"/>
  <c r="O14" i="1"/>
  <c r="O16" i="1" s="1"/>
  <c r="M16" i="1"/>
  <c r="B8" i="71"/>
  <c r="B7" i="71" s="1"/>
  <c r="B6" i="71" s="1"/>
  <c r="B5" i="71" s="1"/>
  <c r="S9" i="71"/>
  <c r="E8" i="71"/>
  <c r="E7" i="71" s="1"/>
  <c r="E6" i="71" s="1"/>
  <c r="E5" i="71" s="1"/>
  <c r="V9" i="71"/>
  <c r="C16" i="71"/>
  <c r="D17" i="71"/>
  <c r="U17" i="71" s="1"/>
  <c r="T17" i="71"/>
  <c r="D17" i="12"/>
  <c r="C17" i="12" s="1"/>
  <c r="C14" i="12"/>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C14" i="80"/>
  <c r="C19" i="67" l="1"/>
  <c r="C20" i="67" s="1"/>
  <c r="C15" i="80"/>
  <c r="C19" i="80" s="1"/>
  <c r="C18" i="80"/>
  <c r="T16" i="1"/>
  <c r="B2" i="33"/>
  <c r="B3" i="33" s="1"/>
  <c r="R24" i="31"/>
  <c r="C19" i="15"/>
  <c r="C20" i="15" s="1"/>
  <c r="C22" i="11"/>
  <c r="H27" i="6"/>
  <c r="R20" i="6"/>
  <c r="R7" i="1" s="1"/>
  <c r="R23" i="6"/>
  <c r="R21" i="6"/>
  <c r="D30" i="6"/>
  <c r="D16" i="6"/>
  <c r="R22" i="6"/>
  <c r="C10" i="69"/>
  <c r="C8" i="69" s="1"/>
  <c r="C5" i="69" s="1"/>
  <c r="D19" i="69"/>
  <c r="A7" i="51"/>
  <c r="B7" i="72" s="1"/>
  <c r="C4" i="52"/>
  <c r="B45" i="72" s="1"/>
  <c r="A10" i="51"/>
  <c r="B9" i="72" s="1"/>
  <c r="C15" i="71"/>
  <c r="D16" i="71"/>
  <c r="R19" i="6"/>
  <c r="D27" i="6"/>
  <c r="D7" i="74"/>
  <c r="D8" i="74"/>
  <c r="R26" i="6"/>
  <c r="R25" i="6"/>
  <c r="C28" i="11"/>
  <c r="C27" i="11" s="1"/>
  <c r="N16" i="1"/>
  <c r="L16" i="1"/>
  <c r="C34" i="11"/>
  <c r="C34" i="68"/>
  <c r="P14" i="1"/>
  <c r="P16" i="1" s="1"/>
  <c r="C11" i="12" s="1"/>
  <c r="R24" i="6"/>
  <c r="C10" i="68"/>
  <c r="B29" i="1" s="1"/>
  <c r="C8" i="68" s="1"/>
  <c r="C5" i="68" s="1"/>
  <c r="C23" i="68" s="1"/>
  <c r="D19" i="68"/>
  <c r="N27" i="68" s="1"/>
  <c r="I27" i="6"/>
  <c r="S19" i="6"/>
  <c r="S27" i="6" s="1"/>
  <c r="I69" i="39"/>
  <c r="J67" i="39"/>
  <c r="B3" i="76"/>
  <c r="I63" i="40"/>
  <c r="H65" i="40"/>
  <c r="I58" i="21"/>
  <c r="J58" i="21" s="1"/>
  <c r="K58" i="21" s="1"/>
  <c r="L58" i="21" s="1"/>
  <c r="M58" i="21" s="1"/>
  <c r="N58" i="21" s="1"/>
  <c r="O58" i="21" s="1"/>
  <c r="H7" i="21" s="1"/>
  <c r="J7" i="21"/>
  <c r="J48" i="35"/>
  <c r="M21" i="67"/>
  <c r="F35" i="67"/>
  <c r="C26" i="67" l="1"/>
  <c r="C23" i="67"/>
  <c r="J20" i="67"/>
  <c r="F63" i="67"/>
  <c r="C62" i="67" s="1"/>
  <c r="C34" i="67"/>
  <c r="C20" i="80"/>
  <c r="C26" i="80" s="1"/>
  <c r="S24" i="31"/>
  <c r="R30" i="31"/>
  <c r="S30" i="31" s="1"/>
  <c r="R28" i="31"/>
  <c r="S28" i="31" s="1"/>
  <c r="R25" i="31"/>
  <c r="S25" i="31" s="1"/>
  <c r="R27" i="31"/>
  <c r="S27" i="31" s="1"/>
  <c r="R26" i="31"/>
  <c r="S26" i="31" s="1"/>
  <c r="R29" i="31"/>
  <c r="S29" i="31" s="1"/>
  <c r="C26" i="15"/>
  <c r="C23" i="15"/>
  <c r="C31" i="11"/>
  <c r="D31" i="6"/>
  <c r="C18" i="12"/>
  <c r="R27" i="6"/>
  <c r="R6" i="1"/>
  <c r="F7" i="21"/>
  <c r="AA7" i="21" s="1"/>
  <c r="R48" i="21" s="1"/>
  <c r="C15" i="12"/>
  <c r="C12" i="12"/>
  <c r="F50" i="11"/>
  <c r="F50" i="68"/>
  <c r="F50" i="69"/>
  <c r="C14" i="71"/>
  <c r="D15" i="71"/>
  <c r="C19" i="69"/>
  <c r="C24" i="69" s="1"/>
  <c r="D37" i="69"/>
  <c r="C37" i="69" s="1"/>
  <c r="C33" i="69" s="1"/>
  <c r="C19" i="68"/>
  <c r="D37" i="68"/>
  <c r="C37" i="68" s="1"/>
  <c r="C38" i="68"/>
  <c r="C35" i="68"/>
  <c r="I6" i="6"/>
  <c r="I5" i="6"/>
  <c r="C23" i="69"/>
  <c r="C38" i="11"/>
  <c r="C35" i="11"/>
  <c r="J69" i="39"/>
  <c r="K67" i="39"/>
  <c r="U7" i="21"/>
  <c r="AB7" i="21"/>
  <c r="T48" i="21" s="1"/>
  <c r="G48" i="21" s="1"/>
  <c r="S7" i="21"/>
  <c r="J63" i="40"/>
  <c r="I65" i="40"/>
  <c r="K48" i="35"/>
  <c r="L48" i="35" s="1"/>
  <c r="M48" i="35" s="1"/>
  <c r="N48" i="35" s="1"/>
  <c r="O48" i="35" s="1"/>
  <c r="H7" i="35" s="1"/>
  <c r="AC7" i="21"/>
  <c r="V48" i="21" s="1"/>
  <c r="I48" i="21" s="1"/>
  <c r="W7" i="21"/>
  <c r="M21" i="15"/>
  <c r="F35" i="80"/>
  <c r="M21" i="80"/>
  <c r="F35" i="15"/>
  <c r="C29" i="67" l="1"/>
  <c r="J14" i="67" s="1"/>
  <c r="C23" i="80"/>
  <c r="C29" i="80" s="1"/>
  <c r="J20" i="80"/>
  <c r="C34" i="80"/>
  <c r="C31" i="80" s="1"/>
  <c r="F63" i="80"/>
  <c r="C62" i="80" s="1"/>
  <c r="S22" i="31"/>
  <c r="C29" i="15"/>
  <c r="J20" i="15"/>
  <c r="C34" i="15"/>
  <c r="C31" i="15" s="1"/>
  <c r="F63" i="15"/>
  <c r="C62" i="15" s="1"/>
  <c r="R16" i="1"/>
  <c r="C20" i="69"/>
  <c r="C28" i="69" s="1"/>
  <c r="C27" i="69" s="1"/>
  <c r="C16" i="12"/>
  <c r="C21" i="12" s="1"/>
  <c r="C22" i="12" s="1"/>
  <c r="C30" i="12" s="1"/>
  <c r="C28" i="12" s="1"/>
  <c r="J7" i="35"/>
  <c r="W7" i="35" s="1"/>
  <c r="C39" i="69"/>
  <c r="C43" i="69" s="1"/>
  <c r="C42" i="69"/>
  <c r="C20" i="68"/>
  <c r="C25" i="68" s="1"/>
  <c r="C24" i="68"/>
  <c r="C13" i="71"/>
  <c r="D14" i="71"/>
  <c r="C33" i="11"/>
  <c r="C33" i="68"/>
  <c r="L67" i="39"/>
  <c r="K69" i="39"/>
  <c r="J65" i="40"/>
  <c r="K63" i="40"/>
  <c r="I52" i="21"/>
  <c r="J52" i="21" s="1"/>
  <c r="U7" i="35"/>
  <c r="AB7" i="35"/>
  <c r="T38" i="35" s="1"/>
  <c r="G38" i="35" s="1"/>
  <c r="R49" i="21"/>
  <c r="E48" i="21"/>
  <c r="G52" i="21"/>
  <c r="H52" i="21" s="1"/>
  <c r="G53" i="21"/>
  <c r="H53" i="21" s="1"/>
  <c r="F7" i="35"/>
  <c r="AC7" i="35" l="1"/>
  <c r="V38" i="35" s="1"/>
  <c r="I38" i="35" s="1"/>
  <c r="Q49" i="67"/>
  <c r="J22" i="67"/>
  <c r="J13" i="67"/>
  <c r="J23" i="67" s="1"/>
  <c r="J19" i="67"/>
  <c r="J17" i="67" s="1"/>
  <c r="C33" i="67"/>
  <c r="C31" i="67" s="1"/>
  <c r="C57" i="67"/>
  <c r="C36" i="67"/>
  <c r="J59" i="67"/>
  <c r="J60" i="67" s="1"/>
  <c r="Q48" i="67" s="1"/>
  <c r="C13" i="67"/>
  <c r="C36" i="80"/>
  <c r="J59" i="80"/>
  <c r="J60" i="80" s="1"/>
  <c r="J14" i="80"/>
  <c r="Q49" i="80"/>
  <c r="J19" i="80"/>
  <c r="J17" i="80" s="1"/>
  <c r="C57" i="80"/>
  <c r="C13" i="80"/>
  <c r="R22" i="31"/>
  <c r="B20" i="31"/>
  <c r="B21" i="31" s="1"/>
  <c r="J59" i="15"/>
  <c r="J60" i="15" s="1"/>
  <c r="Q48" i="15" s="1"/>
  <c r="Q49" i="15"/>
  <c r="C57" i="15"/>
  <c r="J14" i="15"/>
  <c r="C36" i="15"/>
  <c r="C13" i="15"/>
  <c r="J19" i="15"/>
  <c r="J17" i="15" s="1"/>
  <c r="L57" i="15"/>
  <c r="L60" i="15" s="1"/>
  <c r="C25" i="69"/>
  <c r="C22" i="69" s="1"/>
  <c r="C31" i="69" s="1"/>
  <c r="C27" i="12"/>
  <c r="C25" i="12" s="1"/>
  <c r="C32" i="12" s="1"/>
  <c r="B2" i="12" s="1"/>
  <c r="B3" i="12" s="1"/>
  <c r="C46" i="69"/>
  <c r="C45" i="69" s="1"/>
  <c r="C12" i="71"/>
  <c r="T13" i="71"/>
  <c r="D13" i="71"/>
  <c r="U13" i="71" s="1"/>
  <c r="C39" i="11"/>
  <c r="C42" i="11"/>
  <c r="C28" i="68"/>
  <c r="C27" i="68" s="1"/>
  <c r="C41" i="69"/>
  <c r="C39" i="68"/>
  <c r="C42" i="68"/>
  <c r="C2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J16" i="67" l="1"/>
  <c r="J25" i="67" s="1"/>
  <c r="C56" i="67"/>
  <c r="C65" i="67" s="1"/>
  <c r="C37" i="67"/>
  <c r="C30" i="67" s="1"/>
  <c r="C39" i="67" s="1"/>
  <c r="C75" i="67"/>
  <c r="Q70" i="67"/>
  <c r="C61" i="67"/>
  <c r="C59" i="67" s="1"/>
  <c r="C64" i="67"/>
  <c r="C56" i="80"/>
  <c r="C65" i="80" s="1"/>
  <c r="C75" i="80"/>
  <c r="Q70" i="80"/>
  <c r="C37" i="80"/>
  <c r="C30" i="80" s="1"/>
  <c r="C39" i="80" s="1"/>
  <c r="J13" i="80"/>
  <c r="J23" i="80" s="1"/>
  <c r="J22" i="80"/>
  <c r="C61" i="80"/>
  <c r="C59" i="80" s="1"/>
  <c r="C64" i="80"/>
  <c r="Q48" i="80"/>
  <c r="L46" i="80"/>
  <c r="L46" i="15"/>
  <c r="C64" i="15"/>
  <c r="C61" i="15"/>
  <c r="C59" i="15" s="1"/>
  <c r="C75" i="15"/>
  <c r="C56" i="15"/>
  <c r="C65" i="15" s="1"/>
  <c r="Q70" i="15"/>
  <c r="C37" i="15"/>
  <c r="C30" i="15" s="1"/>
  <c r="C39" i="15" s="1"/>
  <c r="Q69" i="15" s="1"/>
  <c r="J13" i="15"/>
  <c r="J23" i="15" s="1"/>
  <c r="J22" i="15"/>
  <c r="Q57" i="15"/>
  <c r="Q66" i="15"/>
  <c r="C49" i="69"/>
  <c r="C51" i="69" s="1"/>
  <c r="C52" i="69" s="1"/>
  <c r="B2" i="69" s="1"/>
  <c r="B3" i="69" s="1"/>
  <c r="C31" i="68"/>
  <c r="L30" i="68" s="1"/>
  <c r="D12" i="71"/>
  <c r="C11" i="71"/>
  <c r="C46" i="68"/>
  <c r="C45" i="68" s="1"/>
  <c r="C43" i="68"/>
  <c r="C41" i="68" s="1"/>
  <c r="C46" i="11"/>
  <c r="C45" i="11" s="1"/>
  <c r="C43" i="11"/>
  <c r="C41" i="11" s="1"/>
  <c r="M69" i="39"/>
  <c r="N67" i="39"/>
  <c r="R39" i="35"/>
  <c r="E38" i="35"/>
  <c r="M63" i="40"/>
  <c r="L65" i="40"/>
  <c r="L51" i="67"/>
  <c r="L51" i="80"/>
  <c r="Q67" i="67" l="1"/>
  <c r="L57" i="67"/>
  <c r="L60" i="67" s="1"/>
  <c r="Q66" i="67" s="1"/>
  <c r="C80" i="67"/>
  <c r="C79" i="67" s="1"/>
  <c r="C40" i="67"/>
  <c r="Q69" i="67"/>
  <c r="Q68" i="67" s="1"/>
  <c r="C58" i="67"/>
  <c r="C67" i="67" s="1"/>
  <c r="C68" i="67" s="1"/>
  <c r="L46" i="67"/>
  <c r="C58" i="80"/>
  <c r="C67" i="80" s="1"/>
  <c r="C68" i="80" s="1"/>
  <c r="C71" i="80" s="1"/>
  <c r="J16" i="80"/>
  <c r="J25" i="80" s="1"/>
  <c r="Q67" i="80"/>
  <c r="C40" i="80"/>
  <c r="Q69" i="80"/>
  <c r="Q68" i="80" s="1"/>
  <c r="C80" i="80"/>
  <c r="C79" i="80" s="1"/>
  <c r="Q68" i="15"/>
  <c r="J16" i="15"/>
  <c r="J25" i="15" s="1"/>
  <c r="C58" i="15"/>
  <c r="C67" i="15" s="1"/>
  <c r="C68" i="15" s="1"/>
  <c r="C71" i="15" s="1"/>
  <c r="C80" i="15"/>
  <c r="C79" i="15" s="1"/>
  <c r="C40" i="15"/>
  <c r="C49" i="11"/>
  <c r="C51" i="11" s="1"/>
  <c r="C52" i="11" s="1"/>
  <c r="B2" i="11" s="1"/>
  <c r="B3" i="11" s="1"/>
  <c r="C49" i="68"/>
  <c r="C51" i="68" s="1"/>
  <c r="C52" i="68" s="1"/>
  <c r="B2" i="68" s="1"/>
  <c r="D11" i="71"/>
  <c r="C10" i="71"/>
  <c r="C57" i="69"/>
  <c r="C56" i="69" s="1"/>
  <c r="O67" i="39"/>
  <c r="O69" i="39" s="1"/>
  <c r="N69" i="39"/>
  <c r="F7" i="39"/>
  <c r="C39" i="35"/>
  <c r="B2" i="35" s="1"/>
  <c r="B3" i="35" s="1"/>
  <c r="C38" i="35"/>
  <c r="N63" i="40"/>
  <c r="M65" i="40"/>
  <c r="E43" i="35"/>
  <c r="F43" i="35" s="1"/>
  <c r="E42" i="35"/>
  <c r="F42" i="35" s="1"/>
  <c r="I43" i="35"/>
  <c r="J43" i="35" s="1"/>
  <c r="L51" i="15"/>
  <c r="C19" i="9"/>
  <c r="Q57" i="67" l="1"/>
  <c r="D2" i="67"/>
  <c r="B2" i="67" s="1"/>
  <c r="C71" i="67"/>
  <c r="C45" i="67"/>
  <c r="C46" i="67" s="1"/>
  <c r="C43" i="67"/>
  <c r="Q56" i="67"/>
  <c r="Q47" i="67"/>
  <c r="Q53" i="67" s="1"/>
  <c r="C83" i="67"/>
  <c r="C82" i="67" s="1"/>
  <c r="Q65" i="67"/>
  <c r="Q75" i="67" s="1"/>
  <c r="C46" i="80"/>
  <c r="Q47" i="80"/>
  <c r="Q53" i="80" s="1"/>
  <c r="B2" i="80"/>
  <c r="Q65" i="80"/>
  <c r="Q75" i="80" s="1"/>
  <c r="C83" i="80"/>
  <c r="C82" i="80" s="1"/>
  <c r="Q56" i="80"/>
  <c r="Q62" i="80" s="1"/>
  <c r="C43" i="80"/>
  <c r="Q67" i="15"/>
  <c r="C46" i="15"/>
  <c r="C43" i="15"/>
  <c r="Q56" i="15"/>
  <c r="Q62" i="15" s="1"/>
  <c r="C83" i="15"/>
  <c r="C82" i="15" s="1"/>
  <c r="Q47" i="15"/>
  <c r="Q53" i="15" s="1"/>
  <c r="Q65" i="15"/>
  <c r="Q75" i="15" s="1"/>
  <c r="B2" i="15"/>
  <c r="C102" i="9"/>
  <c r="C21" i="9"/>
  <c r="B3" i="68"/>
  <c r="C56" i="11"/>
  <c r="C57" i="11" s="1"/>
  <c r="C9" i="71"/>
  <c r="D10" i="71"/>
  <c r="C57" i="68"/>
  <c r="C56" i="68" s="1"/>
  <c r="H7" i="39"/>
  <c r="J7" i="39"/>
  <c r="S7" i="39"/>
  <c r="AA7" i="39"/>
  <c r="R47" i="39" s="1"/>
  <c r="O63" i="40"/>
  <c r="O65" i="40" s="1"/>
  <c r="N65" i="40"/>
  <c r="AO7" i="1"/>
  <c r="C20" i="9"/>
  <c r="AO6" i="1"/>
  <c r="Q62" i="67" l="1"/>
  <c r="B3" i="67"/>
  <c r="B7" i="70"/>
  <c r="B3" i="80"/>
  <c r="B6" i="70"/>
  <c r="B3" i="15"/>
  <c r="C103" i="9"/>
  <c r="C8" i="71"/>
  <c r="T9" i="71"/>
  <c r="D9" i="71"/>
  <c r="U9" i="71" s="1"/>
  <c r="W7" i="39"/>
  <c r="AC7" i="39"/>
  <c r="V47" i="39" s="1"/>
  <c r="I47" i="39" s="1"/>
  <c r="E47" i="39"/>
  <c r="R48" i="39"/>
  <c r="U7" i="39"/>
  <c r="AB7" i="39"/>
  <c r="T47" i="39" s="1"/>
  <c r="G47" i="39" s="1"/>
  <c r="J7" i="40"/>
  <c r="F7" i="40"/>
  <c r="H7" i="40"/>
  <c r="B2" i="70" l="1"/>
  <c r="B3" i="70" s="1"/>
  <c r="C7" i="71"/>
  <c r="D8"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D102" i="9" l="1"/>
  <c r="G19" i="9"/>
  <c r="G21" i="9" s="1"/>
  <c r="D21" i="9"/>
  <c r="D22" i="9"/>
  <c r="D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D5" i="71" l="1"/>
  <c r="M20" i="43"/>
  <c r="B58" i="40"/>
  <c r="F58" i="40" s="1"/>
  <c r="B54" i="40"/>
  <c r="F54" i="40" s="1"/>
  <c r="B53" i="40"/>
  <c r="F53" i="40" s="1"/>
  <c r="B59" i="40"/>
  <c r="F59" i="40" s="1"/>
  <c r="B52" i="40"/>
  <c r="F52" i="40" s="1"/>
  <c r="B56" i="40"/>
  <c r="F56" i="40" s="1"/>
  <c r="B60" i="40"/>
  <c r="F60" i="40" s="1"/>
  <c r="B57" i="40"/>
  <c r="F57" i="40" s="1"/>
  <c r="B51" i="40"/>
  <c r="F51" i="40" s="1"/>
  <c r="F61" i="40"/>
  <c r="B2" i="40" s="1"/>
  <c r="B3" i="40" s="1"/>
  <c r="M49" i="9"/>
  <c r="L65" i="9" s="1"/>
  <c r="M65" i="9" s="1"/>
  <c r="L68" i="9" l="1"/>
  <c r="M68" i="9" s="1"/>
  <c r="L67" i="9"/>
  <c r="M67" i="9" s="1"/>
  <c r="L64" i="9"/>
  <c r="M64" i="9" s="1"/>
  <c r="L66" i="9"/>
  <c r="M66" i="9" s="1"/>
  <c r="L63" i="9"/>
  <c r="M63" i="9" s="1"/>
  <c r="M69" i="9" s="1"/>
  <c r="N69" i="9" s="1"/>
  <c r="D118" i="9"/>
  <c r="D4" i="52" s="1"/>
  <c r="B47" i="72" s="1"/>
  <c r="F118" i="9"/>
  <c r="F119" i="9" s="1"/>
  <c r="F5" i="52" s="1"/>
  <c r="B53" i="72" s="1"/>
  <c r="H118" i="9"/>
  <c r="C104" i="9" s="1"/>
  <c r="H101" i="9" l="1"/>
  <c r="M48" i="9" s="1"/>
  <c r="F4" i="52"/>
  <c r="B51" i="72" s="1"/>
  <c r="G118" i="9"/>
  <c r="G4" i="52" s="1"/>
  <c r="B52" i="72" s="1"/>
  <c r="H4" i="52"/>
  <c r="D45" i="9"/>
  <c r="D14" i="74"/>
  <c r="H119" i="9"/>
  <c r="H5" i="52" s="1"/>
  <c r="I118" i="9"/>
  <c r="D119" i="9"/>
  <c r="D5" i="52" s="1"/>
  <c r="B49" i="72" s="1"/>
  <c r="D5" i="53" l="1"/>
  <c r="B20" i="72" s="1"/>
  <c r="H107" i="9"/>
  <c r="D122" i="9" s="1"/>
  <c r="I4" i="52"/>
  <c r="C105" i="9"/>
  <c r="H102" i="9"/>
  <c r="D7" i="53" s="1"/>
  <c r="B21" i="72" s="1"/>
  <c r="E118" i="9"/>
  <c r="E4" i="52" s="1"/>
  <c r="B48" i="72" s="1"/>
  <c r="E14" i="74"/>
  <c r="B5" i="74"/>
  <c r="F14" i="74"/>
  <c r="D53" i="9"/>
  <c r="D55" i="9"/>
  <c r="M53" i="9" s="1"/>
  <c r="D52" i="9"/>
  <c r="C85" i="9"/>
  <c r="C93" i="9"/>
  <c r="C86" i="9" s="1"/>
  <c r="C64" i="9"/>
  <c r="C63" i="9" s="1"/>
  <c r="C67" i="9" s="1"/>
  <c r="C78" i="9"/>
  <c r="C73" i="9" s="1"/>
  <c r="C72" i="9"/>
  <c r="H108" i="9" l="1"/>
  <c r="D15" i="53" s="1"/>
  <c r="B31" i="72" s="1"/>
  <c r="D13" i="53"/>
  <c r="D14" i="53" s="1"/>
  <c r="B32" i="72" s="1"/>
  <c r="D6" i="53"/>
  <c r="B22" i="72" s="1"/>
  <c r="C95" i="9"/>
  <c r="C96" i="9" s="1"/>
  <c r="E96" i="9" s="1"/>
  <c r="E97" i="9" s="1"/>
  <c r="C79" i="9"/>
  <c r="D5" i="74"/>
  <c r="C5" i="74"/>
  <c r="D59" i="9"/>
  <c r="M55" i="9" s="1"/>
  <c r="C68" i="9"/>
  <c r="D54" i="9" s="1"/>
  <c r="D8" i="52"/>
  <c r="D123" i="9"/>
  <c r="D9" i="52" s="1"/>
  <c r="G14" i="74"/>
  <c r="B6" i="74" s="1"/>
  <c r="B30" i="72" l="1"/>
  <c r="C97" i="9"/>
  <c r="D58" i="9" s="1"/>
  <c r="D56" i="9" s="1"/>
  <c r="M54" i="9" s="1"/>
  <c r="N57" i="9" s="1"/>
  <c r="N58" i="9" s="1"/>
  <c r="C80" i="9"/>
  <c r="E80" i="9" s="1"/>
  <c r="E81" i="9" s="1"/>
  <c r="D6" i="74"/>
  <c r="C6" i="74"/>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<sst xmlns="http://schemas.openxmlformats.org/spreadsheetml/2006/main" count="8622" uniqueCount="3512">
  <si>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</si>
  <si>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</si>
  <si>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</si>
  <si>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</si>
  <si>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</si>
  <si>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</si>
  <si>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</si>
  <si>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</si>
  <si>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</si>
  <si>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</si>
  <si>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</si>
  <si>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</si>
  <si>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</si>
  <si>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</si>
  <si>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</si>
  <si>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</si>
  <si>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</si>
  <si>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</si>
  <si>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</si>
  <si>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</si>
  <si>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</si>
  <si>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</si>
  <si>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</si>
  <si>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</si>
  <si>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</si>
  <si>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</si>
  <si>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</si>
  <si>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</si>
  <si>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</si>
  <si>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</si>
  <si>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</si>
  <si>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</si>
  <si>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</si>
  <si>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</si>
  <si>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</si>
  <si>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</si>
  <si>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</si>
  <si>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</si>
  <si>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</si>
  <si>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</si>
  <si>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</si>
  <si>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</si>
  <si>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</si>
  <si>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</si>
  <si>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</si>
  <si>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</si>
  <si>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</si>
  <si>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</si>
  <si>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</si>
  <si>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</si>
  <si>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</si>
  <si>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</si>
  <si>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</si>
  <si>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</si>
  <si>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</si>
  <si>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</si>
  <si>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</si>
  <si>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</si>
  <si>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</si>
  <si>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</si>
  <si>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</si>
  <si>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</si>
  <si>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</si>
  <si>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</si>
  <si>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</si>
  <si>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</si>
  <si>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</si>
  <si>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</si>
  <si>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</si>
  <si>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</si>
  <si>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</si>
  <si>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</si>
  <si>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</si>
  <si>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</si>
  <si>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</si>
  <si>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</si>
  <si>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</si>
  <si>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</si>
  <si>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</si>
  <si>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</si>
  <si>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</si>
  <si>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</si>
  <si>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</si>
  <si>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</si>
  <si>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</si>
  <si>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</si>
  <si>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</si>
  <si>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</si>
  <si>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</si>
  <si>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</si>
  <si>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</si>
  <si>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</si>
  <si>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</si>
  <si>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</si>
  <si>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</si>
  <si>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</si>
  <si>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</si>
  <si>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</si>
  <si>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</si>
  <si>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</si>
  <si>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</si>
  <si>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</si>
  <si>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</si>
  <si>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</si>
  <si>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</si>
  <si>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</si>
  <si>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</si>
  <si>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</si>
  <si>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</si>
  <si>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</si>
  <si>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</si>
  <si>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</si>
  <si>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</si>
  <si>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</si>
  <si>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</si>
  <si>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</si>
  <si>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</si>
  <si>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</si>
  <si>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</si>
  <si>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</si>
  <si>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</si>
  <si>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</si>
  <si>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</si>
  <si>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</si>
  <si>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</si>
  <si>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</si>
  <si>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</si>
  <si>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</si>
  <si>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</si>
  <si>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</si>
  <si>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</si>
  <si>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</si>
  <si>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</si>
  <si>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</si>
  <si>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</si>
  <si>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</si>
  <si>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</si>
  <si>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</si>
  <si>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</si>
  <si>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</si>
  <si>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</si>
  <si>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</si>
  <si>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</si>
  <si>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</si>
  <si>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</si>
  <si>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</si>
  <si>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</si>
  <si>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</si>
  <si>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</si>
  <si>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</si>
  <si>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</si>
  <si>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</si>
  <si>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</si>
  <si>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</si>
  <si>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</si>
  <si>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</si>
  <si>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</si>
  <si>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</si>
  <si>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</si>
  <si>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</si>
  <si>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</si>
  <si>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</si>
  <si>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</si>
  <si>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</si>
  <si>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</si>
  <si>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</si>
  <si>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</si>
  <si>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</si>
  <si>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</si>
  <si>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</si>
  <si>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</si>
  <si>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</si>
  <si>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</si>
  <si>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</si>
  <si>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</si>
  <si>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</si>
  <si>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</si>
  <si>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</si>
  <si>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</si>
  <si>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</si>
  <si>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</si>
  <si>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</si>
  <si>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</si>
  <si>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</si>
  <si>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</si>
  <si>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</si>
  <si>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</si>
  <si>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</si>
  <si>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</si>
  <si>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</si>
  <si>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</si>
  <si>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</si>
  <si>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</si>
  <si>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</si>
  <si>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</si>
  <si>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</si>
  <si>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</si>
  <si>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</si>
  <si>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</si>
  <si>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</si>
  <si>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</si>
  <si>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</si>
  <si>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</si>
  <si>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</si>
  <si>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</si>
  <si>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</si>
  <si>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</si>
  <si>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</si>
  <si>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</si>
  <si>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</si>
  <si>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</si>
  <si>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</si>
  <si>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</si>
  <si>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</si>
  <si>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</si>
  <si>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</si>
  <si>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</si>
  <si>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</si>
  <si>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</si>
  <si>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</si>
  <si>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</si>
  <si>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</si>
  <si>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</si>
  <si>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</si>
  <si>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</si>
  <si>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</si>
  <si>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</si>
  <si>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</si>
  <si>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</si>
  <si>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</si>
  <si>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</si>
  <si>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</si>
  <si>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</si>
  <si>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</si>
  <si>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</si>
  <si>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</si>
  <si>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</si>
  <si>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</si>
  <si>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</si>
  <si>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</si>
  <si>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</si>
  <si>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</si>
  <si>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</si>
  <si>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</si>
  <si>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</si>
  <si>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</si>
  <si>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</si>
  <si>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</si>
  <si>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</si>
  <si>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</si>
  <si>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</si>
  <si>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</si>
  <si>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</si>
  <si>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</si>
  <si>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</si>
  <si>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</si>
  <si>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</si>
  <si>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</si>
  <si>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</si>
  <si>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</si>
  <si>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</si>
  <si>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</si>
  <si>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</si>
  <si>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</si>
  <si>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</si>
  <si>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</si>
  <si>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</si>
  <si>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</si>
  <si>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</si>
  <si>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</si>
  <si>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</si>
  <si>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</si>
  <si>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</si>
  <si>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</si>
  <si>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</si>
  <si>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</si>
  <si>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</si>
  <si>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</si>
  <si>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</si>
  <si>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</si>
  <si>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</si>
  <si>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</si>
  <si>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</si>
  <si>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</si>
  <si>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</si>
  <si>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</si>
  <si>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</si>
  <si>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</si>
  <si>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</si>
  <si>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</si>
  <si>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</si>
  <si>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</si>
  <si>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</si>
  <si>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</si>
  <si>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</si>
  <si>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</si>
  <si>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</si>
  <si>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</si>
  <si>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</si>
  <si>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</si>
  <si>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</si>
  <si>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</si>
  <si>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</si>
  <si>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</si>
  <si>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</si>
  <si>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</si>
  <si>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</si>
  <si>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</si>
  <si>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</si>
  <si>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</si>
  <si>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</si>
  <si>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</si>
  <si>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</si>
  <si>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</si>
  <si>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</si>
  <si>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</si>
  <si>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</si>
  <si>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</si>
  <si>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</si>
  <si>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</si>
  <si>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</si>
  <si>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</si>
  <si>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</si>
  <si>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</si>
  <si>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</si>
  <si>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</si>
  <si>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</si>
  <si>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</si>
  <si>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</si>
  <si>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</si>
  <si>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</si>
  <si>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</si>
  <si>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</si>
  <si>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</si>
  <si>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</si>
  <si>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</si>
  <si>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</si>
  <si>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</si>
  <si>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</si>
  <si>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</si>
  <si>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</si>
  <si>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</si>
  <si>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</si>
  <si>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</si>
  <si>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</si>
  <si>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</si>
  <si>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</si>
  <si>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</si>
  <si>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</si>
  <si>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</si>
  <si>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</si>
  <si>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</si>
  <si>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</si>
  <si>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</si>
  <si>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</si>
  <si>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</si>
  <si>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</si>
  <si>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</si>
  <si>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</si>
  <si>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</si>
  <si>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</si>
  <si>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</si>
  <si>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</si>
  <si>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</si>
  <si>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</si>
  <si>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</si>
  <si>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</si>
  <si>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</si>
  <si>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</si>
  <si>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</si>
  <si>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</si>
  <si>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</si>
  <si>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</si>
  <si>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</si>
  <si>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</si>
  <si>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</si>
  <si>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</si>
  <si>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</si>
  <si>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</si>
  <si>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</si>
  <si>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</si>
  <si>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</si>
  <si>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</si>
  <si>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</si>
  <si>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</si>
  <si>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</si>
  <si>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</si>
  <si>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</si>
  <si>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</si>
  <si>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</si>
  <si>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</si>
  <si>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</si>
  <si>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</si>
  <si>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</si>
  <si>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</si>
  <si>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</si>
  <si>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</si>
  <si>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</si>
  <si>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</si>
  <si>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</si>
  <si>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</si>
  <si>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</si>
  <si>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</si>
  <si>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</si>
  <si>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</si>
  <si>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</si>
  <si>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</si>
  <si>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</si>
  <si>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</si>
  <si>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</si>
  <si>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</si>
  <si>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</si>
  <si>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</si>
  <si>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</si>
  <si>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</si>
  <si>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</si>
  <si>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</si>
  <si>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</si>
  <si>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</si>
  <si>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</si>
  <si>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</si>
  <si>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</si>
  <si>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</si>
  <si>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</si>
  <si>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</si>
  <si>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</si>
  <si>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</si>
  <si>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</si>
  <si>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</si>
  <si>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</si>
  <si>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</si>
  <si>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</si>
  <si>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</si>
  <si>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</si>
  <si>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</si>
  <si>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</si>
  <si>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</si>
  <si>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</si>
  <si>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</si>
  <si>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</si>
  <si>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</si>
  <si>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</si>
  <si>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</si>
  <si>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</si>
  <si>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</si>
  <si>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</si>
  <si>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</si>
  <si>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</si>
  <si>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</si>
  <si>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</si>
  <si>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</si>
  <si>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</si>
  <si>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</si>
  <si>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</si>
  <si>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</si>
  <si>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</si>
  <si>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</si>
  <si>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</si>
  <si>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</si>
  <si>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</si>
  <si>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</si>
  <si>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</si>
  <si>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</si>
  <si>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</si>
  <si>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</si>
  <si>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</si>
  <si>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</si>
  <si>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</si>
  <si>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</si>
  <si>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</si>
  <si>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</si>
  <si>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</si>
  <si>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</si>
  <si>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</si>
  <si>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</si>
  <si>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</si>
  <si>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</si>
  <si>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</si>
  <si>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</si>
  <si>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</si>
  <si>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</si>
  <si>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</si>
  <si>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</si>
  <si>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</si>
  <si>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</si>
  <si>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</si>
  <si>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</si>
  <si>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</si>
  <si>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</si>
  <si>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</si>
  <si>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</si>
  <si>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</si>
  <si>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</si>
  <si>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</si>
  <si>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</si>
  <si>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</si>
  <si>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</si>
  <si>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</si>
  <si>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</si>
  <si>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</si>
  <si>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</si>
  <si>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</si>
  <si>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</si>
  <si>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</si>
  <si>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</si>
  <si>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</si>
  <si>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</si>
  <si>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</si>
  <si>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</si>
  <si>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</si>
  <si>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</si>
  <si>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</si>
  <si>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</si>
  <si>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</si>
  <si>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</si>
  <si>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</si>
  <si>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</si>
  <si>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</si>
  <si>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</si>
  <si>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</si>
  <si>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</si>
  <si>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</si>
  <si>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</si>
  <si>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</si>
  <si>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</si>
  <si>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</si>
  <si>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</si>
  <si>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</si>
  <si>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</si>
  <si>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</si>
  <si>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</si>
  <si>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</si>
  <si>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</si>
  <si>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</si>
  <si>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</si>
  <si>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</si>
  <si>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</si>
  <si>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</si>
  <si>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</si>
  <si>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</si>
  <si>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</si>
  <si>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</si>
  <si>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</si>
  <si>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</si>
  <si>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</si>
  <si>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</si>
  <si>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</si>
  <si>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</si>
  <si>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</si>
  <si>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</si>
  <si>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</si>
  <si>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</si>
  <si>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</si>
  <si>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</si>
  <si>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</si>
  <si>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</si>
  <si>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</si>
  <si>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</si>
  <si>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</si>
  <si>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</si>
  <si>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</si>
  <si>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</si>
  <si>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</si>
  <si>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</si>
  <si>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</si>
  <si>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</si>
  <si>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</si>
  <si>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</si>
  <si>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</si>
  <si>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</si>
  <si>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</si>
  <si>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</si>
  <si>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</si>
  <si>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</si>
  <si>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</si>
  <si>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</si>
  <si>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</si>
  <si>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</si>
  <si>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</si>
  <si>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</si>
  <si>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</si>
  <si>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</si>
  <si>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</si>
  <si>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</si>
  <si>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</si>
  <si>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</si>
  <si>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</si>
  <si>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</si>
  <si>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</si>
  <si>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</si>
  <si>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</si>
  <si>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</si>
  <si>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</si>
  <si>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</si>
  <si>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</si>
  <si>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</si>
  <si>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</si>
  <si>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</si>
  <si>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</si>
  <si>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</si>
  <si>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</si>
  <si>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</si>
  <si>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</si>
  <si>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</si>
  <si>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</si>
  <si>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</si>
  <si>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</si>
  <si>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</si>
  <si>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</si>
  <si>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</si>
  <si>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</si>
  <si>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</si>
  <si>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</si>
  <si>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</si>
  <si>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</si>
  <si>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</si>
  <si>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</si>
  <si>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</si>
  <si>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</si>
  <si>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</si>
  <si>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</si>
  <si>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</si>
  <si>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</si>
  <si>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</si>
  <si>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</si>
  <si>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</si>
  <si>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</si>
  <si>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</si>
  <si>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</si>
  <si>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</si>
  <si>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</si>
  <si>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</si>
  <si>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</si>
  <si>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</si>
  <si>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</si>
  <si>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</si>
  <si>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</si>
  <si>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</si>
  <si>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</si>
  <si>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</si>
  <si>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</si>
  <si>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</si>
  <si>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</si>
  <si>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</si>
  <si>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</si>
  <si>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</si>
  <si>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</si>
  <si>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</si>
  <si>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</si>
  <si>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</si>
  <si>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</si>
  <si>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</si>
  <si>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</si>
  <si>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</si>
  <si>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</si>
  <si>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</si>
  <si>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</si>
  <si>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</si>
  <si>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</si>
  <si>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</si>
  <si>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</si>
  <si>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</si>
  <si>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</si>
  <si>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</si>
  <si>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</si>
  <si>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</si>
  <si>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</si>
  <si>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</si>
  <si>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</si>
  <si>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</si>
  <si>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</si>
  <si>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</si>
  <si>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</si>
  <si>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</si>
  <si>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</si>
  <si>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</si>
  <si>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</si>
  <si>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</si>
  <si>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</si>
  <si>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</si>
  <si>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</si>
  <si>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</si>
  <si>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</si>
  <si>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</si>
  <si>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</si>
  <si>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</si>
  <si>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</si>
  <si>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</si>
  <si>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</si>
  <si>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</si>
  <si>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</si>
  <si>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</si>
  <si>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</si>
  <si>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</si>
  <si>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</si>
  <si>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</si>
  <si>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</si>
  <si>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</si>
  <si>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</si>
  <si>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</si>
  <si>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</si>
  <si>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</si>
  <si>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</si>
  <si>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</si>
  <si>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</si>
  <si>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</si>
  <si>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</si>
  <si>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</si>
  <si>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</si>
  <si>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</si>
  <si>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</si>
  <si>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</si>
  <si>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</si>
  <si>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</si>
  <si>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</si>
  <si>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</si>
  <si>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</si>
  <si>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</si>
  <si>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</si>
  <si>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</si>
  <si>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</si>
  <si>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</si>
  <si>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</si>
  <si>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</si>
  <si>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</si>
  <si>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</si>
  <si>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</si>
  <si>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</si>
  <si>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</si>
  <si>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</si>
  <si>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</si>
  <si>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</si>
  <si>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</si>
  <si>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</si>
  <si>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</si>
  <si>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</si>
  <si>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</si>
  <si>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</si>
  <si>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</si>
  <si>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</si>
  <si>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</si>
  <si>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</si>
  <si>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</si>
  <si>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</si>
  <si>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</si>
  <si>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</si>
  <si>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</si>
  <si>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</si>
  <si>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</si>
  <si>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</si>
  <si>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</si>
  <si>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</si>
  <si>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</si>
  <si>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</si>
  <si>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</si>
  <si>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</si>
  <si>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</si>
  <si>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</si>
  <si>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</si>
  <si>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</si>
  <si>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</si>
  <si>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</si>
  <si>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</si>
  <si>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</si>
  <si>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</si>
  <si>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</si>
  <si>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</si>
  <si>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</si>
  <si>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</si>
  <si>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</si>
  <si>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</si>
  <si>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</si>
  <si>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</si>
  <si>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</si>
  <si>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</si>
  <si>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</si>
  <si>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</si>
  <si>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</si>
  <si>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</si>
  <si>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</si>
  <si>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</si>
  <si>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</si>
  <si>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</si>
  <si>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</si>
  <si>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</si>
  <si>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</si>
  <si>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</si>
  <si>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</si>
  <si>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</si>
  <si>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</si>
  <si>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</si>
  <si>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</si>
  <si>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</si>
  <si>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</si>
  <si>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</si>
  <si>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</si>
  <si>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</si>
  <si>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</si>
  <si>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</si>
  <si>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</si>
  <si>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</si>
  <si>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</si>
  <si>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</si>
  <si>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</si>
  <si>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</si>
  <si>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</si>
  <si>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</si>
  <si>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</si>
  <si>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</si>
  <si>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</si>
  <si>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</si>
  <si>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</si>
  <si>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</si>
  <si>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</si>
  <si>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</si>
  <si>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</si>
  <si>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</si>
  <si>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</si>
  <si>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</si>
  <si>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</si>
  <si>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</si>
  <si>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</si>
  <si>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</si>
  <si>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</si>
  <si>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</si>
  <si>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</si>
  <si>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</si>
  <si>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</si>
  <si>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</si>
  <si>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</si>
  <si>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</si>
  <si>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</si>
  <si>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</si>
  <si>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</si>
  <si>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</si>
  <si>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</si>
  <si>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</si>
  <si>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</si>
  <si>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</si>
  <si>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</si>
  <si>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</si>
  <si>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</si>
  <si>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</si>
  <si>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</si>
  <si>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</si>
  <si>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</si>
  <si>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</si>
  <si>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</si>
  <si>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</si>
  <si>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</si>
  <si>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</si>
  <si>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</si>
  <si>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</si>
  <si>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</si>
  <si>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</si>
  <si>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</si>
  <si>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</si>
  <si>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</si>
  <si>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</si>
  <si>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</si>
  <si>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</si>
  <si>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</si>
  <si>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</si>
  <si>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</si>
  <si>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</si>
  <si>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</si>
  <si>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</si>
  <si>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</si>
  <si>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</si>
  <si>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</si>
  <si>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</si>
  <si>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</si>
  <si>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</si>
  <si>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</si>
  <si>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</si>
  <si>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</si>
  <si>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</si>
  <si>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</si>
  <si>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</si>
  <si>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</si>
  <si>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</si>
  <si>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</si>
  <si>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</si>
  <si>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</si>
  <si>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</si>
  <si>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</si>
  <si>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</si>
  <si>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</si>
  <si>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</si>
  <si>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</si>
  <si>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</si>
  <si>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</si>
  <si>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</si>
  <si>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</si>
  <si>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</si>
  <si>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</si>
  <si>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</si>
  <si>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</si>
  <si>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</si>
  <si>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</si>
  <si>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</si>
  <si>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</si>
  <si>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</si>
  <si>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</si>
  <si>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</si>
  <si>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</si>
  <si>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</si>
  <si>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</si>
  <si>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</si>
  <si>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</si>
  <si>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</si>
  <si>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</si>
  <si>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</si>
  <si>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</si>
  <si>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</si>
  <si>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</si>
  <si>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</si>
  <si>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</si>
  <si>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</si>
  <si>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</si>
  <si>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</si>
  <si>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</si>
  <si>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</si>
  <si>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</si>
  <si>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</si>
  <si>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</si>
  <si>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</si>
  <si>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</si>
  <si>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</si>
  <si>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</si>
  <si>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</si>
  <si>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</si>
  <si>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</si>
  <si>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</si>
  <si>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</si>
  <si>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</si>
  <si>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</si>
  <si>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</si>
  <si>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</si>
  <si>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</si>
  <si>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</si>
  <si>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</si>
  <si>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</si>
  <si>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</si>
  <si>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</si>
  <si>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</si>
  <si>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</si>
  <si>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</si>
  <si>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</si>
  <si>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</si>
  <si>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</si>
  <si>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</si>
  <si>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</si>
  <si>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</si>
  <si>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</si>
  <si>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</si>
  <si>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</si>
  <si>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</si>
  <si>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</si>
  <si>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</si>
  <si>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</si>
  <si>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</si>
  <si>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</si>
  <si>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</si>
  <si>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</si>
  <si>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</si>
  <si>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</si>
  <si>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</si>
  <si>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</si>
  <si>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</si>
  <si>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</si>
  <si>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</si>
  <si>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</si>
  <si>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</si>
  <si>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</si>
  <si>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</si>
  <si>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</si>
  <si>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</si>
  <si>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</si>
  <si>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</si>
  <si>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</si>
  <si>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</si>
  <si>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</si>
  <si>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</si>
  <si>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</si>
  <si>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</si>
  <si>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</si>
  <si>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</si>
  <si>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</si>
  <si>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</si>
  <si>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</si>
  <si>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</si>
  <si>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</si>
  <si>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</si>
  <si>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</si>
  <si>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</si>
  <si>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</si>
  <si>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</si>
  <si>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</si>
  <si>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</si>
  <si>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</si>
  <si>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</si>
  <si>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</si>
  <si>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</si>
  <si>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</si>
  <si>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</si>
  <si>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</si>
  <si>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</si>
  <si>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</si>
  <si>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</si>
  <si>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</si>
  <si>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</si>
  <si>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</si>
  <si>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</si>
  <si>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</si>
  <si>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</si>
  <si>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</si>
  <si>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</si>
  <si>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</si>
  <si>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</si>
  <si>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</si>
  <si>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</si>
  <si>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</si>
  <si>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</si>
  <si>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</si>
  <si>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</si>
  <si>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</si>
  <si>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</si>
  <si>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</si>
  <si>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</si>
  <si>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</si>
  <si>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</si>
  <si>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</si>
  <si>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</si>
  <si>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</si>
  <si>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</si>
  <si>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</si>
  <si>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</si>
  <si>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</si>
  <si>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</si>
  <si>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</si>
  <si>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</si>
  <si>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</si>
  <si>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</si>
  <si>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</si>
  <si>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</si>
  <si>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</si>
  <si>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</si>
  <si>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</si>
  <si>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</si>
  <si>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</si>
  <si>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</si>
  <si>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</si>
  <si>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</si>
  <si>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</si>
  <si>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</si>
  <si>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</si>
  <si>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</si>
  <si>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</si>
  <si>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</si>
  <si>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</si>
  <si>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</si>
  <si>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</si>
  <si>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</si>
  <si>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</si>
  <si>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</si>
  <si>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</si>
  <si>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</si>
  <si>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</si>
  <si>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</si>
  <si>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</si>
  <si>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</si>
  <si>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</si>
  <si>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</si>
  <si>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</si>
  <si>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</si>
  <si>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</si>
  <si>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</si>
  <si>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</si>
  <si>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</si>
  <si>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</si>
  <si>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</si>
  <si>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</si>
  <si>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</si>
  <si>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</si>
  <si>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</si>
  <si>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</si>
  <si>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</si>
  <si>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</si>
  <si>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</si>
  <si>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</si>
  <si>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</si>
  <si>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</si>
  <si>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</si>
  <si>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</si>
  <si>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</si>
  <si>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</si>
  <si>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</si>
  <si>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</si>
  <si>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</si>
  <si>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</si>
  <si>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</si>
  <si>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</si>
  <si>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</si>
  <si>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</si>
  <si>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</si>
  <si>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</si>
  <si>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</si>
  <si>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</si>
  <si>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</si>
  <si>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</si>
  <si>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</si>
  <si>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</si>
  <si>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</si>
  <si>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</si>
  <si>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</si>
  <si>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</si>
  <si>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</si>
  <si>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</si>
  <si>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</si>
  <si>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</si>
  <si>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</si>
  <si>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</si>
  <si>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</si>
  <si>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</si>
  <si>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</si>
  <si>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</si>
  <si>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</si>
  <si>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</si>
  <si>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</si>
  <si>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</si>
  <si>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</si>
  <si>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</si>
  <si>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</si>
  <si>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</si>
  <si>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</si>
  <si>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</si>
  <si>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</si>
  <si>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</si>
  <si>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</si>
  <si>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</si>
  <si>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</si>
  <si>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</si>
  <si>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</si>
  <si>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</si>
  <si>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</si>
  <si>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</si>
  <si>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</si>
  <si>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</si>
  <si>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</si>
  <si>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</si>
  <si>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</si>
  <si>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</si>
  <si>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</si>
  <si>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</si>
  <si>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</si>
  <si>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</si>
  <si>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</si>
  <si>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</si>
  <si>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</si>
  <si>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</si>
  <si>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</si>
  <si>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</si>
  <si>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</si>
  <si>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</si>
  <si>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</si>
  <si>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</si>
  <si>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</si>
  <si>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</si>
  <si>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</si>
  <si>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</si>
  <si>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</si>
  <si>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</si>
  <si>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</si>
  <si>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</si>
  <si>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</si>
  <si>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</si>
  <si>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</si>
  <si>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</si>
  <si>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</si>
  <si>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</si>
  <si>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</si>
  <si>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</si>
  <si>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</si>
  <si>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</si>
  <si>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</si>
  <si>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</si>
  <si>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</si>
  <si>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</si>
  <si>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</si>
  <si>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</si>
  <si>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</si>
  <si>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</si>
  <si>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</si>
  <si>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</si>
  <si>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</si>
  <si>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</si>
  <si>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</si>
  <si>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</si>
  <si>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</si>
  <si>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</si>
  <si>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</si>
  <si>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</si>
  <si>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</si>
  <si>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</si>
  <si>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</si>
  <si>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</si>
  <si>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</si>
  <si>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</si>
  <si>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</si>
  <si>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</si>
  <si>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</si>
  <si>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</si>
  <si>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</si>
  <si>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</si>
  <si>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</si>
  <si>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</si>
  <si>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</si>
  <si>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</si>
  <si>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</si>
  <si>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</si>
  <si>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</si>
  <si>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</si>
  <si>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</si>
  <si>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</si>
  <si>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</si>
  <si>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</si>
  <si>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</si>
  <si>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</si>
  <si>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</si>
  <si>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</si>
  <si>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</si>
  <si>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</si>
  <si>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</si>
  <si>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</si>
  <si>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</si>
  <si>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</si>
  <si>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</si>
  <si>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</si>
  <si>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</si>
  <si>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</si>
  <si>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</si>
  <si>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</si>
  <si>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</si>
  <si>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</si>
  <si>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</si>
  <si>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</si>
  <si>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</si>
  <si>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</si>
  <si>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</si>
  <si>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</si>
  <si>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</si>
  <si>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</si>
  <si>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</si>
  <si>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</si>
  <si>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</si>
  <si>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</si>
  <si>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</si>
  <si>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</si>
  <si>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</si>
  <si>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</si>
  <si>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</si>
  <si>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</si>
  <si>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</si>
  <si>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</si>
  <si>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</si>
  <si>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</si>
  <si>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</si>
  <si>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</si>
  <si>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</si>
  <si>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</si>
  <si>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</si>
  <si>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</si>
  <si>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</si>
  <si>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</si>
  <si>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</si>
  <si>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</si>
  <si>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</si>
  <si>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</si>
  <si>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</si>
  <si>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</si>
  <si>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</si>
  <si>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</si>
  <si>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</si>
  <si>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</si>
  <si>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</si>
  <si>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</si>
  <si>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</si>
  <si>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</si>
  <si>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</si>
  <si>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</si>
  <si>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</si>
  <si>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</si>
  <si>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</si>
  <si>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</si>
  <si>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</si>
  <si>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</si>
  <si>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</si>
  <si>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</si>
  <si>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</si>
  <si>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</si>
  <si>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</si>
  <si>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</si>
  <si>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</si>
  <si>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</si>
  <si>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</si>
  <si>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</si>
  <si>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</si>
  <si>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</si>
  <si>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</si>
  <si>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</si>
  <si>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</si>
  <si>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</si>
  <si>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</si>
  <si>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</si>
  <si>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</si>
  <si>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</si>
  <si>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</si>
  <si>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</si>
  <si>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</si>
  <si>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</si>
  <si>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</si>
  <si>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</si>
  <si>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</si>
  <si>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</si>
  <si>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</si>
  <si>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</si>
  <si>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</si>
  <si>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</si>
  <si>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</si>
  <si>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</si>
  <si>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</si>
  <si>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</si>
  <si>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</si>
  <si>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</si>
  <si>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</si>
  <si>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</si>
  <si>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</si>
  <si>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</si>
  <si>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</si>
  <si>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</si>
  <si>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</si>
  <si>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</si>
  <si>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</si>
  <si>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</si>
  <si>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</si>
  <si>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</si>
  <si>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</si>
  <si>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</si>
  <si>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</si>
  <si>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</si>
  <si>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</si>
  <si>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</si>
  <si>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</si>
  <si>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</si>
  <si>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</si>
  <si>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</si>
  <si>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</si>
  <si>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</si>
  <si>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</si>
  <si>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</si>
  <si>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</si>
  <si>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</si>
  <si>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</si>
  <si>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</si>
  <si>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</si>
  <si>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</si>
  <si>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</si>
  <si>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</si>
  <si>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</si>
  <si>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</si>
  <si>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</si>
  <si>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</si>
  <si>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</si>
  <si>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</si>
  <si>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</si>
  <si>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</si>
  <si>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</si>
  <si>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</si>
  <si>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</si>
  <si>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</si>
  <si>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</si>
  <si>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</si>
  <si>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</si>
  <si>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</si>
  <si>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</si>
  <si>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</si>
  <si>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</si>
  <si>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</si>
  <si>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</si>
  <si>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</si>
  <si>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</si>
  <si>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</si>
  <si>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</si>
  <si>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</si>
  <si>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</si>
  <si>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</si>
  <si>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</si>
  <si>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</si>
  <si>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</si>
  <si>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</si>
  <si>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</si>
  <si>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</si>
  <si>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</si>
  <si>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</si>
  <si>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</si>
  <si>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</si>
  <si>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</si>
  <si>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</si>
  <si>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</si>
  <si>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</si>
  <si>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</si>
  <si>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</si>
  <si>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</si>
  <si>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</si>
  <si>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</si>
  <si>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</si>
  <si>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</si>
  <si>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</si>
  <si>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</si>
  <si>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</si>
  <si>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</si>
  <si>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</si>
  <si>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</si>
  <si>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</si>
  <si>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</si>
  <si>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</si>
  <si>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</si>
  <si>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</si>
  <si>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</si>
  <si>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</si>
  <si>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</si>
  <si>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</si>
  <si>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</si>
  <si>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</si>
  <si>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</si>
  <si>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</si>
  <si>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</si>
  <si>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</si>
  <si>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</si>
  <si>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</si>
  <si>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</si>
  <si>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</si>
  <si>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</si>
  <si>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</si>
  <si>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</si>
  <si>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</si>
  <si>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</si>
  <si>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</si>
  <si>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</si>
  <si>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</si>
  <si>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</si>
  <si>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</si>
  <si>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</si>
  <si>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</si>
  <si>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</si>
  <si>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</si>
  <si>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</si>
  <si>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</si>
  <si>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</si>
  <si>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</si>
  <si>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</si>
  <si>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</si>
  <si>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</si>
  <si>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</si>
  <si>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</si>
  <si>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</si>
  <si>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</si>
  <si>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</si>
  <si>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</si>
  <si>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</si>
  <si>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</si>
  <si>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</si>
  <si>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</si>
  <si>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</si>
  <si>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</si>
  <si>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</si>
  <si>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</si>
  <si>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</si>
  <si>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</si>
  <si>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</si>
  <si>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</si>
  <si>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</si>
  <si>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</si>
  <si>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</si>
  <si>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</si>
  <si>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</si>
  <si>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</si>
  <si>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</si>
  <si>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</si>
  <si>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</si>
  <si>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</si>
  <si>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</si>
  <si>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</si>
  <si>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</si>
  <si>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</si>
  <si>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</si>
  <si>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</si>
  <si>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</si>
  <si>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</si>
  <si>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</si>
  <si>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</si>
  <si>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</si>
  <si>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</si>
  <si>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</si>
  <si>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</si>
  <si>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</si>
  <si>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</si>
  <si>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</si>
  <si>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</si>
  <si>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</si>
  <si>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</si>
  <si>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</si>
  <si>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</si>
  <si>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</si>
  <si>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</si>
  <si>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</si>
  <si>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</si>
  <si>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</si>
  <si>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</si>
  <si>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</si>
  <si>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</si>
  <si>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</si>
  <si>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</si>
  <si>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</si>
  <si>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</si>
  <si>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</si>
  <si>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</si>
  <si>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</si>
  <si>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</si>
  <si>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</si>
  <si>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</si>
  <si>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</si>
  <si>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</si>
  <si>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</si>
  <si>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</si>
  <si>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</si>
  <si>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</si>
  <si>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</si>
  <si>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</si>
  <si>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</si>
  <si>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</si>
  <si>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</si>
  <si>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</si>
  <si>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</si>
  <si>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</si>
  <si>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</si>
  <si>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</si>
  <si>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</si>
  <si>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</si>
  <si>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</si>
  <si>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</si>
  <si>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</si>
  <si>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</si>
  <si>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</si>
  <si>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</si>
  <si>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</si>
  <si>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</si>
  <si>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</si>
  <si>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</si>
  <si>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</si>
  <si>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</si>
  <si>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</si>
  <si>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</si>
  <si>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</si>
  <si>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</si>
  <si>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</si>
  <si>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</si>
  <si>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</si>
  <si>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</si>
  <si>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</si>
  <si>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</si>
  <si>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</si>
  <si>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</si>
  <si>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</si>
  <si>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</si>
  <si>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</si>
  <si>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</si>
  <si>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</si>
  <si>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</si>
  <si>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</si>
  <si>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</si>
  <si>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</si>
  <si>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</si>
  <si>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</si>
  <si>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</si>
  <si>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</si>
  <si>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</si>
  <si>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</si>
  <si>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</si>
  <si>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</si>
  <si>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</si>
  <si>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</si>
  <si>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</si>
  <si>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</si>
  <si>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</si>
  <si>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</si>
  <si>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</si>
  <si>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</si>
  <si>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</si>
  <si>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</si>
  <si>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</si>
  <si>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</si>
  <si>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</si>
  <si>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</si>
  <si>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</si>
  <si>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</si>
  <si>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</si>
  <si>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</si>
  <si>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</si>
  <si>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</si>
  <si>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</si>
  <si>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</si>
  <si>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</si>
  <si>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</si>
  <si>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</si>
  <si>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</si>
  <si>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</si>
  <si>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</si>
  <si>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</si>
  <si>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</si>
  <si>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</si>
  <si>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</si>
  <si>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</si>
  <si>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</si>
  <si>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</si>
  <si>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</si>
  <si>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</si>
  <si>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</si>
  <si>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</si>
  <si>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</si>
  <si>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</si>
  <si>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</si>
  <si>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</si>
  <si>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</si>
  <si>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</si>
  <si>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</si>
  <si>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</si>
  <si>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</si>
  <si>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</si>
  <si>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</si>
  <si>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</si>
  <si>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</si>
  <si>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</si>
  <si>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</si>
  <si>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</si>
  <si>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</si>
  <si>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</si>
  <si>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</si>
  <si>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</si>
  <si>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</si>
  <si>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</si>
  <si>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</si>
  <si>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</si>
  <si>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</si>
  <si>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</si>
  <si>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</si>
  <si>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</si>
  <si>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</si>
  <si>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</si>
  <si>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</si>
  <si>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</si>
  <si>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</si>
  <si>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</si>
  <si>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</si>
  <si>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</si>
  <si>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</si>
  <si>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</si>
  <si>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</si>
  <si>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</si>
  <si>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</si>
  <si>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</si>
  <si>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</si>
  <si>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</si>
  <si>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</si>
  <si>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</si>
  <si>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</si>
  <si>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</si>
  <si>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</si>
  <si>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</si>
  <si>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</si>
  <si>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</si>
  <si>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</si>
  <si>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</si>
  <si>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</si>
  <si>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</si>
  <si>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</si>
  <si>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</si>
  <si>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</si>
  <si>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</si>
  <si>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</si>
  <si>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</si>
  <si>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</si>
  <si>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</si>
  <si>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</si>
  <si>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</si>
  <si>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</si>
  <si>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</si>
  <si>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</si>
  <si>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</si>
  <si>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</si>
  <si>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</si>
  <si>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</si>
  <si>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</si>
  <si>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</si>
  <si>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</si>
  <si>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</si>
  <si>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</si>
  <si>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</si>
  <si>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</si>
  <si>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</si>
  <si>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</si>
  <si>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</si>
  <si>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</si>
  <si>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</si>
  <si>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</si>
  <si>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</si>
  <si>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</si>
  <si>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</si>
  <si>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</si>
  <si>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</si>
  <si>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</si>
  <si>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</si>
  <si>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</si>
  <si>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</si>
  <si>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</si>
  <si>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</si>
  <si>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</si>
  <si>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</si>
  <si>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</si>
  <si>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</si>
  <si>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</si>
  <si>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</si>
  <si>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</si>
  <si>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</si>
  <si>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</si>
  <si>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</si>
  <si>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</si>
  <si>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</si>
  <si>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</si>
  <si>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</si>
  <si>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</si>
  <si>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</si>
  <si>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</si>
  <si>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</si>
  <si>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</si>
  <si>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</si>
  <si>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</si>
  <si>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</si>
  <si>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</si>
  <si>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</si>
  <si>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</si>
  <si>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</si>
  <si>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</si>
  <si>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</si>
  <si>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</si>
  <si>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</si>
  <si>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</si>
  <si>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</si>
  <si>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</si>
  <si>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</si>
  <si>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</si>
  <si>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</si>
  <si>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</si>
  <si>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</si>
  <si>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</si>
  <si>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</si>
  <si>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</si>
  <si>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</si>
  <si>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</si>
  <si>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</si>
  <si>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</si>
  <si>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</si>
  <si>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</si>
  <si>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</si>
  <si>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</si>
  <si>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</si>
  <si>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</si>
  <si>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</si>
  <si>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</si>
  <si>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</si>
  <si>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</si>
  <si>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</si>
  <si>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</si>
  <si>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</si>
  <si>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</si>
  <si>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</si>
  <si>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</si>
  <si>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</si>
  <si>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</si>
  <si>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</si>
  <si>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</si>
  <si>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</si>
  <si>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</si>
  <si>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</si>
  <si>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</si>
  <si>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</si>
  <si>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</si>
  <si>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</si>
  <si>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</si>
  <si>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</si>
  <si>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</si>
  <si>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</si>
  <si>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</si>
  <si>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</si>
  <si>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</si>
  <si>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</si>
  <si>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</si>
  <si>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</si>
  <si>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</si>
  <si>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</si>
  <si>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</si>
  <si>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</si>
  <si>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</si>
  <si>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</si>
  <si>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</si>
  <si>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</si>
  <si>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</si>
  <si>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</si>
  <si>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</si>
  <si>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</si>
  <si>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</si>
  <si>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</si>
  <si>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</si>
  <si>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</si>
  <si>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</si>
  <si>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</si>
  <si>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</si>
  <si>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</si>
  <si>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</si>
  <si>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</si>
  <si>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</si>
  <si>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</si>
  <si>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</si>
  <si>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</si>
  <si>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</si>
  <si>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</si>
  <si>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</si>
  <si>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</si>
  <si>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</si>
  <si>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</si>
  <si>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</si>
  <si>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</si>
  <si>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</si>
  <si>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</si>
  <si>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</si>
  <si>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</si>
  <si>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</si>
  <si>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</si>
  <si>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</si>
  <si>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</si>
  <si>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</si>
  <si>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</si>
  <si>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</si>
  <si>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</si>
  <si>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</si>
  <si>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</si>
  <si>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</si>
  <si>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</si>
  <si>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</si>
  <si>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</si>
  <si>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</si>
  <si>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</si>
  <si>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</si>
  <si>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</si>
  <si>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</si>
  <si>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</si>
  <si>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</si>
  <si>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</si>
  <si>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</si>
  <si>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</si>
  <si>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</si>
  <si>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</si>
  <si>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</si>
  <si>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</si>
  <si>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</si>
  <si>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</si>
  <si>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</si>
  <si>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</si>
  <si>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</si>
  <si>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</si>
  <si>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</si>
  <si>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</si>
  <si>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</si>
  <si>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</si>
  <si>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</si>
  <si>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</si>
  <si>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</si>
  <si>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</si>
  <si>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</si>
  <si>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</si>
  <si>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</si>
  <si>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</si>
  <si>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</si>
  <si>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</si>
  <si>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</si>
  <si>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</si>
  <si>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</si>
  <si>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</si>
  <si>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</si>
  <si>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</si>
  <si>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</si>
  <si>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</si>
  <si>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</si>
  <si>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</si>
  <si>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</si>
  <si>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</si>
  <si>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</si>
  <si>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</si>
  <si>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</si>
  <si>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</si>
  <si>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</si>
  <si>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</si>
  <si>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</si>
  <si>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</si>
  <si>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</si>
  <si>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</si>
  <si>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</si>
  <si>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</si>
  <si>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</si>
  <si>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</si>
  <si>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</si>
  <si>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</si>
  <si>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</si>
  <si>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</si>
  <si>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</si>
  <si>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</si>
  <si>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</si>
  <si>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</si>
  <si>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</si>
  <si>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</si>
  <si>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</si>
  <si>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</si>
  <si>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</si>
  <si>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</si>
  <si>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</si>
  <si>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</si>
  <si>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</si>
  <si>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</si>
  <si>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</si>
  <si>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</si>
  <si>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</si>
  <si>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</si>
  <si>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</si>
  <si>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</si>
  <si>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</si>
  <si>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</si>
  <si>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</si>
  <si>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</si>
  <si>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</si>
  <si>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</si>
  <si>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</si>
  <si>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</si>
  <si>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</si>
  <si>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</si>
  <si>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</si>
  <si>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</si>
  <si>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</si>
  <si>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</si>
  <si>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</si>
  <si>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</si>
  <si>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</si>
  <si>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</si>
  <si>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</si>
  <si>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</si>
  <si>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</si>
  <si>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</si>
  <si>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</si>
  <si>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</si>
  <si>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</si>
  <si>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</si>
  <si>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</si>
  <si>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</si>
  <si>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</si>
  <si>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</si>
  <si>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</si>
  <si>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</si>
  <si>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</si>
  <si>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</si>
  <si>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</si>
  <si>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</si>
  <si>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</si>
  <si>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</si>
  <si>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</si>
  <si>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</si>
  <si>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</si>
  <si>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</si>
  <si>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</si>
  <si>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</si>
  <si>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</si>
  <si>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</si>
  <si>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</si>
  <si>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</si>
  <si>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</si>
  <si>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</si>
  <si>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</si>
  <si>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</si>
  <si>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</si>
  <si>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</si>
  <si>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</si>
  <si>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</si>
  <si>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</si>
  <si>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</si>
  <si>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</si>
  <si>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</si>
  <si>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</si>
  <si>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</si>
  <si>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</si>
  <si>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</si>
  <si>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</si>
  <si>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</si>
  <si>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</si>
  <si>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</si>
  <si>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</si>
  <si>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</si>
  <si>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</si>
  <si>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</si>
  <si>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</si>
  <si>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</si>
  <si>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</si>
  <si>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</si>
  <si>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</si>
  <si>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</si>
  <si>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</si>
  <si>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</si>
  <si>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</si>
  <si>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</si>
  <si>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</si>
  <si>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</si>
  <si>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</si>
  <si>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</si>
  <si>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</si>
  <si>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</si>
  <si>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</si>
  <si>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</si>
  <si>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</si>
  <si>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</si>
  <si>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</si>
  <si>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</si>
  <si>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</si>
  <si>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</si>
  <si>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</si>
  <si>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</si>
  <si>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</si>
  <si>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</si>
  <si>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</si>
  <si>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</si>
  <si>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</si>
  <si>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</si>
  <si>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</si>
  <si>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</si>
  <si>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</si>
  <si>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</si>
  <si>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</si>
  <si>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</si>
  <si>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</si>
  <si>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</si>
  <si>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</si>
  <si>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</si>
  <si>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</si>
  <si>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</si>
  <si>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</si>
  <si>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</si>
  <si>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</si>
  <si>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</si>
  <si>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</si>
  <si>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</si>
  <si>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</si>
  <si>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</si>
  <si>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</si>
  <si>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</si>
  <si>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</si>
  <si>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</si>
  <si>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</si>
  <si>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</si>
  <si>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</si>
  <si>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</si>
  <si>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</si>
  <si>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</si>
  <si>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</si>
  <si>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</si>
  <si>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</si>
  <si>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</si>
  <si>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</si>
  <si>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</si>
  <si>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</si>
  <si>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</si>
  <si>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</si>
  <si>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</si>
  <si>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</si>
  <si>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</si>
  <si>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</si>
  <si>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</si>
  <si>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</si>
  <si>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</si>
  <si>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</si>
  <si>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</si>
  <si>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</si>
  <si>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</si>
  <si>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</si>
  <si>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</si>
  <si>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</si>
  <si>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</si>
  <si>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</si>
  <si>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</si>
  <si>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</si>
  <si>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</si>
  <si>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</si>
  <si>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</si>
  <si>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</si>
  <si>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</si>
  <si>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</si>
  <si>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</si>
  <si>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</si>
  <si>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</si>
  <si>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</si>
  <si>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</si>
  <si>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</si>
  <si>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</si>
  <si>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</si>
  <si>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</si>
  <si>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</si>
  <si>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</si>
  <si>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</si>
  <si>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</si>
  <si>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</si>
  <si>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</si>
  <si>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</si>
  <si>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</si>
  <si>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</si>
  <si>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</si>
  <si>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</si>
  <si>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</si>
  <si>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</si>
  <si>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</si>
  <si>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</si>
  <si>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</si>
  <si>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</si>
  <si>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</si>
  <si>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</si>
  <si>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</si>
  <si>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</si>
  <si>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</si>
  <si>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</si>
  <si>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</si>
  <si>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</si>
  <si>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</si>
  <si>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</si>
  <si>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</si>
  <si>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</si>
  <si>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</si>
  <si>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</si>
  <si>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</si>
  <si>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</si>
  <si>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</si>
  <si>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</si>
  <si>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</si>
  <si>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</si>
  <si>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</si>
  <si>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</si>
  <si>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</si>
  <si>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</si>
  <si>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</si>
  <si>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</si>
  <si>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</si>
  <si>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</si>
  <si>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</si>
  <si>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</si>
  <si>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</si>
  <si>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</si>
  <si>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</si>
  <si>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</si>
  <si>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</si>
  <si>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</si>
  <si>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</si>
  <si>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</si>
  <si>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</si>
  <si>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</si>
  <si>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</si>
  <si>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</si>
  <si>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</si>
  <si>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</si>
  <si>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</si>
  <si>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</si>
  <si>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</si>
  <si>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</si>
  <si>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</si>
  <si>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</si>
  <si>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</si>
  <si>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</si>
  <si>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</si>
  <si>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</si>
  <si>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</si>
  <si>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</si>
  <si>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</si>
  <si>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</si>
  <si>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</si>
  <si>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</si>
  <si>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</si>
  <si>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</si>
  <si>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</si>
  <si>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</si>
  <si>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</si>
  <si>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</si>
  <si>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</si>
  <si>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</si>
  <si>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</si>
  <si>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</si>
  <si>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</si>
  <si>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</si>
  <si>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</si>
  <si>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</si>
  <si>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</si>
  <si>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</si>
  <si>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</si>
  <si>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</si>
  <si>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</si>
  <si>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</si>
  <si>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</si>
  <si>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</si>
  <si>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</si>
  <si>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</si>
  <si>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</si>
  <si>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</si>
  <si>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</si>
  <si>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</si>
  <si>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</si>
  <si>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</si>
  <si>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</si>
  <si>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</si>
  <si>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</si>
  <si>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</si>
  <si>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</si>
  <si>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</si>
  <si>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</si>
  <si>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</si>
  <si>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</si>
  <si>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</si>
  <si>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</si>
  <si>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</si>
  <si>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</si>
  <si>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</si>
  <si>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</si>
  <si>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</si>
  <si>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</si>
  <si>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</si>
  <si>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</si>
  <si>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</si>
  <si>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</si>
  <si>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</si>
  <si>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</si>
  <si>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</si>
  <si>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</si>
  <si>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</si>
  <si>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</si>
  <si>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</si>
  <si>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</si>
  <si>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</si>
  <si>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</si>
  <si>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</si>
  <si>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</si>
  <si>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</si>
  <si>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</si>
  <si>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</si>
  <si>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</si>
  <si>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</si>
  <si>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</si>
  <si>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</si>
  <si>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</si>
  <si>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</si>
  <si>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</si>
  <si>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</si>
  <si>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</si>
  <si>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</si>
  <si>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</si>
  <si>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</si>
  <si>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</si>
  <si>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</si>
  <si>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</si>
  <si>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</si>
  <si>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</si>
  <si>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</si>
  <si>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</si>
  <si>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</si>
  <si>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</si>
  <si>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</si>
  <si>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</si>
  <si>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</si>
  <si>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</si>
  <si>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</si>
  <si>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</si>
  <si>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</si>
  <si>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</si>
  <si>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</si>
  <si>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</si>
  <si>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</si>
  <si>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</si>
  <si>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</si>
  <si>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</si>
  <si>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</si>
  <si>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</si>
  <si>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</si>
  <si>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</si>
  <si>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</si>
  <si>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</si>
  <si>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</si>
  <si>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</si>
  <si>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</si>
  <si>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</si>
  <si>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</si>
  <si>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</si>
  <si>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</si>
  <si>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</si>
  <si>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</si>
  <si>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</si>
  <si>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</si>
  <si>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</si>
  <si>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</si>
  <si>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</si>
  <si>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</si>
  <si>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</si>
  <si>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</si>
  <si>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</si>
  <si>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</si>
  <si>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</si>
  <si>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</si>
  <si>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</si>
  <si>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</si>
  <si>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</si>
  <si>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</si>
  <si>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</si>
  <si>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</si>
  <si>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</si>
  <si>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</si>
  <si>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</si>
  <si>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</si>
  <si>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</si>
  <si>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</si>
  <si>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</si>
  <si>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</si>
  <si>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</si>
  <si>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</si>
  <si>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</si>
  <si>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</si>
  <si>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</si>
  <si>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</si>
  <si>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</si>
  <si>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</si>
  <si>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</si>
  <si>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</si>
  <si>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</si>
  <si>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</si>
  <si>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</si>
  <si>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</si>
  <si>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</si>
  <si>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</si>
  <si>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</si>
  <si>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</si>
  <si>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</si>
  <si>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</si>
  <si>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</si>
  <si>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</si>
  <si>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</si>
  <si>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</si>
  <si>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</si>
  <si>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</si>
  <si>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</si>
  <si>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</si>
  <si>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</si>
  <si>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</si>
  <si>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</si>
  <si>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</si>
  <si>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</si>
  <si>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</si>
  <si>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</si>
  <si>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</si>
  <si>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</si>
  <si>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</si>
  <si>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</si>
  <si>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</si>
  <si>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</si>
  <si>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</si>
  <si>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</si>
  <si>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</si>
  <si>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</si>
  <si>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</si>
  <si>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</si>
  <si>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</si>
  <si>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</si>
  <si>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</si>
  <si>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</si>
  <si>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</si>
  <si>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</si>
  <si>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</si>
  <si>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</si>
  <si>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</si>
  <si>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</si>
  <si>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</si>
  <si>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</si>
  <si>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</si>
  <si>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</si>
  <si>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</si>
  <si>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</si>
  <si>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</si>
  <si>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</si>
  <si>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</si>
  <si>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</si>
  <si>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</si>
  <si>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</si>
  <si>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</si>
  <si>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</si>
  <si>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</si>
  <si>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</si>
  <si>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</si>
  <si>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</si>
  <si>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</si>
  <si>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</si>
  <si>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</si>
  <si>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</si>
  <si>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</si>
  <si>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</si>
  <si>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</si>
  <si>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</si>
  <si>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</si>
  <si>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</si>
  <si>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</si>
  <si>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</si>
  <si>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</si>
  <si>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</si>
  <si>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</si>
  <si>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</si>
  <si>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</si>
  <si>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</si>
  <si>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</si>
  <si>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</si>
  <si>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</si>
  <si>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</si>
  <si>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</si>
  <si>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</si>
  <si>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</si>
  <si>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</si>
  <si>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</si>
  <si>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</si>
  <si>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</si>
  <si>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</si>
  <si>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</si>
  <si>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</si>
  <si>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</si>
  <si>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</si>
  <si>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</si>
  <si>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</si>
  <si>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</si>
  <si>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</si>
  <si>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</si>
  <si>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</si>
  <si>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</si>
  <si>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</si>
  <si>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</si>
  <si>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</si>
  <si>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</si>
  <si>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</si>
  <si>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</si>
  <si>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</si>
  <si>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</si>
  <si>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</si>
  <si>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</si>
  <si>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</si>
  <si>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</si>
  <si>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</si>
  <si>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</si>
  <si>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</si>
  <si>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</si>
  <si>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</si>
  <si>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</si>
  <si>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</si>
  <si>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</si>
  <si>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</si>
  <si>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</si>
  <si>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</si>
  <si>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</si>
  <si>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</si>
  <si>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</si>
  <si>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</si>
  <si>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</si>
  <si>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</si>
  <si>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</si>
  <si>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</si>
  <si>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</si>
  <si>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</si>
  <si>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</si>
  <si>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</si>
  <si>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</si>
  <si>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</si>
  <si>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</si>
  <si>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</si>
  <si>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</si>
  <si>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</si>
  <si>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</si>
  <si>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</si>
  <si>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</si>
  <si>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</si>
  <si>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</si>
  <si>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</si>
  <si>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</si>
  <si>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</si>
  <si>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</si>
  <si>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</si>
  <si>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</si>
  <si>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</si>
  <si>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</si>
  <si>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</si>
  <si>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</si>
  <si>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</si>
  <si>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</si>
  <si>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</si>
  <si>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</si>
  <si>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</si>
  <si>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</si>
  <si>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</si>
  <si>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</si>
  <si>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</si>
  <si>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</si>
  <si>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</si>
  <si>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</si>
  <si>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</si>
  <si>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</si>
  <si>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</si>
  <si>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</si>
  <si>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</si>
  <si>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</si>
  <si>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</si>
  <si>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</si>
  <si>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</si>
  <si>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</si>
  <si>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</si>
  <si>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</si>
  <si>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</si>
  <si>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</si>
  <si>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</si>
  <si>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</si>
  <si>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</si>
  <si>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</si>
  <si>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</si>
  <si>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</si>
  <si>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</si>
  <si>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</si>
  <si>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</si>
  <si>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</si>
  <si>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</si>
  <si>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</si>
  <si>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</si>
  <si>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</si>
  <si>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</si>
  <si>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</si>
  <si>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</si>
  <si>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</si>
  <si>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</si>
  <si>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</si>
  <si>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</si>
  <si>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</si>
  <si>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</si>
  <si>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</si>
  <si>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</si>
  <si>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</si>
  <si>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</si>
  <si>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</si>
  <si>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</si>
  <si>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</si>
  <si>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</si>
  <si>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</si>
  <si>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</si>
  <si>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</si>
  <si>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</si>
  <si>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</si>
  <si>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</si>
  <si>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</si>
  <si>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</si>
  <si>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</si>
  <si>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</si>
  <si>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</si>
  <si>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</si>
  <si>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</si>
  <si>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</si>
  <si>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</si>
  <si>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</si>
  <si>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</si>
  <si>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</si>
  <si>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</si>
  <si>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</si>
  <si>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</si>
  <si>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</si>
  <si>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</si>
  <si>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</si>
  <si>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</si>
  <si>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</si>
  <si>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</si>
  <si>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</si>
  <si>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</si>
  <si>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</si>
  <si>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</si>
  <si>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</si>
  <si>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</si>
  <si>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</si>
  <si>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</si>
  <si>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</si>
  <si>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</si>
  <si>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</si>
  <si>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</si>
  <si>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</si>
  <si>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</si>
  <si>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</si>
  <si>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</si>
  <si>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</si>
  <si>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</si>
  <si>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</si>
  <si>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</si>
  <si>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</si>
  <si>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</si>
  <si>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</si>
  <si>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</si>
  <si>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</si>
  <si>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</si>
  <si>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</si>
  <si>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</si>
  <si>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</si>
  <si>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</si>
  <si>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</si>
  <si>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</si>
  <si>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</si>
  <si>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</si>
  <si>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</si>
  <si>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</si>
  <si>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</si>
  <si>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</si>
  <si>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</si>
  <si>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</si>
  <si>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</si>
  <si>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</si>
  <si>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</si>
  <si>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</si>
  <si>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</si>
  <si>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</si>
  <si>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</si>
  <si>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</si>
  <si>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</si>
  <si>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</si>
  <si>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</si>
  <si>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</si>
  <si>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</si>
  <si>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</si>
  <si>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</si>
  <si>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</si>
  <si>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</si>
  <si>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</si>
  <si>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</si>
  <si>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</si>
  <si>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</si>
  <si>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</si>
  <si>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</si>
  <si>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</si>
  <si>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</si>
  <si>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</si>
  <si>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</si>
  <si>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</si>
  <si>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</si>
  <si>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</si>
  <si>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</si>
  <si>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</si>
  <si>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</si>
  <si>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</si>
  <si>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</si>
  <si>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</si>
  <si>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</si>
  <si>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</si>
  <si>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</si>
  <si>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</si>
  <si>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</si>
  <si>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</si>
  <si>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</si>
  <si>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</si>
  <si>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</si>
  <si>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</si>
  <si>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</si>
  <si>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</si>
  <si>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</si>
  <si>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</si>
  <si>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</si>
  <si>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</si>
  <si>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</si>
  <si>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</si>
  <si>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</si>
  <si>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</si>
  <si>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</si>
  <si>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</si>
  <si>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</si>
  <si>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</si>
  <si>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</si>
  <si>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</si>
  <si>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</si>
  <si>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</si>
  <si>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</si>
  <si>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</si>
  <si>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</si>
  <si>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</si>
  <si>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</si>
  <si>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</si>
  <si>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</si>
  <si>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</si>
  <si>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</si>
  <si>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</si>
  <si>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</si>
  <si>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</si>
  <si>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</si>
  <si>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</si>
  <si>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</si>
  <si>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</si>
  <si>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</si>
  <si>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</si>
  <si>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</si>
  <si>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</si>
  <si>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</si>
  <si>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</si>
  <si>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</si>
  <si>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</si>
  <si>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</si>
  <si>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</si>
  <si>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</si>
  <si>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</si>
  <si>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</si>
  <si>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</si>
  <si>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</si>
  <si>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</si>
  <si>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</si>
  <si>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</si>
  <si>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</si>
  <si>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</si>
  <si>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</si>
  <si>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</si>
  <si>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</si>
  <si>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</si>
  <si>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</si>
  <si>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</si>
  <si>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</si>
  <si>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</si>
  <si>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</si>
  <si>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</si>
  <si>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</si>
  <si>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</si>
  <si>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</si>
  <si>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</si>
  <si>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</si>
  <si>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</si>
  <si>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</si>
  <si>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</si>
  <si>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</si>
  <si>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</si>
  <si>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</si>
  <si>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</si>
  <si>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</si>
  <si>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</si>
  <si>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</si>
  <si>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</si>
  <si>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</si>
  <si>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</si>
  <si>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</si>
  <si>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</si>
  <si>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</si>
  <si>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</si>
  <si>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</si>
  <si>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</si>
  <si>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</si>
  <si>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</si>
  <si>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</si>
  <si>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</si>
  <si>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</si>
  <si>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</si>
  <si>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</si>
  <si>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</si>
  <si>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</si>
  <si>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</si>
  <si>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</si>
  <si>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</si>
  <si>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</si>
  <si>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</si>
  <si>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</si>
  <si>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</si>
  <si>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</si>
  <si>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</si>
  <si>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</si>
  <si>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</si>
  <si>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</si>
  <si>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</si>
  <si>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</si>
  <si>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</si>
  <si>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</si>
  <si>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</si>
  <si>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</si>
  <si>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</si>
  <si>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</si>
  <si>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</si>
  <si>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</si>
  <si>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</si>
  <si>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</si>
  <si>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</si>
  <si>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</si>
  <si>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</si>
  <si>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</si>
  <si>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</si>
  <si>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</si>
  <si>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</si>
  <si>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</si>
  <si>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</si>
  <si>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</si>
  <si>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</si>
  <si>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</si>
  <si>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</si>
  <si>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</si>
  <si>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</si>
  <si>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</si>
  <si>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</si>
  <si>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</si>
  <si>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</si>
  <si>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</si>
  <si>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</si>
  <si>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</si>
  <si>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</si>
  <si>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</si>
  <si>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</si>
  <si>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</si>
  <si>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</si>
  <si>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</si>
  <si>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</si>
  <si>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</si>
  <si>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</si>
  <si>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</si>
  <si>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</si>
  <si>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</si>
  <si>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</si>
  <si>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</si>
  <si>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</si>
  <si>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</si>
  <si>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</si>
  <si>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</si>
  <si>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</si>
  <si>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</si>
  <si>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</si>
  <si>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</si>
  <si>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</si>
  <si>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</si>
  <si>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</si>
  <si>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</si>
  <si>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</si>
  <si>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</si>
  <si>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</si>
  <si>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</si>
  <si>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</si>
  <si>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</si>
  <si>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</si>
  <si>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</si>
  <si>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</si>
  <si>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</si>
  <si>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</si>
  <si>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</si>
  <si>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</si>
  <si>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</si>
  <si>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</si>
  <si>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</si>
  <si>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</si>
  <si>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</si>
  <si>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</si>
  <si>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</si>
  <si>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</si>
  <si>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</si>
  <si>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</si>
  <si>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</si>
  <si>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</si>
  <si>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</si>
  <si>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</si>
  <si>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</si>
  <si>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</si>
  <si>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</si>
  <si>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</si>
  <si>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</si>
  <si>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</si>
  <si>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</si>
  <si>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</si>
  <si>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</si>
  <si>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</si>
  <si>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</si>
  <si>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</si>
  <si>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</si>
  <si>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</si>
  <si>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</si>
  <si>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</si>
  <si>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</si>
  <si>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</si>
  <si>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</si>
  <si>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</si>
  <si>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</si>
  <si>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</si>
  <si>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</si>
  <si>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</si>
  <si>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</si>
  <si>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</si>
  <si>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</si>
  <si>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</si>
  <si>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</si>
  <si>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</si>
  <si>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</si>
  <si>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</si>
  <si>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</si>
  <si>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</si>
  <si>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</si>
  <si>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</si>
  <si>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</si>
  <si>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</si>
  <si>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</si>
  <si>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</si>
  <si>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</si>
  <si>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</si>
  <si>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</si>
  <si>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</si>
  <si>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</si>
  <si>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</si>
  <si>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</si>
  <si>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</si>
  <si>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</si>
  <si>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</si>
  <si>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</si>
  <si>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</si>
  <si>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</si>
  <si>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</si>
  <si>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</si>
  <si>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</si>
  <si>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</si>
  <si>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</si>
  <si>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</si>
  <si>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</si>
  <si>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</si>
  <si>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</si>
  <si>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</si>
  <si>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</si>
  <si>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</si>
  <si>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</si>
  <si>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</si>
  <si>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</si>
  <si>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</si>
  <si>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</si>
  <si>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</si>
  <si>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</si>
  <si>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</si>
  <si>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</si>
  <si>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</si>
  <si>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</si>
  <si>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</si>
  <si>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</si>
  <si>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</si>
  <si>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</si>
  <si>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</si>
  <si>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</si>
  <si>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</si>
  <si>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</si>
  <si>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</si>
  <si>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</si>
  <si>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</si>
  <si>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</si>
  <si>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</si>
  <si>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</si>
  <si>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</si>
  <si>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</si>
  <si>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</si>
  <si>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</si>
  <si>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</si>
  <si>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</si>
  <si>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</si>
  <si>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</si>
  <si>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</si>
  <si>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</si>
  <si>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</si>
  <si>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</si>
  <si>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</si>
  <si>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</si>
  <si>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</si>
  <si>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</si>
  <si>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</si>
  <si>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</si>
  <si>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</si>
  <si>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</si>
  <si>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</si>
  <si>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</si>
  <si>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</si>
  <si>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</si>
  <si>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</si>
  <si>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</si>
  <si>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</si>
  <si>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</si>
  <si>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</si>
  <si>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</si>
  <si>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</si>
  <si>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</si>
  <si>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</si>
  <si>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</si>
  <si>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</si>
  <si>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</si>
  <si>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</si>
  <si>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</si>
  <si>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</si>
  <si>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</si>
  <si>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</si>
  <si>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</si>
  <si>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</si>
  <si>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</si>
  <si>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</si>
  <si>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</si>
  <si>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</si>
  <si>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</si>
  <si>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</si>
  <si>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</si>
  <si>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</si>
  <si>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</si>
  <si>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</si>
  <si>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</si>
  <si>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</si>
  <si>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</si>
  <si>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</si>
  <si>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</si>
  <si>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</si>
  <si>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</si>
  <si>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</si>
  <si>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</si>
  <si>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</si>
  <si>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</si>
  <si>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</si>
  <si>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</si>
  <si>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</si>
  <si>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</si>
  <si>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</si>
  <si>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</si>
  <si>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</si>
  <si>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</si>
  <si>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</si>
  <si>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</si>
  <si>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</si>
  <si>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</si>
  <si>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</si>
  <si>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</si>
  <si>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</si>
  <si>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</si>
  <si>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</si>
  <si>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</si>
  <si>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</si>
  <si>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</si>
  <si>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</si>
  <si>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</si>
  <si>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</si>
  <si>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</si>
  <si>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</si>
  <si>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</si>
  <si>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</si>
  <si>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</si>
  <si>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</si>
  <si>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</si>
  <si>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</si>
  <si>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</si>
  <si>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</si>
  <si>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</si>
  <si>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</si>
  <si>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</si>
  <si>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</si>
  <si>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</si>
  <si>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</si>
  <si>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</si>
  <si>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</si>
  <si>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</si>
  <si>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</si>
  <si>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</si>
  <si>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</si>
  <si>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</si>
  <si>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</si>
  <si>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</si>
  <si>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</si>
  <si>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</si>
  <si>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</si>
  <si>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</si>
  <si>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</si>
  <si>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</si>
  <si>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</si>
  <si>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</si>
  <si>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</si>
  <si>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</si>
  <si>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</si>
  <si>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</si>
  <si>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</si>
  <si>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</si>
  <si>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</si>
  <si>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</si>
  <si>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</si>
  <si>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</si>
  <si>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</si>
  <si>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</si>
  <si>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</si>
  <si>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</si>
  <si>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</si>
  <si>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</si>
  <si>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</si>
  <si>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</si>
  <si>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</si>
  <si>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</si>
  <si>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</si>
  <si>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</si>
  <si>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</si>
  <si>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</si>
  <si>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</si>
  <si>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</si>
  <si>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</si>
  <si>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</si>
  <si>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</si>
  <si>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</si>
  <si>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</si>
  <si>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</si>
  <si>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</si>
  <si>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</si>
  <si>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</si>
  <si>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</si>
  <si>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</si>
  <si>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</si>
  <si>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</si>
  <si>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</si>
  <si>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</si>
  <si>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</si>
  <si>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</si>
  <si>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</si>
  <si>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</si>
  <si>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</si>
  <si>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</si>
  <si>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</si>
  <si>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</si>
  <si>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</si>
  <si>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</si>
  <si>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</si>
  <si>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</si>
  <si>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</si>
  <si>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</si>
  <si>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</si>
  <si>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</si>
  <si>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</si>
  <si>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</si>
  <si>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</si>
  <si>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</si>
  <si>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</si>
  <si>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</si>
  <si>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</si>
  <si>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</si>
  <si>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</si>
  <si>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</si>
  <si>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</si>
  <si>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</si>
  <si>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</si>
  <si>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</si>
  <si>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</si>
  <si>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</si>
  <si>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</si>
  <si>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</si>
  <si>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</si>
  <si>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</si>
  <si>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</si>
  <si>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</si>
  <si>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</si>
  <si>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</si>
  <si>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</si>
  <si>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</si>
  <si>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</si>
  <si>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</si>
  <si>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</si>
  <si>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房地产市场价值</t>
  </si>
  <si>
    <t>核定资产</t>
  </si>
  <si>
    <t>北京市</t>
  </si>
  <si>
    <t>企业</t>
  </si>
  <si>
    <t>出让</t>
  </si>
  <si>
    <t>是</t>
  </si>
  <si>
    <r>
      <t>B</t>
    </r>
    <r>
      <rPr>
        <sz val="11"/>
        <color theme="1"/>
        <rFont val="宋体"/>
        <family val="3"/>
        <charset val="134"/>
        <scheme val="minor"/>
      </rPr>
      <t>1</t>
    </r>
    <phoneticPr fontId="140" type="noConversion"/>
  </si>
  <si>
    <r>
      <t>B</t>
    </r>
    <r>
      <rPr>
        <sz val="11"/>
        <color theme="1"/>
        <rFont val="宋体"/>
        <family val="3"/>
        <charset val="134"/>
        <scheme val="minor"/>
      </rPr>
      <t>2</t>
    </r>
    <phoneticPr fontId="140" type="noConversion"/>
  </si>
  <si>
    <t>楼层</t>
    <phoneticPr fontId="140" type="noConversion"/>
  </si>
  <si>
    <t>面积</t>
    <phoneticPr fontId="140" type="noConversion"/>
  </si>
  <si>
    <t>商业</t>
    <phoneticPr fontId="140" type="noConversion"/>
  </si>
  <si>
    <t>仓储</t>
  </si>
  <si>
    <t>仓储</t>
    <phoneticPr fontId="140" type="noConversion"/>
  </si>
  <si>
    <t>B2层</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</si>
  <si>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</si>
  <si>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</si>
  <si>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</si>
  <si>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phoneticPr fontId="140" type="noConversion"/>
  </si>
  <si>
    <t>4层</t>
    <phoneticPr fontId="140" type="noConversion"/>
  </si>
  <si>
    <t>社区卫生服务站</t>
    <phoneticPr fontId="140" type="noConversion"/>
  </si>
  <si>
    <t>再生资源回收站</t>
    <phoneticPr fontId="140" type="noConversion"/>
  </si>
  <si>
    <t>设备</t>
    <phoneticPr fontId="140" type="noConversion"/>
  </si>
  <si>
    <t>地上</t>
  </si>
  <si>
    <t>地下</t>
  </si>
  <si>
    <t>商业</t>
    <phoneticPr fontId="7" type="noConversion"/>
  </si>
  <si>
    <t>成新度</t>
  </si>
  <si>
    <t>B1</t>
    <phoneticPr fontId="3" type="noConversion"/>
  </si>
  <si>
    <t>B2</t>
    <phoneticPr fontId="3" type="noConversion"/>
  </si>
  <si>
    <t>利息：取LPR加浮动点数</t>
  </si>
  <si>
    <t>系数</t>
    <phoneticPr fontId="3" type="noConversion"/>
  </si>
  <si>
    <t>面积</t>
    <phoneticPr fontId="3" type="noConversion"/>
  </si>
  <si>
    <t>租金单价</t>
    <phoneticPr fontId="3" type="noConversion"/>
  </si>
  <si>
    <t>收益法</t>
  </si>
  <si>
    <t>押一</t>
  </si>
  <si>
    <t>按租金收入计税</t>
  </si>
  <si>
    <t>钢混</t>
  </si>
  <si>
    <t>非生产用房</t>
  </si>
  <si>
    <t>否</t>
  </si>
  <si>
    <t>未包含在土地购买价格中</t>
  </si>
  <si>
    <t>全部缴纳</t>
  </si>
  <si>
    <t>已包含在土地取得成本中</t>
  </si>
  <si>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</si>
  <si>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</si>
  <si>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</si>
  <si>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</si>
  <si>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B1</t>
    </r>
    <r>
      <rPr>
        <b/>
        <sz val="10"/>
        <rFont val="宋体"/>
        <family val="3"/>
        <charset val="134"/>
      </rPr>
      <t>层</t>
    </r>
    <phoneticPr fontId="140" type="noConversion"/>
  </si>
  <si>
    <r>
      <t>B2</t>
    </r>
    <r>
      <rPr>
        <b/>
        <sz val="10"/>
        <rFont val="宋体"/>
        <family val="3"/>
        <charset val="134"/>
      </rPr>
      <t>层</t>
    </r>
    <phoneticPr fontId="140" type="noConversion"/>
  </si>
  <si>
    <t>面积</t>
    <phoneticPr fontId="140" type="noConversion"/>
  </si>
  <si>
    <t>基准地价</t>
    <phoneticPr fontId="140" type="noConversion"/>
  </si>
  <si>
    <t>总价</t>
  </si>
  <si>
    <t>地下仓储</t>
    <phoneticPr fontId="140" type="noConversion"/>
  </si>
  <si>
    <t>售价</t>
  </si>
  <si>
    <t>正常</t>
    <phoneticPr fontId="31" type="noConversion"/>
  </si>
  <si>
    <t>B1</t>
  </si>
  <si>
    <t>B1</t>
    <phoneticPr fontId="25" type="noConversion"/>
  </si>
  <si>
    <t>B2</t>
  </si>
  <si>
    <t>B2</t>
    <phoneticPr fontId="25" type="noConversion"/>
  </si>
  <si>
    <t>仓储</t>
    <phoneticPr fontId="25" type="noConversion"/>
  </si>
  <si>
    <t>仓储</t>
    <phoneticPr fontId="25" type="noConversion"/>
  </si>
  <si>
    <t>楼层单价</t>
    <phoneticPr fontId="140" type="noConversion"/>
  </si>
  <si>
    <t>西坝河</t>
    <phoneticPr fontId="140" type="noConversion"/>
  </si>
  <si>
    <t>1层</t>
    <phoneticPr fontId="140" type="noConversion"/>
  </si>
  <si>
    <t>和平里北街</t>
    <phoneticPr fontId="140" type="noConversion"/>
  </si>
  <si>
    <t>柳芳北街</t>
    <phoneticPr fontId="140" type="noConversion"/>
  </si>
  <si>
    <t>非标高</t>
    <phoneticPr fontId="140" type="noConversion"/>
  </si>
  <si>
    <t>标高</t>
    <phoneticPr fontId="31" type="noConversion"/>
  </si>
  <si>
    <t>非标高</t>
    <phoneticPr fontId="31" type="noConversion"/>
  </si>
  <si>
    <t>非标高</t>
    <phoneticPr fontId="31" type="noConversion"/>
  </si>
  <si>
    <t>收益法-仓储</t>
    <phoneticPr fontId="16" type="noConversion"/>
  </si>
  <si>
    <t>转售收入折现</t>
    <phoneticPr fontId="3" type="noConversion"/>
  </si>
  <si>
    <t>押三</t>
  </si>
  <si>
    <t>转售单价</t>
    <phoneticPr fontId="3" type="noConversion"/>
  </si>
  <si>
    <t>转售总价</t>
    <phoneticPr fontId="3" type="noConversion"/>
  </si>
  <si>
    <t>折现率</t>
    <phoneticPr fontId="3" type="noConversion"/>
  </si>
  <si>
    <t>房价增长率</t>
    <phoneticPr fontId="3" type="noConversion"/>
  </si>
  <si>
    <t>比较法结果</t>
    <phoneticPr fontId="3"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</si>
  <si>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</si>
  <si>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</si>
  <si>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</si>
  <si>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</si>
  <si>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</si>
  <si>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</si>
  <si>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</si>
  <si>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</si>
  <si>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</si>
  <si>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</si>
  <si>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</si>
  <si>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</si>
  <si>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</si>
  <si>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</si>
  <si>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</si>
  <si>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</si>
  <si>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</si>
  <si>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</si>
  <si>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</si>
  <si>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</si>
  <si>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</si>
  <si>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</si>
  <si>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</si>
  <si>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</si>
  <si>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</si>
  <si>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</si>
  <si>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</si>
  <si>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</si>
  <si>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</si>
  <si>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</si>
  <si>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</si>
  <si>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</si>
  <si>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</si>
  <si>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</si>
  <si>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</si>
  <si>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</si>
  <si>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</si>
  <si>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</si>
  <si>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</si>
  <si>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</si>
  <si>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</si>
  <si>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</si>
  <si>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</si>
  <si>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</si>
  <si>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</si>
  <si>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</si>
  <si>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</si>
  <si>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</si>
  <si>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</si>
  <si>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phoneticPr fontId="140" type="noConversion"/>
  </si>
  <si>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</si>
  <si>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</si>
  <si>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</si>
  <si>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</si>
  <si>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</si>
  <si>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</si>
  <si>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</si>
  <si>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</si>
  <si>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</si>
  <si>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</si>
  <si>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</si>
  <si>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</si>
  <si>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</si>
  <si>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</si>
  <si>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</si>
  <si>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</si>
  <si>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</si>
  <si>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</si>
  <si>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</si>
  <si>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</si>
  <si>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</si>
  <si>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</si>
  <si>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</si>
  <si>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</si>
  <si>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</si>
  <si>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</si>
  <si>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</si>
  <si>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</si>
  <si>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</si>
  <si>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</si>
  <si>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</si>
  <si>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</si>
  <si>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</si>
  <si>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</si>
  <si>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</si>
  <si>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</si>
  <si>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</si>
  <si>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</si>
  <si>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</si>
  <si>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</si>
  <si>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</si>
  <si>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</si>
  <si>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</si>
  <si>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</si>
  <si>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</si>
  <si>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</si>
  <si>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</si>
  <si>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</si>
  <si>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</si>
  <si>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</si>
  <si>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</si>
  <si>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</si>
  <si>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</si>
  <si>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</si>
  <si>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</si>
  <si>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</si>
  <si>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</si>
  <si>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</si>
  <si>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</si>
  <si>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</si>
  <si>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</si>
  <si>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</si>
  <si>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</si>
  <si>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</si>
  <si>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</si>
  <si>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</si>
  <si>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</si>
  <si>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</si>
  <si>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</si>
  <si>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</si>
  <si>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</si>
  <si>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</si>
  <si>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</si>
  <si>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</si>
  <si>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</si>
  <si>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</si>
  <si>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</si>
  <si>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</si>
  <si>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</si>
  <si>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</si>
  <si>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</si>
  <si>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</si>
  <si>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</si>
  <si>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</si>
  <si>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</si>
  <si>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</si>
  <si>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</si>
  <si>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</si>
  <si>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</si>
  <si>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</si>
  <si>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</si>
  <si>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</si>
  <si>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</si>
  <si>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</si>
  <si>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</si>
  <si>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</si>
  <si>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</si>
  <si>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</si>
  <si>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</si>
  <si>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</si>
  <si>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</si>
  <si>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</si>
  <si>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</si>
  <si>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</si>
  <si>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</si>
  <si>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</si>
  <si>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</si>
  <si>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</si>
  <si>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</si>
  <si>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</si>
  <si>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t>正常</t>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</si>
  <si>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</si>
  <si>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</si>
  <si>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</si>
  <si>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商业</t>
    <phoneticPr fontId="140" type="noConversion"/>
  </si>
  <si>
    <t>办公</t>
    <phoneticPr fontId="140" type="noConversion"/>
  </si>
  <si>
    <t>综合</t>
    <phoneticPr fontId="140"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</si>
  <si>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</si>
  <si>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</si>
  <si>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</si>
  <si>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</si>
  <si>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</si>
  <si>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</si>
  <si>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</si>
  <si>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较好</t>
    <phoneticPr fontId="140" type="noConversion"/>
  </si>
  <si>
    <t>一般</t>
    <phoneticPr fontId="140" type="noConversion"/>
  </si>
  <si>
    <t>好</t>
    <phoneticPr fontId="140"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</si>
  <si>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</si>
  <si>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</si>
  <si>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phoneticPr fontId="140" type="noConversion"/>
  </si>
  <si>
    <r>
      <rPr>
        <sz val="11"/>
        <color indexed="8"/>
        <rFont val="宋体"/>
        <family val="3"/>
        <charset val="134"/>
      </rPr>
      <t>临街状况</t>
    </r>
    <phoneticPr fontId="3" type="noConversion"/>
  </si>
  <si>
    <t>支路</t>
    <phoneticPr fontId="140" type="noConversion"/>
  </si>
  <si>
    <t>主干道</t>
    <phoneticPr fontId="14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</si>
  <si>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</si>
  <si>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r>
      <rPr>
        <sz val="11"/>
        <color indexed="8"/>
        <rFont val="宋体"/>
        <family val="3"/>
        <charset val="134"/>
      </rPr>
      <t>人流量</t>
    </r>
    <phoneticPr fontId="3" type="noConversion"/>
  </si>
  <si>
    <t>较大</t>
    <phoneticPr fontId="140" type="noConversion"/>
  </si>
  <si>
    <t>大</t>
    <phoneticPr fontId="140"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</si>
  <si>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</si>
  <si>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</si>
  <si>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</si>
  <si>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</si>
  <si>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</si>
  <si>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</si>
  <si>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</si>
  <si>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</si>
  <si>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</si>
  <si>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t>标高</t>
    <phoneticPr fontId="3" type="noConversion"/>
  </si>
  <si>
    <t>非标高</t>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</si>
  <si>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</si>
  <si>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</si>
  <si>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</si>
  <si>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t>地下占比</t>
    <phoneticPr fontId="140" type="noConversion"/>
  </si>
  <si>
    <t>小</t>
    <phoneticPr fontId="140"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</si>
  <si>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</si>
  <si>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</si>
  <si>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</si>
  <si>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</si>
  <si>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</si>
  <si>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</si>
  <si>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</si>
  <si>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</si>
  <si>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</si>
  <si>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</si>
  <si>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</si>
  <si>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</si>
  <si>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</si>
  <si>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</si>
  <si>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综合</t>
    <phoneticPr fontId="140" type="noConversion"/>
  </si>
  <si>
    <t>办公</t>
    <phoneticPr fontId="140"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</si>
  <si>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</si>
  <si>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</si>
  <si>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</si>
  <si>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</si>
  <si>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</si>
  <si>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</si>
  <si>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</si>
  <si>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</si>
  <si>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</si>
  <si>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</si>
  <si>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</si>
  <si>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</si>
  <si>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</si>
  <si>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</si>
  <si>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</si>
  <si>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</si>
  <si>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</si>
  <si>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</si>
  <si>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</si>
  <si>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</si>
  <si>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</si>
  <si>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</si>
  <si>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</si>
  <si>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</si>
  <si>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</si>
  <si>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临街状况</t>
    </r>
    <phoneticPr fontId="3" type="noConversion"/>
  </si>
  <si>
    <t>主干道</t>
    <phoneticPr fontId="140" type="noConversion"/>
  </si>
  <si>
    <t>次干道</t>
    <phoneticPr fontId="140" type="noConversion"/>
  </si>
  <si>
    <t>支路</t>
    <phoneticPr fontId="140" type="noConversion"/>
  </si>
  <si>
    <t>大</t>
    <phoneticPr fontId="140" type="noConversion"/>
  </si>
  <si>
    <t>较大</t>
    <phoneticPr fontId="140" type="noConversion"/>
  </si>
  <si>
    <t>一般</t>
    <phoneticPr fontId="140"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</si>
  <si>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</si>
  <si>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</si>
  <si>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进深比</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</si>
  <si>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</si>
  <si>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</si>
  <si>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</si>
  <si>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</si>
  <si>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</si>
  <si>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</si>
  <si>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t>比较法-商业大宗</t>
  </si>
  <si>
    <t>比较法-商业大宗</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</si>
</sst>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40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0" fillId="5" borderId="0" xfId="0" applyFill="1">
      <alignment vertical="center"/>
    </xf>
    <xf numFmtId="0" fontId="0" fillId="9" borderId="0" xfId="0" applyFill="1">
      <alignment vertical="center"/>
    </xf>
    <xf numFmtId="0" fontId="98" fillId="9" borderId="0" xfId="0" applyFont="1" applyFill="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41" fillId="3"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83" fillId="0"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79" fillId="0" borderId="1" xfId="0" applyFont="1" applyBorder="1" applyProtection="1">
      <alignment vertical="center"/>
      <protection locked="0"/>
    </xf>
    <xf numFmtId="0" fontId="79" fillId="10" borderId="9"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83" fillId="6" borderId="0" xfId="0" applyFont="1" applyFill="1" applyBorder="1" applyAlignment="1" applyProtection="1">
      <alignment horizontal="left" vertical="center"/>
      <protection locked="0"/>
    </xf>
    <xf numFmtId="0" fontId="54" fillId="18" borderId="32" xfId="0" applyFont="1" applyFill="1" applyBorder="1" applyAlignment="1" applyProtection="1">
      <alignment horizontal="center" vertical="center"/>
    </xf>
    <xf numFmtId="0" fontId="62" fillId="6" borderId="0" xfId="0" applyFont="1" applyFill="1" applyBorder="1" applyAlignment="1" applyProtection="1">
      <alignment horizontal="left" vertical="center"/>
      <protection locked="0"/>
    </xf>
    <xf numFmtId="0" fontId="83" fillId="6" borderId="1" xfId="0" applyFont="1" applyFill="1" applyBorder="1" applyAlignment="1" applyProtection="1">
      <alignment horizontal="left" vertical="center"/>
      <protection locked="0"/>
    </xf>
    <xf numFmtId="0" fontId="62" fillId="6" borderId="1" xfId="0" applyFont="1" applyFill="1" applyBorder="1" applyAlignment="1" applyProtection="1">
      <alignment horizontal="left" vertical="center"/>
      <protection locked="0"/>
    </xf>
    <xf numFmtId="0" fontId="103" fillId="6" borderId="1" xfId="0" applyFont="1" applyFill="1" applyBorder="1" applyAlignment="1" applyProtection="1">
      <alignment horizontal="left"/>
      <protection locked="0"/>
    </xf>
    <xf numFmtId="181" fontId="54" fillId="6" borderId="1" xfId="0" applyNumberFormat="1" applyFont="1" applyFill="1" applyBorder="1" applyAlignment="1" applyProtection="1">
      <alignment horizontal="left" vertical="center"/>
    </xf>
    <xf numFmtId="9" fontId="62" fillId="6" borderId="1"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protection locked="0"/>
    </xf>
    <xf numFmtId="0" fontId="55" fillId="0" borderId="1" xfId="0" applyFont="1" applyFill="1" applyBorder="1" applyAlignment="1" applyProtection="1">
      <alignment horizontal="left" vertical="center"/>
      <protection locked="0"/>
    </xf>
    <xf numFmtId="9" fontId="19" fillId="6" borderId="1" xfId="0"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10">
      <alignment vertical="center"/>
    </xf>
    <xf numFmtId="0" fontId="98" fillId="0" borderId="0" xfId="1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98" fillId="0" borderId="0" xfId="1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105" fillId="6" borderId="85" xfId="10" applyFont="1" applyFill="1" applyBorder="1" applyAlignment="1" applyProtection="1">
      <alignment vertical="center"/>
    </xf>
    <xf numFmtId="0" fontId="64" fillId="6" borderId="85" xfId="10" applyFont="1" applyFill="1" applyBorder="1" applyAlignment="1" applyProtection="1">
      <alignment horizontal="right" vertical="center"/>
    </xf>
    <xf numFmtId="0" fontId="64" fillId="6" borderId="88" xfId="10" applyFont="1" applyFill="1" applyBorder="1" applyAlignment="1" applyProtection="1">
      <alignment horizontal="center" vertical="center"/>
    </xf>
    <xf numFmtId="0" fontId="64" fillId="2" borderId="88" xfId="10" applyFont="1" applyFill="1" applyBorder="1" applyAlignment="1" applyProtection="1">
      <alignment vertical="center"/>
      <protection locked="0"/>
    </xf>
    <xf numFmtId="0" fontId="64" fillId="6" borderId="118" xfId="10" applyFont="1" applyFill="1" applyBorder="1" applyAlignment="1" applyProtection="1">
      <alignment vertical="center"/>
    </xf>
    <xf numFmtId="0" fontId="64" fillId="5" borderId="78" xfId="10" applyFont="1" applyFill="1" applyBorder="1" applyAlignment="1" applyProtection="1">
      <alignment horizontal="center" vertical="center"/>
      <protection locked="0"/>
    </xf>
    <xf numFmtId="0" fontId="67" fillId="6" borderId="88" xfId="10" applyFont="1" applyFill="1" applyBorder="1" applyAlignment="1" applyProtection="1">
      <alignment vertical="center"/>
    </xf>
    <xf numFmtId="0" fontId="64" fillId="6" borderId="88" xfId="10" applyFont="1" applyFill="1" applyBorder="1" applyAlignment="1" applyProtection="1">
      <alignment vertical="center"/>
    </xf>
    <xf numFmtId="189" fontId="64" fillId="6" borderId="88" xfId="10" applyNumberFormat="1" applyFont="1" applyFill="1" applyBorder="1" applyAlignment="1" applyProtection="1">
      <alignment horizontal="center" vertical="center"/>
    </xf>
    <xf numFmtId="181" fontId="64" fillId="6" borderId="88" xfId="10" applyNumberFormat="1" applyFont="1" applyFill="1" applyBorder="1" applyAlignment="1" applyProtection="1">
      <alignment vertical="center"/>
    </xf>
    <xf numFmtId="0" fontId="64" fillId="6" borderId="89" xfId="10" applyFont="1" applyFill="1" applyBorder="1" applyAlignment="1" applyProtection="1">
      <alignment horizontal="center" vertical="center"/>
      <protection locked="0"/>
    </xf>
    <xf numFmtId="0" fontId="64" fillId="6" borderId="87"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5" fillId="0" borderId="87" xfId="10" applyFont="1" applyFill="1" applyBorder="1" applyAlignment="1" applyProtection="1">
      <alignment horizontal="center" vertical="center"/>
      <protection locked="0"/>
    </xf>
    <xf numFmtId="0" fontId="59" fillId="6" borderId="2" xfId="10" applyFont="1" applyFill="1" applyBorder="1" applyAlignment="1" applyProtection="1">
      <alignment horizontal="right" vertical="center"/>
    </xf>
    <xf numFmtId="0" fontId="59" fillId="6" borderId="0" xfId="10" applyFont="1" applyFill="1" applyBorder="1" applyAlignment="1" applyProtection="1">
      <alignment vertical="center"/>
    </xf>
    <xf numFmtId="0" fontId="64" fillId="6" borderId="0" xfId="10" applyFont="1" applyFill="1" applyBorder="1" applyAlignment="1" applyProtection="1">
      <alignment vertical="center"/>
      <protection locked="0"/>
    </xf>
    <xf numFmtId="181" fontId="64" fillId="12" borderId="0" xfId="10" applyNumberFormat="1" applyFont="1" applyFill="1" applyBorder="1" applyAlignment="1" applyProtection="1">
      <alignment vertical="center"/>
      <protection locked="0"/>
    </xf>
    <xf numFmtId="0" fontId="64" fillId="12" borderId="0" xfId="10" applyFont="1" applyFill="1" applyBorder="1" applyAlignment="1" applyProtection="1">
      <alignment horizontal="center" vertical="center"/>
      <protection locked="0"/>
    </xf>
    <xf numFmtId="0" fontId="64" fillId="6" borderId="18"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Alignment="1" applyProtection="1">
      <alignment horizontal="center" vertical="center"/>
      <protection locked="0"/>
    </xf>
    <xf numFmtId="186" fontId="59" fillId="6" borderId="13" xfId="10" applyNumberFormat="1" applyFont="1" applyFill="1" applyBorder="1" applyAlignment="1" applyProtection="1">
      <alignment horizontal="right" vertical="center"/>
    </xf>
    <xf numFmtId="0" fontId="59" fillId="6" borderId="13" xfId="10" applyFont="1" applyFill="1" applyBorder="1" applyAlignment="1" applyProtection="1">
      <alignment horizontal="center" vertical="center"/>
    </xf>
    <xf numFmtId="0" fontId="59" fillId="6" borderId="13" xfId="10"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30" xfId="10" applyFont="1" applyFill="1" applyBorder="1" applyAlignment="1" applyProtection="1">
      <alignment horizontal="center" vertical="center" wrapText="1"/>
    </xf>
    <xf numFmtId="0" fontId="53" fillId="6" borderId="28" xfId="10" applyFont="1" applyFill="1" applyBorder="1" applyAlignment="1" applyProtection="1">
      <alignment horizontal="center" vertical="center" wrapText="1"/>
    </xf>
    <xf numFmtId="189" fontId="46" fillId="6" borderId="3" xfId="10" applyNumberFormat="1" applyFont="1" applyFill="1" applyBorder="1" applyAlignment="1" applyProtection="1">
      <alignment horizontal="center" vertical="center" wrapText="1"/>
    </xf>
    <xf numFmtId="181" fontId="46" fillId="12" borderId="0" xfId="10" applyNumberFormat="1" applyFont="1" applyFill="1" applyBorder="1" applyAlignment="1" applyProtection="1">
      <alignment vertical="center" wrapText="1"/>
      <protection locked="0"/>
    </xf>
    <xf numFmtId="0" fontId="53" fillId="12" borderId="0" xfId="10" applyFont="1" applyFill="1" applyBorder="1" applyAlignment="1" applyProtection="1">
      <alignment horizontal="center" vertical="center"/>
      <protection locked="0"/>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172" fillId="0" borderId="23" xfId="10" applyFont="1" applyFill="1" applyBorder="1" applyAlignment="1" applyProtection="1">
      <alignment horizontal="center" vertical="center" wrapText="1"/>
      <protection locked="0"/>
    </xf>
    <xf numFmtId="0" fontId="172" fillId="0" borderId="24" xfId="10" applyFont="1" applyFill="1" applyBorder="1" applyAlignment="1" applyProtection="1">
      <alignment horizontal="center" vertical="center" wrapText="1"/>
      <protection locked="0"/>
    </xf>
    <xf numFmtId="0" fontId="172" fillId="0" borderId="3" xfId="10" applyFont="1" applyFill="1" applyBorder="1" applyAlignment="1" applyProtection="1">
      <alignment horizontal="center" vertical="center" wrapText="1"/>
      <protection locked="0"/>
    </xf>
    <xf numFmtId="0" fontId="172" fillId="0" borderId="5" xfId="10" applyFont="1" applyFill="1" applyBorder="1" applyAlignment="1" applyProtection="1">
      <alignment horizontal="center" vertical="center" wrapText="1"/>
      <protection locked="0"/>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2" fillId="6" borderId="42" xfId="10" applyFont="1" applyFill="1" applyBorder="1" applyAlignment="1" applyProtection="1">
      <alignment vertical="center" wrapText="1"/>
    </xf>
    <xf numFmtId="0" fontId="52" fillId="6" borderId="47" xfId="10" applyFont="1" applyFill="1" applyBorder="1" applyAlignment="1" applyProtection="1">
      <alignment vertical="center" wrapText="1"/>
    </xf>
    <xf numFmtId="0" fontId="172" fillId="0" borderId="11" xfId="10" applyFont="1" applyFill="1" applyBorder="1" applyAlignment="1" applyProtection="1">
      <alignment horizontal="center" vertical="center" wrapText="1"/>
      <protection locked="0"/>
    </xf>
    <xf numFmtId="0" fontId="172" fillId="0" borderId="61" xfId="10" applyFont="1" applyFill="1" applyBorder="1" applyAlignment="1" applyProtection="1">
      <alignment horizontal="center" vertical="center" wrapText="1"/>
      <protection locked="0"/>
    </xf>
    <xf numFmtId="0" fontId="172" fillId="0" borderId="22" xfId="10" applyFont="1" applyFill="1" applyBorder="1" applyAlignment="1" applyProtection="1">
      <alignment horizontal="center" vertical="center" wrapText="1"/>
      <protection locked="0"/>
    </xf>
    <xf numFmtId="0" fontId="172" fillId="0" borderId="46"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8" fillId="6" borderId="63" xfId="10" applyFont="1" applyFill="1" applyBorder="1" applyAlignment="1" applyProtection="1">
      <alignment vertical="center" wrapText="1"/>
    </xf>
    <xf numFmtId="0" fontId="48" fillId="6" borderId="64" xfId="10" applyFont="1" applyFill="1" applyBorder="1" applyAlignment="1" applyProtection="1">
      <alignment vertical="center" wrapText="1"/>
    </xf>
    <xf numFmtId="184" fontId="46" fillId="6" borderId="26"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0" fontId="46" fillId="6" borderId="3" xfId="10" applyNumberFormat="1" applyFont="1" applyFill="1" applyBorder="1" applyAlignment="1" applyProtection="1">
      <alignment horizontal="center" vertical="center" wrapText="1"/>
    </xf>
    <xf numFmtId="181" fontId="46" fillId="12" borderId="0" xfId="10" applyNumberFormat="1" applyFont="1" applyFill="1" applyBorder="1" applyAlignment="1" applyProtection="1">
      <alignment horizontal="center" vertical="center" wrapText="1"/>
      <protection locked="0"/>
    </xf>
    <xf numFmtId="0" fontId="46" fillId="12" borderId="0" xfId="10" applyFont="1" applyFill="1" applyBorder="1" applyAlignment="1" applyProtection="1">
      <alignment horizontal="center" vertical="center"/>
      <protection locked="0"/>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protection locked="0"/>
    </xf>
    <xf numFmtId="49" fontId="46" fillId="2" borderId="26" xfId="10" applyNumberFormat="1" applyFont="1" applyFill="1" applyBorder="1" applyAlignment="1" applyProtection="1">
      <alignment horizontal="center" vertical="center" wrapText="1"/>
      <protection locked="0"/>
    </xf>
    <xf numFmtId="49" fontId="134" fillId="2" borderId="26" xfId="10" applyNumberFormat="1" applyFont="1" applyFill="1" applyBorder="1" applyAlignment="1" applyProtection="1">
      <alignment horizontal="center" vertical="center" wrapText="1"/>
      <protection locked="0"/>
    </xf>
    <xf numFmtId="0" fontId="48" fillId="6" borderId="40" xfId="10" applyFont="1" applyFill="1" applyBorder="1" applyAlignment="1" applyProtection="1">
      <alignment vertical="center" wrapText="1"/>
    </xf>
    <xf numFmtId="0" fontId="46" fillId="6" borderId="28" xfId="10" applyFont="1" applyFill="1" applyBorder="1" applyAlignment="1" applyProtection="1">
      <alignment horizontal="center"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49" fontId="134" fillId="2" borderId="30" xfId="10" applyNumberFormat="1" applyFont="1" applyFill="1" applyBorder="1" applyAlignment="1" applyProtection="1">
      <alignment horizontal="center" vertical="center" wrapText="1"/>
      <protection locked="0"/>
    </xf>
    <xf numFmtId="0" fontId="46" fillId="6" borderId="28" xfId="10" applyNumberFormat="1" applyFont="1" applyFill="1" applyBorder="1" applyAlignment="1" applyProtection="1">
      <alignment horizontal="center" vertical="center" wrapText="1"/>
    </xf>
    <xf numFmtId="0" fontId="53" fillId="6" borderId="23"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14" xfId="10" applyFont="1" applyFill="1" applyBorder="1" applyAlignment="1" applyProtection="1">
      <alignment vertical="center" wrapText="1"/>
    </xf>
    <xf numFmtId="0" fontId="46" fillId="6" borderId="5" xfId="10" applyFont="1" applyFill="1" applyBorder="1" applyAlignment="1" applyProtection="1">
      <alignment horizontal="center" vertical="center" wrapText="1"/>
    </xf>
    <xf numFmtId="49"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2" borderId="3" xfId="10" applyNumberFormat="1" applyFont="1" applyFill="1" applyBorder="1" applyAlignment="1" applyProtection="1">
      <alignment horizontal="center" vertical="center" wrapText="1"/>
      <protection locked="0"/>
    </xf>
    <xf numFmtId="0" fontId="46" fillId="6" borderId="5" xfId="10" applyNumberFormat="1"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181" fontId="69" fillId="12" borderId="0" xfId="10" applyNumberFormat="1" applyFont="1" applyFill="1" applyBorder="1" applyAlignment="1" applyProtection="1">
      <alignment horizontal="center" vertical="center" wrapText="1"/>
      <protection locked="0"/>
    </xf>
    <xf numFmtId="0" fontId="69" fillId="12" borderId="0"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protection locked="0"/>
    </xf>
    <xf numFmtId="0" fontId="52" fillId="6" borderId="14" xfId="10" applyFont="1" applyFill="1" applyBorder="1" applyAlignment="1" applyProtection="1">
      <alignment vertical="center" wrapText="1"/>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181" fontId="51" fillId="12" borderId="0"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wrapText="1"/>
    </xf>
    <xf numFmtId="0" fontId="46" fillId="0" borderId="46" xfId="10" applyFont="1" applyFill="1" applyBorder="1" applyAlignment="1" applyProtection="1">
      <alignment horizontal="center" vertical="center" wrapText="1"/>
      <protection locked="0"/>
    </xf>
    <xf numFmtId="0" fontId="46" fillId="0" borderId="41"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0" fontId="53" fillId="0"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3" fillId="6" borderId="24" xfId="10" applyNumberFormat="1" applyFont="1" applyFill="1" applyBorder="1" applyAlignment="1" applyProtection="1">
      <alignment horizontal="center" vertical="center" wrapText="1"/>
    </xf>
    <xf numFmtId="181" fontId="70" fillId="12" borderId="0" xfId="10" applyNumberFormat="1" applyFont="1" applyFill="1" applyBorder="1" applyAlignment="1" applyProtection="1">
      <alignment horizontal="center" vertical="center" wrapText="1"/>
      <protection locked="0"/>
    </xf>
    <xf numFmtId="0" fontId="52" fillId="6" borderId="12" xfId="10" applyFont="1" applyFill="1" applyBorder="1" applyAlignment="1" applyProtection="1">
      <alignment vertical="center" wrapText="1"/>
    </xf>
    <xf numFmtId="0" fontId="46" fillId="0" borderId="33" xfId="10"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53" fillId="6" borderId="33" xfId="10" applyNumberFormat="1" applyFont="1" applyFill="1" applyBorder="1" applyAlignment="1" applyProtection="1">
      <alignment horizontal="center" vertical="center" wrapText="1"/>
    </xf>
    <xf numFmtId="0" fontId="52" fillId="6" borderId="40" xfId="10" applyFont="1" applyFill="1" applyBorder="1" applyAlignment="1" applyProtection="1">
      <alignment vertical="center" wrapText="1"/>
    </xf>
    <xf numFmtId="0" fontId="46" fillId="6" borderId="29" xfId="10" applyFont="1" applyFill="1" applyBorder="1" applyAlignment="1" applyProtection="1">
      <alignment horizontal="center" vertical="center" wrapText="1"/>
    </xf>
    <xf numFmtId="49"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1"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0" xfId="10" applyFont="1" applyFill="1" applyBorder="1" applyAlignment="1" applyProtection="1">
      <alignment horizontal="center" vertical="center"/>
    </xf>
    <xf numFmtId="0" fontId="97"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53" fillId="6" borderId="14"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46" fillId="6" borderId="46" xfId="10"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49" fontId="53"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4" xfId="10" applyFont="1" applyFill="1" applyBorder="1" applyAlignment="1" applyProtection="1">
      <alignment horizontal="center" vertical="center" wrapText="1"/>
    </xf>
    <xf numFmtId="0" fontId="97" fillId="2" borderId="14" xfId="10" applyNumberFormat="1" applyFont="1" applyFill="1" applyBorder="1" applyAlignment="1" applyProtection="1">
      <alignment horizontal="center" vertical="center" wrapText="1"/>
      <protection locked="0"/>
    </xf>
    <xf numFmtId="49" fontId="97" fillId="2" borderId="35" xfId="10" applyNumberFormat="1" applyFont="1" applyFill="1" applyBorder="1" applyAlignment="1" applyProtection="1">
      <alignment horizontal="center" vertical="center" wrapText="1"/>
      <protection locked="0"/>
    </xf>
    <xf numFmtId="49" fontId="97" fillId="2" borderId="14"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97" fillId="2" borderId="7" xfId="10" applyNumberFormat="1" applyFont="1" applyFill="1" applyBorder="1" applyAlignment="1" applyProtection="1">
      <alignment horizontal="center" vertical="center" wrapText="1"/>
      <protection locked="0"/>
    </xf>
    <xf numFmtId="49" fontId="97" fillId="2" borderId="41" xfId="10" applyNumberFormat="1" applyFont="1" applyFill="1" applyBorder="1" applyAlignment="1" applyProtection="1">
      <alignment horizontal="center" vertical="center" wrapText="1"/>
      <protection locked="0"/>
    </xf>
    <xf numFmtId="0" fontId="46" fillId="6" borderId="58" xfId="10"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49" fontId="53" fillId="6" borderId="11" xfId="10" applyNumberFormat="1"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41" xfId="10" applyNumberFormat="1" applyFont="1" applyFill="1" applyBorder="1" applyAlignment="1" applyProtection="1">
      <alignment horizontal="center" vertical="center" wrapText="1"/>
      <protection locked="0"/>
    </xf>
    <xf numFmtId="0" fontId="97"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5" xfId="10" applyFont="1" applyFill="1" applyBorder="1" applyAlignment="1" applyProtection="1">
      <alignment horizontal="center" vertical="center" wrapText="1"/>
      <protection locked="0"/>
    </xf>
    <xf numFmtId="0" fontId="134" fillId="2" borderId="4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46" fillId="6" borderId="4"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53" fillId="2" borderId="6" xfId="10"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6" borderId="11"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71" fillId="6" borderId="14" xfId="10"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3" fontId="46" fillId="0" borderId="3" xfId="10" applyNumberFormat="1" applyFont="1" applyFill="1" applyBorder="1" applyAlignment="1" applyProtection="1">
      <alignment horizontal="center" vertical="center" wrapText="1"/>
      <protection locked="0"/>
    </xf>
    <xf numFmtId="3" fontId="46" fillId="0" borderId="23" xfId="10" applyNumberFormat="1" applyFont="1" applyFill="1" applyBorder="1" applyAlignment="1" applyProtection="1">
      <alignment horizontal="center" vertical="center" wrapText="1"/>
      <protection locked="0"/>
    </xf>
    <xf numFmtId="0" fontId="51" fillId="12" borderId="0" xfId="10" applyFont="1" applyFill="1" applyBorder="1" applyAlignment="1" applyProtection="1">
      <alignment horizontal="center" vertical="center"/>
      <protection locked="0"/>
    </xf>
    <xf numFmtId="0" fontId="53" fillId="6" borderId="14" xfId="10" applyFont="1" applyFill="1" applyBorder="1" applyAlignment="1" applyProtection="1">
      <alignment horizontal="center" vertical="center" textRotation="255" wrapText="1"/>
    </xf>
    <xf numFmtId="0" fontId="51" fillId="6" borderId="1" xfId="10" applyFont="1" applyFill="1" applyBorder="1" applyAlignment="1" applyProtection="1">
      <alignment horizontal="center" vertical="center" wrapText="1"/>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protection locked="0"/>
    </xf>
    <xf numFmtId="0" fontId="52" fillId="6" borderId="14" xfId="10" applyFont="1" applyFill="1" applyBorder="1" applyAlignment="1" applyProtection="1">
      <alignment vertical="center" textRotation="255" wrapText="1"/>
    </xf>
    <xf numFmtId="0" fontId="53" fillId="2" borderId="23" xfId="10" applyFont="1" applyFill="1" applyBorder="1" applyAlignment="1" applyProtection="1">
      <alignment horizontal="center" vertical="center" wrapText="1"/>
      <protection locked="0"/>
    </xf>
    <xf numFmtId="49" fontId="53" fillId="2" borderId="23"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49" fontId="97" fillId="2" borderId="23" xfId="10" applyNumberFormat="1" applyFont="1" applyFill="1" applyBorder="1" applyAlignment="1" applyProtection="1">
      <alignment horizontal="center" vertical="center" wrapText="1"/>
      <protection locked="0"/>
    </xf>
    <xf numFmtId="17" fontId="51" fillId="0" borderId="37" xfId="10" applyNumberFormat="1" applyFont="1" applyFill="1" applyBorder="1" applyAlignment="1" applyProtection="1">
      <alignment horizontal="center" vertical="center" wrapText="1"/>
      <protection locked="0"/>
    </xf>
    <xf numFmtId="0" fontId="51" fillId="0" borderId="37" xfId="10" applyNumberFormat="1" applyFont="1" applyFill="1" applyBorder="1" applyAlignment="1" applyProtection="1">
      <alignment horizontal="center" vertical="center" wrapText="1"/>
      <protection locked="0"/>
    </xf>
    <xf numFmtId="0" fontId="53" fillId="6" borderId="5" xfId="10" applyFont="1" applyFill="1" applyBorder="1" applyAlignment="1" applyProtection="1">
      <alignment horizontal="center" vertical="center" wrapText="1"/>
    </xf>
    <xf numFmtId="0" fontId="134" fillId="0" borderId="5" xfId="10" applyFont="1" applyFill="1" applyBorder="1" applyAlignment="1" applyProtection="1">
      <alignment horizontal="center" vertical="center" wrapText="1"/>
      <protection locked="0"/>
    </xf>
    <xf numFmtId="0" fontId="134" fillId="0" borderId="37" xfId="10" applyNumberFormat="1" applyFont="1" applyFill="1" applyBorder="1" applyAlignment="1" applyProtection="1">
      <alignment horizontal="center" vertical="center" wrapText="1"/>
      <protection locked="0"/>
    </xf>
    <xf numFmtId="0" fontId="97" fillId="0" borderId="37" xfId="10" applyNumberFormat="1" applyFont="1" applyFill="1" applyBorder="1" applyAlignment="1" applyProtection="1">
      <alignment horizontal="center" vertical="center" wrapText="1"/>
      <protection locked="0"/>
    </xf>
    <xf numFmtId="0" fontId="52" fillId="6" borderId="12" xfId="10" applyFont="1" applyFill="1" applyBorder="1" applyAlignment="1" applyProtection="1">
      <alignment vertical="center" textRotation="255" wrapText="1"/>
    </xf>
    <xf numFmtId="0" fontId="53" fillId="6" borderId="41" xfId="10" applyFont="1" applyFill="1" applyBorder="1" applyAlignment="1" applyProtection="1">
      <alignment horizontal="center" vertical="center" textRotation="255" wrapText="1"/>
    </xf>
    <xf numFmtId="0" fontId="53" fillId="6" borderId="2" xfId="10" applyFont="1" applyFill="1" applyBorder="1" applyAlignment="1" applyProtection="1">
      <alignment horizontal="center" vertical="center" textRotation="255" wrapText="1"/>
    </xf>
    <xf numFmtId="49" fontId="52" fillId="6" borderId="51" xfId="10" applyNumberFormat="1" applyFont="1" applyFill="1" applyBorder="1" applyAlignment="1" applyProtection="1">
      <alignment vertical="center"/>
    </xf>
    <xf numFmtId="49" fontId="52" fillId="6" borderId="20" xfId="10" applyNumberFormat="1" applyFont="1" applyFill="1" applyBorder="1" applyAlignment="1" applyProtection="1">
      <alignment vertical="center"/>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3"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3"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189" fontId="53" fillId="6" borderId="3" xfId="10" applyNumberFormat="1" applyFont="1" applyFill="1" applyBorder="1" applyAlignment="1" applyProtection="1">
      <alignment horizontal="center" vertical="center"/>
    </xf>
    <xf numFmtId="181" fontId="53" fillId="12" borderId="0" xfId="10" applyNumberFormat="1" applyFont="1" applyFill="1" applyBorder="1" applyAlignment="1" applyProtection="1">
      <alignment vertical="center" wrapText="1"/>
      <protection locked="0"/>
    </xf>
    <xf numFmtId="0" fontId="53" fillId="12" borderId="0" xfId="10"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6" fillId="18" borderId="68" xfId="10" applyNumberFormat="1" applyFont="1" applyFill="1" applyBorder="1" applyAlignment="1" applyProtection="1">
      <alignment horizontal="left" vertical="center" wrapText="1"/>
      <protection locked="0"/>
    </xf>
    <xf numFmtId="0" fontId="52" fillId="6" borderId="52" xfId="10" applyNumberFormat="1" applyFont="1" applyFill="1" applyBorder="1" applyAlignment="1" applyProtection="1">
      <alignment vertical="center" wrapText="1"/>
    </xf>
    <xf numFmtId="181" fontId="52" fillId="18" borderId="68" xfId="10" applyNumberFormat="1" applyFont="1" applyFill="1" applyBorder="1" applyAlignment="1" applyProtection="1">
      <alignment horizontal="left" vertical="center" wrapText="1"/>
      <protection locked="0"/>
    </xf>
    <xf numFmtId="176" fontId="53" fillId="6" borderId="48" xfId="10" applyNumberFormat="1" applyFont="1" applyFill="1" applyBorder="1" applyAlignment="1" applyProtection="1">
      <alignment horizontal="left" vertical="center" wrapText="1"/>
    </xf>
    <xf numFmtId="0" fontId="53" fillId="6" borderId="1" xfId="10" applyNumberFormat="1" applyFont="1" applyFill="1" applyBorder="1" applyAlignment="1" applyProtection="1">
      <alignment horizontal="center" vertical="center"/>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0" fontId="52" fillId="6" borderId="47" xfId="10" applyNumberFormat="1" applyFont="1" applyFill="1" applyBorder="1" applyAlignment="1" applyProtection="1">
      <alignment vertical="center" wrapText="1"/>
    </xf>
    <xf numFmtId="189" fontId="53" fillId="6" borderId="1" xfId="10" applyNumberFormat="1"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0" fontId="52" fillId="18" borderId="1" xfId="10" applyNumberFormat="1" applyFont="1" applyFill="1" applyBorder="1" applyAlignment="1" applyProtection="1">
      <alignment horizontal="center" vertical="center"/>
    </xf>
    <xf numFmtId="9" fontId="53" fillId="12" borderId="0" xfId="10" applyNumberFormat="1" applyFont="1" applyFill="1" applyAlignment="1" applyProtection="1">
      <alignment horizontal="center" vertical="center"/>
      <protection locked="0"/>
    </xf>
    <xf numFmtId="189" fontId="53" fillId="12" borderId="0" xfId="10" applyNumberFormat="1" applyFont="1" applyFill="1" applyAlignment="1" applyProtection="1">
      <alignment horizontal="center" vertical="center"/>
      <protection locked="0"/>
    </xf>
    <xf numFmtId="181" fontId="53" fillId="12" borderId="0" xfId="10" applyNumberFormat="1" applyFont="1" applyFill="1" applyAlignment="1" applyProtection="1">
      <alignment horizontal="center" vertical="center"/>
      <protection locked="0"/>
    </xf>
    <xf numFmtId="0" fontId="53" fillId="12" borderId="18" xfId="10" applyFont="1" applyFill="1" applyBorder="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2" borderId="0" xfId="10" applyFont="1" applyFill="1" applyAlignment="1" applyProtection="1">
      <alignment horizontal="center" vertical="center"/>
      <protection locked="0"/>
    </xf>
    <xf numFmtId="189" fontId="70" fillId="12" borderId="0" xfId="10" applyNumberFormat="1" applyFont="1" applyFill="1" applyAlignment="1" applyProtection="1">
      <alignment horizontal="center" vertical="center"/>
      <protection locked="0"/>
    </xf>
    <xf numFmtId="181" fontId="70" fillId="12" borderId="0" xfId="10" applyNumberFormat="1" applyFont="1" applyFill="1" applyAlignment="1" applyProtection="1">
      <alignment horizontal="center" vertical="center"/>
      <protection locked="0"/>
    </xf>
    <xf numFmtId="0" fontId="70" fillId="12" borderId="18"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14" fontId="53" fillId="12" borderId="0" xfId="10" applyNumberFormat="1" applyFont="1" applyFill="1" applyAlignment="1" applyProtection="1">
      <alignment horizontal="center" vertical="center"/>
      <protection locked="0"/>
    </xf>
    <xf numFmtId="176" fontId="53" fillId="12" borderId="0" xfId="10" applyNumberFormat="1" applyFont="1" applyFill="1" applyAlignment="1" applyProtection="1">
      <alignment horizontal="center" vertical="center"/>
      <protection locked="0"/>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protection locked="0"/>
    </xf>
    <xf numFmtId="0" fontId="53" fillId="6" borderId="0" xfId="10" applyFont="1" applyFill="1" applyBorder="1" applyAlignment="1" applyProtection="1">
      <protection locked="0"/>
    </xf>
    <xf numFmtId="0" fontId="53" fillId="12" borderId="18" xfId="10" applyFont="1" applyFill="1" applyBorder="1" applyAlignment="1" applyProtection="1">
      <protection locked="0"/>
    </xf>
    <xf numFmtId="9" fontId="46" fillId="12" borderId="0" xfId="10" applyNumberFormat="1" applyFont="1" applyFill="1" applyBorder="1" applyAlignment="1" applyProtection="1">
      <alignment horizontal="center" vertical="center" wrapText="1"/>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190" fontId="46" fillId="6" borderId="30" xfId="10" applyNumberFormat="1" applyFont="1" applyFill="1" applyBorder="1" applyAlignment="1" applyProtection="1">
      <alignment horizontal="center" vertical="center" wrapText="1"/>
    </xf>
    <xf numFmtId="190" fontId="46" fillId="6" borderId="9" xfId="10" applyNumberFormat="1" applyFont="1" applyFill="1" applyBorder="1" applyAlignment="1" applyProtection="1">
      <alignment horizontal="center" vertical="center" wrapText="1"/>
    </xf>
    <xf numFmtId="190" fontId="46" fillId="6" borderId="9" xfId="10" applyNumberFormat="1" applyFont="1" applyFill="1" applyBorder="1" applyAlignment="1" applyProtection="1">
      <alignment horizontal="center" vertical="center" wrapText="1"/>
      <protection locked="0"/>
    </xf>
    <xf numFmtId="49" fontId="46" fillId="12"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protection locked="0"/>
    </xf>
    <xf numFmtId="0" fontId="48" fillId="6" borderId="1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53" fillId="6" borderId="13"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6" fillId="12" borderId="18" xfId="10" applyNumberFormat="1" applyFont="1" applyFill="1" applyBorder="1" applyAlignment="1" applyProtection="1">
      <alignment horizontal="center" vertical="center" wrapText="1"/>
      <protection locked="0"/>
    </xf>
    <xf numFmtId="0" fontId="46" fillId="12" borderId="0" xfId="10" applyFont="1" applyFill="1" applyAlignment="1" applyProtection="1">
      <alignment horizontal="center" vertical="center"/>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9" fontId="46" fillId="12" borderId="18"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46" fillId="12" borderId="0" xfId="10" applyNumberFormat="1" applyFont="1" applyFill="1" applyBorder="1" applyAlignment="1" applyProtection="1">
      <alignment horizontal="center" vertical="center" wrapText="1"/>
      <protection locked="0"/>
    </xf>
    <xf numFmtId="0" fontId="102" fillId="12" borderId="18" xfId="10" applyFont="1" applyFill="1" applyBorder="1" applyAlignment="1" applyProtection="1">
      <alignment vertical="center"/>
      <protection locked="0"/>
    </xf>
    <xf numFmtId="0" fontId="46" fillId="0" borderId="22"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12" borderId="0" xfId="10" applyNumberFormat="1" applyFont="1" applyFill="1" applyBorder="1" applyAlignment="1" applyProtection="1">
      <alignment horizontal="center" vertical="center" wrapText="1"/>
      <protection locked="0"/>
    </xf>
    <xf numFmtId="0" fontId="46" fillId="12" borderId="18"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12"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12" borderId="0" xfId="10" applyNumberFormat="1" applyFont="1" applyFill="1" applyBorder="1" applyAlignment="1" applyProtection="1">
      <alignment horizontal="center" vertical="center" wrapText="1"/>
      <protection locked="0"/>
    </xf>
    <xf numFmtId="0" fontId="51" fillId="12" borderId="18" xfId="10" applyFont="1" applyFill="1" applyBorder="1" applyAlignment="1" applyProtection="1">
      <alignment horizontal="center" vertical="center" wrapText="1"/>
      <protection locked="0"/>
    </xf>
    <xf numFmtId="9" fontId="51" fillId="12" borderId="0" xfId="10" applyNumberFormat="1" applyFont="1" applyFill="1" applyBorder="1" applyAlignment="1" applyProtection="1">
      <alignment horizontal="center" vertical="center" wrapText="1"/>
      <protection locked="0"/>
    </xf>
    <xf numFmtId="0" fontId="51" fillId="12"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12" borderId="18" xfId="10" applyFont="1" applyFill="1" applyBorder="1" applyAlignment="1" applyProtection="1">
      <alignment horizontal="center" vertical="center"/>
      <protection locked="0"/>
    </xf>
    <xf numFmtId="9" fontId="51" fillId="12"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12" borderId="18"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12" borderId="18"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134" fillId="0" borderId="44" xfId="10" applyNumberFormat="1" applyFont="1" applyFill="1" applyBorder="1" applyAlignment="1" applyProtection="1">
      <alignment horizontal="center" vertical="center" wrapText="1"/>
      <protection locked="0"/>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46" fillId="0" borderId="83" xfId="10" applyNumberFormat="1" applyFont="1" applyFill="1" applyBorder="1" applyAlignment="1" applyProtection="1">
      <alignment horizontal="center" vertical="center"/>
      <protection locked="0"/>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2" fillId="6" borderId="12" xfId="10" applyNumberFormat="1" applyFont="1" applyFill="1" applyBorder="1" applyAlignment="1" applyProtection="1">
      <alignment vertical="center" wrapText="1"/>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6" fillId="6" borderId="45" xfId="10" applyNumberFormat="1" applyFont="1" applyFill="1" applyBorder="1" applyAlignment="1" applyProtection="1">
      <alignment horizontal="center" vertical="center" wrapText="1"/>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46" fillId="6" borderId="1" xfId="10" applyNumberFormat="1" applyFont="1" applyFill="1" applyBorder="1" applyAlignment="1" applyProtection="1">
      <alignment horizontal="center" vertical="center" wrapText="1"/>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102" fillId="0" borderId="44" xfId="10" applyNumberFormat="1" applyFont="1" applyFill="1" applyBorder="1" applyAlignment="1" applyProtection="1">
      <alignment horizontal="center" vertical="center" wrapText="1"/>
      <protection locked="0"/>
    </xf>
    <xf numFmtId="189" fontId="53" fillId="0" borderId="0" xfId="10" applyNumberFormat="1" applyFont="1" applyFill="1" applyAlignment="1" applyProtection="1">
      <alignment horizontal="center" vertical="center"/>
      <protection locked="0"/>
    </xf>
    <xf numFmtId="181" fontId="53" fillId="0" borderId="0" xfId="10" applyNumberFormat="1" applyFont="1" applyFill="1" applyAlignment="1" applyProtection="1">
      <alignment horizontal="center" vertical="center"/>
      <protection locked="0"/>
    </xf>
    <xf numFmtId="0" fontId="53" fillId="0" borderId="18" xfId="1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417591</xdr:colOff>
      <xdr:row>51</xdr:row>
      <xdr:rowOff>122717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76191" cy="8866667"/>
        </a:xfrm>
        <a:prstGeom prst="rect">
          <a:avLst/>
        </a:prstGeom>
      </xdr:spPr>
    </xdr:pic>
    <xdr:clientData/>
  </xdr:twoCellAnchor>
  <xdr:twoCellAnchor editAs="oneCell">
    <xdr:from>
      <xdr:col>0</xdr:col>
      <xdr:colOff>0</xdr:colOff>
      <xdr:row>52</xdr:row>
      <xdr:rowOff>0</xdr:rowOff>
    </xdr:from>
    <xdr:to>
      <xdr:col>16</xdr:col>
      <xdr:colOff>503391</xdr:colOff>
      <xdr:row>100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15400"/>
          <a:ext cx="11476191" cy="8390477"/>
        </a:xfrm>
        <a:prstGeom prst="rect">
          <a:avLst/>
        </a:prstGeom>
      </xdr:spPr>
    </xdr:pic>
    <xdr:clientData/>
  </xdr:twoCellAnchor>
  <xdr:twoCellAnchor editAs="oneCell">
    <xdr:from>
      <xdr:col>0</xdr:col>
      <xdr:colOff>0</xdr:colOff>
      <xdr:row>101</xdr:row>
      <xdr:rowOff>0</xdr:rowOff>
    </xdr:from>
    <xdr:to>
      <xdr:col>17</xdr:col>
      <xdr:colOff>169972</xdr:colOff>
      <xdr:row>150</xdr:row>
      <xdr:rowOff>8474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11828572" cy="8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11935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35231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52376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1809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796188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47713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988;&#21476;&#35465;&#22253;3&#21495;&#27004;&#21830;&#19994;-&#22823;&#2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大宗"/>
      <sheetName val="成本法（废）"/>
      <sheetName val="区片价"/>
      <sheetName val="因素修正幅度"/>
      <sheetName val="存贷款利率"/>
      <sheetName val="区片价（范围）"/>
      <sheetName val="收益法（汇总）"/>
      <sheetName val="收益法"/>
      <sheetName val="收益法-仓储"/>
      <sheetName val="Sheet1"/>
      <sheetName val="Sheet2"/>
      <sheetName val="大宗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比较法-商业大宗</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仓储</v>
          </cell>
        </row>
      </sheetData>
      <sheetData sheetId="14">
        <row r="2">
          <cell r="B2">
            <v>44873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cell r="C116" t="str">
            <v>非标高</v>
          </cell>
          <cell r="D116" t="str">
            <v>标高</v>
          </cell>
        </row>
        <row r="120">
          <cell r="B120" t="str">
            <v>进深比</v>
          </cell>
        </row>
        <row r="122">
          <cell r="B122" t="str">
            <v>内部装修</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sheetData sheetId="34"/>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t="str">
            <v>B1</v>
          </cell>
          <cell r="H17" t="str">
            <v>B2</v>
          </cell>
          <cell r="I17" t="str">
            <v>仓储</v>
          </cell>
        </row>
      </sheetData>
      <sheetData sheetId="37"/>
      <sheetData sheetId="38"/>
      <sheetData sheetId="39"/>
      <sheetData sheetId="40"/>
      <sheetData sheetId="41"/>
      <sheetData sheetId="42"/>
      <sheetData sheetId="43"/>
      <sheetData sheetId="44"/>
      <sheetData sheetId="45"/>
      <sheetData sheetId="46"/>
      <sheetData sheetId="47"/>
      <sheetData sheetId="48">
        <row r="74">
          <cell r="I74">
            <v>56777</v>
          </cell>
        </row>
        <row r="77">
          <cell r="I77">
            <v>62177</v>
          </cell>
        </row>
        <row r="85">
          <cell r="I85">
            <v>55732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北京市房地产市场价值预评估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受贵公司委托，我公司对北京市房地产市场价值进行了预评估。</v>
      </c>
    </row>
    <row r="7" spans="1:2" s="1317" customFormat="1">
      <c r="A7" s="1315" t="s">
        <v>991</v>
      </c>
      <c r="B7" s="1316" t="str">
        <f>'预评函-1'!A7</f>
        <v>估价对象为北京市房地产，为所有。根据《国有土地使用证》[]，估价对象（分摊）出让国有建设用地使用权面积为3589.08平方米，建筑面积为9511.06平方米。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估价对象为北京市房地产,属开发建设的，该项目尚在开发建设中。根据《国有土地使用证》[]，估价对象（分摊）出让国有建设用地使用权面积为3589.08平方米，规划建筑面积为9511.06平方米。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2022年11月8日</v>
      </c>
    </row>
    <row r="13" spans="1:2" s="1317" customFormat="1">
      <c r="A13" s="1315" t="s">
        <v>954</v>
      </c>
      <c r="B13" s="1316" t="str">
        <f>'预评函-1'!A18</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39462</v>
      </c>
    </row>
    <row r="21" spans="1:2" s="1317" customFormat="1">
      <c r="A21" s="1315" t="s">
        <v>962</v>
      </c>
      <c r="B21" s="1316">
        <f ca="1">'预评函-2'!D7</f>
        <v>41491</v>
      </c>
    </row>
    <row r="22" spans="1:2" s="1317" customFormat="1">
      <c r="A22" s="1315" t="s">
        <v>963</v>
      </c>
      <c r="B22" s="1316" t="str">
        <f ca="1">'预评函-2'!D6</f>
        <v>叁亿玖仟肆佰陆拾贰万元整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39462</v>
      </c>
    </row>
    <row r="31" spans="1:2" s="1317" customFormat="1">
      <c r="A31" s="1315" t="s">
        <v>1001</v>
      </c>
      <c r="B31" s="1316">
        <f ca="1">'预评函-2'!D15</f>
        <v>41491</v>
      </c>
    </row>
    <row r="32" spans="1:2" s="1317" customFormat="1">
      <c r="A32" s="1315" t="s">
        <v>968</v>
      </c>
      <c r="B32" s="1316" t="str">
        <f ca="1">'预评函-2'!D14</f>
        <v>叁亿玖仟肆佰陆拾贰万元整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9511.0600000000031</v>
      </c>
    </row>
    <row r="44" spans="1:2" s="1317" customFormat="1">
      <c r="A44" s="1315" t="s">
        <v>1000</v>
      </c>
      <c r="B44" s="1316" t="str">
        <f>'预评函-3'!C2</f>
        <v>(分摊)土地面积</v>
      </c>
    </row>
    <row r="45" spans="1:2" s="1317" customFormat="1">
      <c r="A45" s="1315" t="s">
        <v>972</v>
      </c>
      <c r="B45" s="1316">
        <f>'预评函-3'!C4</f>
        <v>3589.08</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3242</v>
      </c>
      <c r="C19" s="1682"/>
    </row>
    <row r="20" spans="1:3">
      <c r="A20" s="1681" t="s">
        <v>1493</v>
      </c>
      <c r="B20" s="1681" t="s">
        <v>3511</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X9" sqref="X9"/>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8" t="str">
        <f>IF(B10="北京市","北京市",C10)&amp;F10&amp;IF(结果表!G1="在建","出让国有建设用地使用权及在建建筑物",IF(结果表!G1="土地","出让国有建设用地使用权",))&amp;B9&amp;"预评估"</f>
        <v>北京市房地产市场价值预评估</v>
      </c>
      <c r="C1" s="3309"/>
      <c r="D1" s="3309"/>
      <c r="E1" s="3309"/>
      <c r="F1" s="3309"/>
      <c r="G1" s="3309"/>
      <c r="H1" s="3309"/>
      <c r="I1" s="3310"/>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北京市房地产市场价值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44873</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3175</v>
      </c>
      <c r="C8" s="2563"/>
      <c r="D8" s="3311" t="s">
        <v>2677</v>
      </c>
      <c r="E8" s="2564"/>
      <c r="F8" s="2565"/>
      <c r="G8" s="2839"/>
      <c r="H8" s="2839"/>
      <c r="I8" s="2839"/>
      <c r="J8" s="2614"/>
      <c r="K8" s="2789"/>
      <c r="L8" s="2788"/>
      <c r="M8" s="2788"/>
      <c r="N8" s="2614"/>
      <c r="O8" s="2625"/>
      <c r="P8" s="2614"/>
      <c r="Q8" s="2614"/>
      <c r="R8" s="2614"/>
    </row>
    <row r="9" spans="1:28" ht="13.5" thickBot="1">
      <c r="A9" s="2566" t="s">
        <v>2678</v>
      </c>
      <c r="B9" s="2567" t="s">
        <v>3174</v>
      </c>
      <c r="C9" s="2568"/>
      <c r="D9" s="3312"/>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v>54569</v>
      </c>
      <c r="F13" s="945"/>
      <c r="G13" s="945"/>
      <c r="H13" s="945">
        <v>58221</v>
      </c>
      <c r="I13" s="945"/>
      <c r="J13" s="2614"/>
      <c r="K13" s="2791"/>
      <c r="L13" s="2788"/>
      <c r="M13" s="2788"/>
      <c r="N13" s="2614"/>
      <c r="O13" s="2625"/>
      <c r="P13" s="2614"/>
      <c r="Q13" s="2614"/>
      <c r="R13" s="2614"/>
    </row>
    <row r="14" spans="1:28">
      <c r="A14" s="1193"/>
      <c r="B14" s="2580"/>
      <c r="C14" s="2581" t="s">
        <v>2691</v>
      </c>
      <c r="D14" s="2582"/>
      <c r="E14" s="2582">
        <v>40</v>
      </c>
      <c r="F14" s="2582"/>
      <c r="G14" s="2582"/>
      <c r="H14" s="2582">
        <v>50</v>
      </c>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26.56</v>
      </c>
      <c r="F15" s="2585" t="str">
        <f>IF(B12="出让",IF(F13="","",ROUNDDOWN(MIN((F13-$D$3)/365,F14),2)),F14)</f>
        <v/>
      </c>
      <c r="G15" s="2585" t="str">
        <f>IF(B12="出让",IF(G13="","",ROUNDDOWN(MIN((G13-$D$3)/365,G14),2)),G14)</f>
        <v/>
      </c>
      <c r="H15" s="2585">
        <f>IF(B12="出让",IF(H13="","",ROUNDDOWN(MIN((H13-$D$3)/365,H14),2)),H14)</f>
        <v>36.56</v>
      </c>
      <c r="I15" s="2585" t="str">
        <f>IF(B12="出让",IF(I13="","",ROUNDDOWN(MIN((I13-$D$3)/365,I14),2)),I14)</f>
        <v/>
      </c>
      <c r="J15" s="2614"/>
      <c r="K15" s="2793"/>
      <c r="L15" s="2626"/>
      <c r="M15" s="2626"/>
      <c r="N15" s="2684"/>
      <c r="O15" s="2626"/>
      <c r="P15" s="2684"/>
      <c r="Q15" s="2614"/>
      <c r="R15" s="2614"/>
    </row>
    <row r="16" spans="1:28">
      <c r="A16" s="2573" t="s">
        <v>2693</v>
      </c>
      <c r="B16" s="3318"/>
      <c r="C16" s="3319"/>
      <c r="D16" s="3320"/>
      <c r="E16" s="2588" t="s">
        <v>2694</v>
      </c>
      <c r="F16" s="3321"/>
      <c r="G16" s="3322"/>
      <c r="H16" s="3322"/>
      <c r="I16" s="3323"/>
      <c r="J16" s="2614"/>
      <c r="K16" s="2793"/>
      <c r="L16" s="2626"/>
      <c r="M16" s="2626"/>
      <c r="N16" s="2684"/>
      <c r="O16" s="2626"/>
      <c r="P16" s="2684"/>
      <c r="Q16" s="2614"/>
      <c r="R16" s="2614"/>
    </row>
    <row r="17" spans="1:28">
      <c r="A17" s="319" t="s">
        <v>2695</v>
      </c>
      <c r="B17" s="308" t="s">
        <v>2696</v>
      </c>
      <c r="C17" s="11">
        <f>'数据-汇总表'!E3</f>
        <v>9511.0600000000031</v>
      </c>
      <c r="D17" s="2495" t="s">
        <v>2697</v>
      </c>
      <c r="E17" s="3324" t="s">
        <v>2698</v>
      </c>
      <c r="F17" s="3325"/>
      <c r="G17" s="3325"/>
      <c r="H17" s="3325"/>
      <c r="I17" s="3326"/>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3589.08</v>
      </c>
      <c r="D18" s="1204" t="s">
        <v>2701</v>
      </c>
      <c r="E18" s="3327" t="s">
        <v>2702</v>
      </c>
      <c r="F18" s="3328"/>
      <c r="G18" s="3328"/>
      <c r="H18" s="3328"/>
      <c r="I18" s="3329"/>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14" t="s">
        <v>2706</v>
      </c>
      <c r="C20" s="3315"/>
      <c r="D20" s="3316" t="s">
        <v>2707</v>
      </c>
      <c r="E20" s="3317"/>
      <c r="F20" s="2823" t="s">
        <v>1501</v>
      </c>
      <c r="G20" s="2840"/>
      <c r="H20" s="2840"/>
      <c r="I20" s="2840"/>
      <c r="J20" s="2614"/>
      <c r="K20" s="3313"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1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1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31"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31"/>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31"/>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32"/>
      <c r="B30" s="308" t="s">
        <v>2718</v>
      </c>
      <c r="C30" s="3333"/>
      <c r="D30" s="3334"/>
      <c r="E30" s="2840"/>
      <c r="F30" s="2840"/>
      <c r="G30" s="2840"/>
      <c r="H30" s="2840"/>
      <c r="I30" s="2840"/>
      <c r="J30" s="2614"/>
      <c r="K30" s="2791"/>
      <c r="L30" s="2788"/>
      <c r="M30" s="2788"/>
      <c r="N30" s="2614"/>
      <c r="O30" s="2625"/>
      <c r="P30" s="2614"/>
      <c r="Q30" s="2614"/>
      <c r="R30" s="2614"/>
      <c r="S30" s="2614"/>
      <c r="T30" s="2614"/>
      <c r="U30" s="2614"/>
      <c r="V30" s="2614"/>
    </row>
    <row r="31" spans="1:28">
      <c r="A31" s="3335"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36"/>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36"/>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30" t="s">
        <v>2728</v>
      </c>
      <c r="T34" s="2603" t="str">
        <f>NUMBERSTRING(7-K34,1)&amp;"通"</f>
        <v>七通</v>
      </c>
      <c r="U34" s="2614"/>
      <c r="V34" s="2614"/>
    </row>
    <row r="35" spans="1:30">
      <c r="A35" s="2604"/>
      <c r="B35" s="3337" t="s">
        <v>2729</v>
      </c>
      <c r="C35" s="3337"/>
      <c r="D35" s="3337"/>
      <c r="E35" s="3337"/>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0"/>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3" sqref="A2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ROUND(G13/2.65,2)</f>
        <v>3589.08</v>
      </c>
      <c r="B3" s="14">
        <f>IF(C3="否",G5-AT5,G5)</f>
        <v>9511.0600000000031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9511.0600000000031</v>
      </c>
      <c r="H5" s="16">
        <f t="shared" ref="H5:AT5" si="0">SUM(H13:H656)</f>
        <v>9511.0600000000031</v>
      </c>
      <c r="I5" s="16">
        <f t="shared" si="0"/>
        <v>6518.7900000000018</v>
      </c>
      <c r="J5" s="16">
        <f t="shared" si="0"/>
        <v>0</v>
      </c>
      <c r="K5" s="16">
        <f t="shared" si="0"/>
        <v>2251.1700000000005</v>
      </c>
      <c r="L5" s="16">
        <f t="shared" si="0"/>
        <v>0</v>
      </c>
      <c r="M5" s="16">
        <f t="shared" si="0"/>
        <v>741.1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9511.0600000000031</v>
      </c>
      <c r="BA5" s="18">
        <f t="shared" si="1"/>
        <v>9511.0600000000031</v>
      </c>
      <c r="BB5" s="18">
        <f t="shared" si="1"/>
        <v>6518.7900000000018</v>
      </c>
      <c r="BC5" s="18">
        <f t="shared" si="1"/>
        <v>2251.1700000000005</v>
      </c>
      <c r="BD5" s="18">
        <f t="shared" si="1"/>
        <v>741.1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3589.08</v>
      </c>
      <c r="F6" s="16" t="s">
        <v>1</v>
      </c>
      <c r="G6" s="16" t="s">
        <v>2</v>
      </c>
      <c r="H6" s="20">
        <f>SUMIF(I$12:AB$12,"总值",I6:AB6)</f>
        <v>3589.08</v>
      </c>
      <c r="I6" s="16">
        <f t="shared" ref="I6:AB6" si="2">ROUND($A$3*I5/$B$3,2)</f>
        <v>2459.92</v>
      </c>
      <c r="J6" s="16">
        <f t="shared" si="2"/>
        <v>0</v>
      </c>
      <c r="K6" s="16">
        <f t="shared" si="2"/>
        <v>849.5</v>
      </c>
      <c r="L6" s="16">
        <f t="shared" si="2"/>
        <v>0</v>
      </c>
      <c r="M6" s="16">
        <f t="shared" si="2"/>
        <v>279.66000000000003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3589.08</v>
      </c>
      <c r="AZ6" s="16" t="s">
        <v>3</v>
      </c>
      <c r="BA6" s="16">
        <f>ROUND($AY$6*BA5/$AZ$5,2)</f>
        <v>3589.08</v>
      </c>
      <c r="BB6" s="16">
        <f>ROUND($AY$6*BB5/$AZ$5,2)</f>
        <v>2459.92</v>
      </c>
      <c r="BC6" s="16">
        <f t="shared" ref="BC6:BH6" si="4">ROUND($AY$6*BC5/$AZ$5,2)</f>
        <v>849.5</v>
      </c>
      <c r="BD6" s="16">
        <f t="shared" si="4"/>
        <v>279.66000000000003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3196</v>
      </c>
      <c r="J9" s="898"/>
      <c r="K9" s="1738" t="s">
        <v>3197</v>
      </c>
      <c r="L9" s="898"/>
      <c r="M9" s="1738" t="s">
        <v>3197</v>
      </c>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t="s">
        <v>3185</v>
      </c>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仓储</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3179</v>
      </c>
      <c r="E13" s="16">
        <f>IF($C$3="是",ROUND($A$3*G13/$B$3,2),ROUND($A$3*(G13-AT13)/$B$3,2))</f>
        <v>3589.08</v>
      </c>
      <c r="F13" s="32"/>
      <c r="G13" s="33">
        <f>H13+AC13+AT13</f>
        <v>9511.0600000000031</v>
      </c>
      <c r="H13" s="20">
        <f>SUMIF(I$12:AB$12,"总值",I13:AB13)</f>
        <v>9511.0600000000031</v>
      </c>
      <c r="I13" s="1761">
        <f>Sheet1!C3+Sheet1!C4+Sheet1!C5+Sheet1!C6</f>
        <v>6518.7900000000018</v>
      </c>
      <c r="J13" s="1761"/>
      <c r="K13" s="1761">
        <f>Sheet1!D7+Sheet1!D8</f>
        <v>2251.1700000000005</v>
      </c>
      <c r="L13" s="1761"/>
      <c r="M13" s="1761">
        <f>Sheet1!E7+Sheet1!E8</f>
        <v>741.1</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3589.08</v>
      </c>
      <c r="AZ13" s="16">
        <f>BA13+BL13</f>
        <v>9511.0600000000031</v>
      </c>
      <c r="BA13" s="16">
        <f>SUM(BB13:BK13)</f>
        <v>9511.0600000000031</v>
      </c>
      <c r="BB13" s="16">
        <f>IF($D13="是",I13-J13,0)</f>
        <v>6518.7900000000018</v>
      </c>
      <c r="BC13" s="16">
        <f>IF($D13="是",K13-L13,0)</f>
        <v>2251.1700000000005</v>
      </c>
      <c r="BD13" s="16">
        <f>IF($D13="是",M13-N13,0)</f>
        <v>741.1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49" t="s">
        <v>1576</v>
      </c>
      <c r="B2" s="3349"/>
      <c r="C2" s="3349"/>
      <c r="D2" s="884" t="s">
        <v>1552</v>
      </c>
      <c r="E2" s="1774" t="s">
        <v>1553</v>
      </c>
      <c r="F2" s="2835"/>
      <c r="G2" s="2826"/>
      <c r="H2" s="2827"/>
      <c r="I2" s="2498" t="s">
        <v>1577</v>
      </c>
      <c r="J2" s="2835"/>
      <c r="K2" s="2835"/>
      <c r="L2" s="2835"/>
      <c r="M2" s="2835"/>
      <c r="N2" s="2837"/>
      <c r="O2" s="2835"/>
      <c r="P2" s="2835"/>
    </row>
    <row r="3" spans="1:16" ht="15.75" thickBot="1">
      <c r="A3" s="3350" t="s">
        <v>1550</v>
      </c>
      <c r="B3" s="3350"/>
      <c r="C3" s="3350"/>
      <c r="D3" s="46">
        <f>'数据-基础表'!AY6</f>
        <v>3589.08</v>
      </c>
      <c r="E3" s="46">
        <f>'数据-基础表'!AZ5</f>
        <v>9511.0600000000031</v>
      </c>
      <c r="F3" s="2835"/>
      <c r="G3" s="1259"/>
      <c r="H3" s="1137" t="s">
        <v>1551</v>
      </c>
      <c r="I3" s="944">
        <f>ROUND('数据-基础表'!B3/'数据-基础表'!A3,2)</f>
        <v>2.65</v>
      </c>
      <c r="J3" s="2835"/>
      <c r="K3" s="2835"/>
      <c r="L3" s="2835"/>
      <c r="M3" s="2835"/>
      <c r="N3" s="2837"/>
      <c r="O3" s="2835"/>
      <c r="P3" s="2835"/>
    </row>
    <row r="4" spans="1:16" ht="15">
      <c r="A4" s="3351"/>
      <c r="B4" s="3352"/>
      <c r="C4" s="3353"/>
      <c r="D4" s="1776" t="s">
        <v>1552</v>
      </c>
      <c r="E4" s="1777" t="s">
        <v>1553</v>
      </c>
      <c r="F4" s="2835"/>
      <c r="G4" s="2828" t="s">
        <v>1578</v>
      </c>
      <c r="H4" s="1137" t="s">
        <v>1558</v>
      </c>
      <c r="I4" s="944">
        <f>ROUND(SUMIF('数据-基础表'!I9:AS9,"地上",'数据-基础表'!I5:AS5)/'数据-基础表'!A3,2)</f>
        <v>1.82</v>
      </c>
      <c r="J4" s="2835"/>
      <c r="K4" s="2835"/>
      <c r="L4" s="2835"/>
      <c r="M4" s="2835"/>
      <c r="N4" s="2837"/>
      <c r="O4" s="2835"/>
      <c r="P4" s="2835"/>
    </row>
    <row r="5" spans="1:16">
      <c r="A5" s="47" t="s">
        <v>1554</v>
      </c>
      <c r="B5" s="3354" t="s">
        <v>1555</v>
      </c>
      <c r="C5" s="3354"/>
      <c r="D5" s="48">
        <f>ROUND($D$3*E5/$E$3,2)</f>
        <v>0</v>
      </c>
      <c r="E5" s="49">
        <f>SUMIF('数据-基础表'!$11:$11,"住宅",'数据-基础表'!$5:$5)</f>
        <v>0</v>
      </c>
      <c r="F5" s="2835"/>
      <c r="G5" s="1259"/>
      <c r="H5" s="1137" t="s">
        <v>1551</v>
      </c>
      <c r="I5" s="944">
        <f>ROUND(E31/D31,2)</f>
        <v>2.65</v>
      </c>
      <c r="J5" s="2835"/>
      <c r="K5" s="2835"/>
      <c r="L5" s="2835"/>
      <c r="M5" s="2835"/>
      <c r="N5" s="2835"/>
      <c r="O5" s="2835"/>
      <c r="P5" s="2835"/>
    </row>
    <row r="6" spans="1:16" ht="15" thickBot="1">
      <c r="A6" s="1779"/>
      <c r="B6" s="3354" t="s">
        <v>1556</v>
      </c>
      <c r="C6" s="3354"/>
      <c r="D6" s="48">
        <f>ROUND($D$3*E6/$E$3,2)</f>
        <v>3589.08</v>
      </c>
      <c r="E6" s="49">
        <f>E3-E5</f>
        <v>9511.0600000000031</v>
      </c>
      <c r="F6" s="2835"/>
      <c r="G6" s="2829" t="s">
        <v>1557</v>
      </c>
      <c r="H6" s="1260" t="s">
        <v>1558</v>
      </c>
      <c r="I6" s="2830">
        <f>ROUND(F31/D31,2)</f>
        <v>1.82</v>
      </c>
      <c r="J6" s="2835"/>
      <c r="K6" s="2835"/>
      <c r="L6" s="2835"/>
      <c r="M6" s="2835"/>
      <c r="N6" s="2835"/>
      <c r="O6" s="2835"/>
      <c r="P6" s="2835"/>
    </row>
    <row r="7" spans="1:16" ht="15.75" thickBot="1">
      <c r="A7" s="3346"/>
      <c r="B7" s="3347"/>
      <c r="C7" s="3348"/>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2459.92</v>
      </c>
      <c r="E8" s="51">
        <f>SUMIF('数据-基础表'!BB10:BK10,"地上",'数据-基础表'!BB5:BK5)</f>
        <v>6518.7900000000018</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849.5</v>
      </c>
      <c r="E10" s="51">
        <f>SUMPRODUCT(('数据-基础表'!BB10:BK10="地下")*('数据-基础表'!BB11:BK11="商业")*('数据-基础表'!BB5:BK5))</f>
        <v>2251.1700000000005</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279.66000000000003</v>
      </c>
      <c r="E12" s="51">
        <f>SUMPRODUCT(('数据-基础表'!BB10:BK10="地下")*('数据-基础表'!BB11:BK11="仓储")*('数据-基础表'!BB5:BK5))</f>
        <v>741.1</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3589.08</v>
      </c>
      <c r="E16" s="53">
        <f>SUM(E8:E15)</f>
        <v>9511.0600000000031</v>
      </c>
      <c r="F16" s="2835"/>
      <c r="G16" s="2836"/>
      <c r="H16" s="1783" t="s">
        <v>1580</v>
      </c>
      <c r="I16" s="1784"/>
      <c r="J16" s="1253"/>
      <c r="K16" s="3343" t="s">
        <v>1580</v>
      </c>
      <c r="L16" s="3344"/>
      <c r="M16" s="3344"/>
      <c r="N16" s="3344"/>
      <c r="O16" s="3344"/>
      <c r="P16" s="3345"/>
    </row>
    <row r="17" spans="1:19" ht="15">
      <c r="A17" s="1785" t="s">
        <v>1581</v>
      </c>
      <c r="B17" s="1786" t="s">
        <v>1582</v>
      </c>
      <c r="C17" s="1787" t="s">
        <v>1583</v>
      </c>
      <c r="D17" s="1788" t="s">
        <v>1571</v>
      </c>
      <c r="E17" s="1789" t="s">
        <v>1572</v>
      </c>
      <c r="F17" s="1790"/>
      <c r="G17" s="1791"/>
      <c r="H17" s="1792" t="s">
        <v>1584</v>
      </c>
      <c r="I17" s="1793" t="s">
        <v>1569</v>
      </c>
      <c r="J17" s="1253"/>
      <c r="K17" s="3340" t="s">
        <v>1585</v>
      </c>
      <c r="L17" s="3341"/>
      <c r="M17" s="3342"/>
      <c r="N17" s="3340" t="s">
        <v>1586</v>
      </c>
      <c r="O17" s="3341"/>
      <c r="P17" s="3342"/>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4" t="s">
        <v>3198</v>
      </c>
      <c r="D19" s="48">
        <f>ROUND($D$3*E19/$E$3,2)</f>
        <v>3589.08</v>
      </c>
      <c r="E19" s="56">
        <f t="shared" ref="E19:E26" si="1">SUM(F19:G19)</f>
        <v>9511.0600000000013</v>
      </c>
      <c r="F19" s="2975">
        <f>'数据-基础表'!I13</f>
        <v>6518.7900000000018</v>
      </c>
      <c r="G19" s="2976">
        <f>'数据-基础表'!K13+'数据-基础表'!M13</f>
        <v>2992.2700000000004</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3589.08</v>
      </c>
      <c r="S19" s="1138">
        <f t="shared" si="5"/>
        <v>9511.0600000000013</v>
      </c>
    </row>
    <row r="20" spans="1:19">
      <c r="A20" s="1806"/>
      <c r="B20" s="50" t="s">
        <v>1598</v>
      </c>
      <c r="C20" s="3234"/>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3589.08</v>
      </c>
      <c r="E27" s="1255">
        <f>IF(SUM(E19:E26)='数据-基础表'!BA5,SUM(E19:E26),IF(F27="地上面积有误","面积有误","地下面积有误"))</f>
        <v>9511.0600000000013</v>
      </c>
      <c r="F27" s="1254">
        <f>IF(SUM(F19:F26)=E8,SUM(F19:F26),"地上面积有误")</f>
        <v>6518.7900000000018</v>
      </c>
      <c r="G27" s="1256">
        <f>SUM(G19:G26)</f>
        <v>2992.2700000000004</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3589.08</v>
      </c>
      <c r="S27" s="1137">
        <f>IF(SUM(S19:S26)=$E$3,SUM(S19:S26),SUM(S19:S26)&amp;"误差"&amp;ROUND(SUM(S19:S26)-E3,2))</f>
        <v>9511.0600000000013</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3589.08</v>
      </c>
      <c r="E31" s="684">
        <f>E27+E30</f>
        <v>9511.0600000000013</v>
      </c>
      <c r="F31" s="685">
        <f>F27+F30</f>
        <v>6518.7900000000018</v>
      </c>
      <c r="G31" s="686">
        <f>G27+G30</f>
        <v>2992.2700000000004</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S41" sqref="S41"/>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44873</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3199</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54569</v>
      </c>
      <c r="F6" s="68">
        <f>SUMIF(项目基本情况!D$12:I$12,C6,项目基本情况!D$15:I$15)</f>
        <v>26.56</v>
      </c>
      <c r="G6" s="69">
        <f>IF(ISERROR(ROUND(POWER(1+H6,D6-F6)*(POWER(1+H6,F6)-1)/(POWER(1+H6,D6)-1),3)),0,ROUND(POWER(1+H6,D6-F6)*(POWER(1+H6,F6)-1)/(POWER(1+H6,D6)-1),3))</f>
        <v>0.84699999999999998</v>
      </c>
      <c r="H6" s="740">
        <v>0.05</v>
      </c>
      <c r="I6" s="740">
        <v>5.5E-2</v>
      </c>
      <c r="J6" s="70">
        <v>0.08</v>
      </c>
      <c r="K6" s="1141">
        <f>SUMIF('数据-汇总表'!C$19:C$33,A6,'数据-汇总表'!E$19:E$33)</f>
        <v>9511.0600000000013</v>
      </c>
      <c r="L6" s="741">
        <v>4000</v>
      </c>
      <c r="M6" s="71">
        <f t="shared" ref="M6:M14" si="0">ROUND(K6*L6/10000,0)</f>
        <v>3804</v>
      </c>
      <c r="N6" s="739">
        <f>N22</f>
        <v>0.85</v>
      </c>
      <c r="O6" s="71" t="str">
        <f>IF($N$5="成新度","——",ROUND(M6*N6,0))</f>
        <v>——</v>
      </c>
      <c r="P6" s="72" t="str">
        <f>IF($N$5="成新度","——",M6-O6)</f>
        <v>——</v>
      </c>
      <c r="Q6" s="742">
        <v>0.1</v>
      </c>
      <c r="R6" s="73">
        <f ca="1">SUMIF('数据-汇总表'!C$19:C$33,A6,'数据-汇总表'!R$19:R$27)</f>
        <v>3589.08</v>
      </c>
      <c r="S6" s="54">
        <f>IF('数据-汇总表'!$I$17="按面积比例",SUMIF('数据-汇总表'!C$19:C$33,A6,'数据-汇总表'!K$19:K$33),SUMIF('数据-汇总表'!C$19:C$33,A6,'数据-汇总表'!N$19:N$33))</f>
        <v>0</v>
      </c>
      <c r="T6" s="1286">
        <f>ROUND($L$14*S6/10000,0)</f>
        <v>0</v>
      </c>
      <c r="U6" s="74">
        <v>5</v>
      </c>
      <c r="V6" s="75">
        <v>0.02</v>
      </c>
      <c r="W6" s="75">
        <v>0</v>
      </c>
      <c r="X6" s="1151"/>
      <c r="Y6" s="76">
        <f>N6</f>
        <v>0.85</v>
      </c>
      <c r="Z6" s="77"/>
      <c r="AA6" s="70"/>
      <c r="AB6" s="70"/>
      <c r="AC6" s="1151"/>
      <c r="AD6" s="78"/>
      <c r="AE6" s="1152">
        <f ca="1">IF(AN6="",0,SUMIF(INDIRECT("'"&amp;AN6&amp;"'"&amp;"!E:E"),$AE$5,INDIRECT("'"&amp;AN6&amp;"'"&amp;"!F:F")))</f>
        <v>26.56</v>
      </c>
      <c r="AF6" s="1482">
        <v>5</v>
      </c>
      <c r="AG6" s="143">
        <f ca="1">IF(AF6="",0,AE6-AF6)</f>
        <v>21.56</v>
      </c>
      <c r="AH6" s="79"/>
      <c r="AI6" s="81">
        <v>365</v>
      </c>
      <c r="AJ6" s="82"/>
      <c r="AK6" s="83">
        <v>5.0000000000000001E-3</v>
      </c>
      <c r="AL6" s="84">
        <v>1E-3</v>
      </c>
      <c r="AM6" s="85">
        <v>5.0000000000000001E-3</v>
      </c>
      <c r="AN6" s="1851" t="s">
        <v>3206</v>
      </c>
      <c r="AO6" s="55">
        <f ca="1">SUMIF(INDIRECT("'"&amp;AN6&amp;"'"&amp;"!A:A"),"总价",INDIRECT("'"&amp;AN6&amp;"'"&amp;"!B:B"))</f>
        <v>38388</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0.84699999999999998</v>
      </c>
      <c r="H16" s="95">
        <f>ROUND(SUMPRODUCT(H6:H13,K6:K13)/SUMPRODUCT((H6:H13&gt;0)*(K6:K13)),3)</f>
        <v>0.05</v>
      </c>
      <c r="I16" s="96"/>
      <c r="J16" s="96"/>
      <c r="K16" s="97">
        <f>SUM(K6:K15)</f>
        <v>9511.0600000000013</v>
      </c>
      <c r="L16" s="98">
        <f>ROUND(M16*10000/SUM(K6:K14),0)</f>
        <v>4000</v>
      </c>
      <c r="M16" s="98">
        <f>SUM(M6:M14)</f>
        <v>3804</v>
      </c>
      <c r="N16" s="99">
        <f>ROUND(SUMPRODUCT(M6:M14,N6:N14)/M16,3)</f>
        <v>0.85</v>
      </c>
      <c r="O16" s="98">
        <f>SUM(O6:O14)</f>
        <v>0</v>
      </c>
      <c r="P16" s="98">
        <f>SUM(P6:P14)</f>
        <v>0</v>
      </c>
      <c r="Q16" s="100">
        <f>ROUND(SUMPRODUCT(Q6:Q13,K6:K13)/SUMPRODUCT((Q6:Q13&gt;0)*(K6:K13)),2)</f>
        <v>0.1</v>
      </c>
      <c r="R16" s="1145">
        <f ca="1">SUM(R6:R13)</f>
        <v>3589.08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2849"/>
      <c r="N20" s="2849"/>
      <c r="O20" s="2849"/>
      <c r="P20" s="2849"/>
      <c r="Q20" s="2849"/>
      <c r="R20" s="2849"/>
      <c r="S20" s="3235" t="s">
        <v>3204</v>
      </c>
      <c r="T20" s="3235" t="s">
        <v>3203</v>
      </c>
      <c r="U20" s="3235" t="s">
        <v>3205</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2849"/>
      <c r="N21" s="2849">
        <v>2013</v>
      </c>
      <c r="O21" s="2849"/>
      <c r="P21" s="2849"/>
      <c r="Q21" s="2849"/>
      <c r="R21" s="2849">
        <v>1</v>
      </c>
      <c r="S21" s="2849">
        <f>Sheet1!D3</f>
        <v>2143.5700000000002</v>
      </c>
      <c r="T21" s="2849">
        <v>1</v>
      </c>
      <c r="U21" s="2849">
        <v>10</v>
      </c>
      <c r="V21" s="2849">
        <f>S21*U21</f>
        <v>21435.7</v>
      </c>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2849"/>
      <c r="N22" s="2849">
        <f>ROUND(1-(2022-N21)/60,2)</f>
        <v>0.85</v>
      </c>
      <c r="O22" s="2849"/>
      <c r="P22" s="2849"/>
      <c r="Q22" s="2849"/>
      <c r="R22" s="2849">
        <v>2</v>
      </c>
      <c r="S22" s="2849">
        <f>Sheet1!D4</f>
        <v>2213.5500000000002</v>
      </c>
      <c r="T22" s="2849">
        <v>0.7</v>
      </c>
      <c r="U22" s="2849">
        <f>T22*$U$21</f>
        <v>7</v>
      </c>
      <c r="V22" s="2849">
        <f t="shared" ref="V22:V26" si="12">S22*U22</f>
        <v>15494.850000000002</v>
      </c>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2849"/>
      <c r="O23" s="2849"/>
      <c r="P23" s="2849"/>
      <c r="Q23" s="2849"/>
      <c r="R23" s="2849">
        <v>3</v>
      </c>
      <c r="S23" s="2849">
        <f>Sheet1!D5</f>
        <v>1698.7800000000002</v>
      </c>
      <c r="T23" s="2849">
        <v>0.6</v>
      </c>
      <c r="U23" s="2849">
        <f t="shared" ref="U23:U26" si="13">T23*$U$21</f>
        <v>6</v>
      </c>
      <c r="V23" s="2849">
        <f t="shared" si="12"/>
        <v>10192.68</v>
      </c>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v>4</v>
      </c>
      <c r="S24" s="2849">
        <f>Sheet1!D6</f>
        <v>462.89000000000004</v>
      </c>
      <c r="T24" s="2849">
        <v>0.6</v>
      </c>
      <c r="U24" s="2849">
        <f t="shared" si="13"/>
        <v>6</v>
      </c>
      <c r="V24" s="2849">
        <f t="shared" si="12"/>
        <v>2777.34</v>
      </c>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t="s">
        <v>3200</v>
      </c>
      <c r="S25" s="2849">
        <f>Sheet1!D7</f>
        <v>1150.7300000000002</v>
      </c>
      <c r="T25" s="2849">
        <v>0.6</v>
      </c>
      <c r="U25" s="2849">
        <f t="shared" si="13"/>
        <v>6</v>
      </c>
      <c r="V25" s="2849">
        <f t="shared" si="12"/>
        <v>6904.380000000001</v>
      </c>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t="s">
        <v>3201</v>
      </c>
      <c r="S26" s="2849">
        <f>Sheet1!D8</f>
        <v>1100.4400000000003</v>
      </c>
      <c r="T26" s="2849">
        <v>0.5</v>
      </c>
      <c r="U26" s="2849">
        <f t="shared" si="13"/>
        <v>5</v>
      </c>
      <c r="V26" s="2849">
        <f t="shared" si="12"/>
        <v>5502.2000000000016</v>
      </c>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f>SUM(S21:S26)</f>
        <v>8769.9600000000028</v>
      </c>
      <c r="T27" s="2849"/>
      <c r="U27" s="2849">
        <f>V27/S27</f>
        <v>7.1046105113364248</v>
      </c>
      <c r="V27" s="2849">
        <f>SUM(V21:V26)</f>
        <v>62307.150000000016</v>
      </c>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f>
        <v>190</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3202</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32" sqref="B32"/>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55" t="s">
        <v>2786</v>
      </c>
      <c r="B1" s="3356"/>
      <c r="C1" s="3356"/>
      <c r="D1" s="3356"/>
      <c r="E1" s="3356"/>
      <c r="F1" s="3356"/>
      <c r="G1" s="335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9511.0600000000031</v>
      </c>
      <c r="C1" s="2864"/>
      <c r="D1" s="2864"/>
      <c r="E1" s="2864"/>
      <c r="F1" s="2864"/>
      <c r="G1" s="2865"/>
      <c r="H1" s="2866"/>
      <c r="I1" s="2866"/>
      <c r="J1" s="2866"/>
      <c r="K1" s="2866"/>
    </row>
    <row r="2" spans="1:11" ht="16.5">
      <c r="A2" s="2687" t="s">
        <v>1078</v>
      </c>
      <c r="B2" s="2687">
        <f>SUM(C14:C23)</f>
        <v>3589.08</v>
      </c>
      <c r="C2" s="2864"/>
      <c r="D2" s="2864"/>
      <c r="E2" s="2864"/>
      <c r="F2" s="2864"/>
      <c r="G2" s="2865"/>
      <c r="H2" s="2866"/>
      <c r="I2" s="2866"/>
      <c r="J2" s="2866"/>
      <c r="K2" s="2866"/>
    </row>
    <row r="3" spans="1:11" ht="16.5">
      <c r="A3" s="2687" t="s">
        <v>1087</v>
      </c>
      <c r="B3" s="2689">
        <f>项目基本情况!D3</f>
        <v>44873</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39462</v>
      </c>
      <c r="C5" s="2687">
        <f ca="1">ROUND(B5*10000/$B$1,0)</f>
        <v>41491</v>
      </c>
      <c r="D5" s="2687">
        <f ca="1">ROUND(B5*10000/$B$2,0)</f>
        <v>109950</v>
      </c>
      <c r="E5" s="2864"/>
      <c r="F5" s="2865"/>
      <c r="G5" s="2865"/>
      <c r="H5" s="2866"/>
      <c r="I5" s="2866"/>
      <c r="J5" s="2866"/>
      <c r="K5" s="2866"/>
    </row>
    <row r="6" spans="1:11" ht="16.5">
      <c r="A6" s="2687" t="s">
        <v>1081</v>
      </c>
      <c r="B6" s="2687">
        <f ca="1">SUM(G14:G23)</f>
        <v>39462</v>
      </c>
      <c r="C6" s="2687">
        <f ca="1">ROUND(B6*10000/$B$1,0)</f>
        <v>41491</v>
      </c>
      <c r="D6" s="2687">
        <f ca="1">ROUND(B6*10000/$B$2,0)</f>
        <v>109950</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9511.0600000000031</v>
      </c>
      <c r="C14" s="2693">
        <f>结果表!C118</f>
        <v>3589.08</v>
      </c>
      <c r="D14" s="2693">
        <f ca="1">结果表!H118</f>
        <v>39462</v>
      </c>
      <c r="E14" s="2693">
        <f ca="1">ROUND(D14*10000/B14,0)</f>
        <v>41491</v>
      </c>
      <c r="F14" s="2693">
        <f ca="1">ROUND(D14*10000/C14,0)</f>
        <v>109950</v>
      </c>
      <c r="G14" s="2693">
        <f ca="1">结果表!D122</f>
        <v>39462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9" sqref="H29"/>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27" t="str">
        <f>项目基本情况!S2</f>
        <v>北京市房地产</v>
      </c>
      <c r="B2" s="3428"/>
      <c r="C2" s="3428"/>
      <c r="D2" s="3428"/>
      <c r="E2" s="3428"/>
      <c r="F2" s="3428"/>
      <c r="G2" s="3428"/>
      <c r="H2" s="3428"/>
      <c r="I2" s="3429"/>
    </row>
    <row r="3" spans="1:12" ht="12.75">
      <c r="A3" s="3431" t="s">
        <v>1709</v>
      </c>
      <c r="B3" s="3432"/>
      <c r="C3" s="3432"/>
      <c r="D3" s="3432"/>
      <c r="E3" s="3432"/>
      <c r="F3" s="3432"/>
      <c r="G3" s="3432"/>
      <c r="H3" s="3432"/>
      <c r="I3" s="3432"/>
    </row>
    <row r="4" spans="1:12" ht="14.25">
      <c r="A4" s="1890" t="s">
        <v>1710</v>
      </c>
      <c r="B4" s="1891" t="s">
        <v>1711</v>
      </c>
      <c r="C4" s="1892" t="s">
        <v>3510</v>
      </c>
      <c r="D4" s="1892" t="s">
        <v>3206</v>
      </c>
      <c r="E4" s="3436" t="s">
        <v>1712</v>
      </c>
      <c r="F4" s="3437"/>
      <c r="G4" s="3437"/>
      <c r="H4" s="3437"/>
      <c r="I4" s="343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2" t="s">
        <v>1713</v>
      </c>
      <c r="B5" s="3430">
        <v>25</v>
      </c>
      <c r="C5" s="3433"/>
      <c r="D5" s="3421"/>
      <c r="E5" s="136" t="s">
        <v>1714</v>
      </c>
      <c r="F5" s="1893"/>
      <c r="G5" s="1893"/>
      <c r="H5" s="1893"/>
      <c r="I5" s="1507"/>
    </row>
    <row r="6" spans="1:12" ht="12.75">
      <c r="A6" s="3372"/>
      <c r="B6" s="3430"/>
      <c r="C6" s="3435"/>
      <c r="D6" s="3421"/>
      <c r="E6" s="136" t="s">
        <v>1715</v>
      </c>
      <c r="F6" s="1893"/>
      <c r="G6" s="1893"/>
      <c r="H6" s="1893"/>
      <c r="I6" s="1507"/>
    </row>
    <row r="7" spans="1:12" ht="12.75">
      <c r="A7" s="3372"/>
      <c r="B7" s="3430"/>
      <c r="C7" s="3434"/>
      <c r="D7" s="3421"/>
      <c r="E7" s="136" t="s">
        <v>1716</v>
      </c>
      <c r="F7" s="1893"/>
      <c r="G7" s="1893"/>
      <c r="H7" s="1893"/>
      <c r="I7" s="1507"/>
    </row>
    <row r="8" spans="1:12" ht="12.75">
      <c r="A8" s="3372" t="s">
        <v>1717</v>
      </c>
      <c r="B8" s="3430">
        <v>15</v>
      </c>
      <c r="C8" s="3433"/>
      <c r="D8" s="3421"/>
      <c r="E8" s="136" t="s">
        <v>1718</v>
      </c>
      <c r="F8" s="1893"/>
      <c r="G8" s="1893"/>
      <c r="H8" s="1893"/>
      <c r="I8" s="1507"/>
    </row>
    <row r="9" spans="1:12" ht="12.75">
      <c r="A9" s="3372"/>
      <c r="B9" s="3430"/>
      <c r="C9" s="3434"/>
      <c r="D9" s="3421"/>
      <c r="E9" s="136" t="s">
        <v>1719</v>
      </c>
      <c r="F9" s="1893"/>
      <c r="G9" s="1893"/>
      <c r="H9" s="1893"/>
      <c r="I9" s="1507"/>
    </row>
    <row r="10" spans="1:12" ht="12.75">
      <c r="A10" s="3372" t="s">
        <v>1720</v>
      </c>
      <c r="B10" s="3430">
        <v>15</v>
      </c>
      <c r="C10" s="3433"/>
      <c r="D10" s="3421"/>
      <c r="E10" s="136" t="s">
        <v>1721</v>
      </c>
      <c r="F10" s="1893"/>
      <c r="G10" s="1893"/>
      <c r="H10" s="1893"/>
      <c r="I10" s="1507"/>
    </row>
    <row r="11" spans="1:12" ht="12.75">
      <c r="A11" s="3372"/>
      <c r="B11" s="3430"/>
      <c r="C11" s="3434"/>
      <c r="D11" s="3421"/>
      <c r="E11" s="136" t="s">
        <v>1722</v>
      </c>
      <c r="F11" s="1893"/>
      <c r="G11" s="1893"/>
      <c r="H11" s="1893"/>
      <c r="I11" s="1507"/>
    </row>
    <row r="12" spans="1:12" ht="12.75">
      <c r="A12" s="3372" t="s">
        <v>1723</v>
      </c>
      <c r="B12" s="3430">
        <v>15</v>
      </c>
      <c r="C12" s="3433"/>
      <c r="D12" s="3421"/>
      <c r="E12" s="136" t="s">
        <v>1724</v>
      </c>
      <c r="F12" s="1893"/>
      <c r="G12" s="1893"/>
      <c r="H12" s="1893"/>
      <c r="I12" s="1507"/>
    </row>
    <row r="13" spans="1:12" ht="12.75">
      <c r="A13" s="3372"/>
      <c r="B13" s="3430"/>
      <c r="C13" s="3434"/>
      <c r="D13" s="3421"/>
      <c r="E13" s="136" t="s">
        <v>1725</v>
      </c>
      <c r="F13" s="1893"/>
      <c r="G13" s="1893"/>
      <c r="H13" s="1893"/>
      <c r="I13" s="1507"/>
    </row>
    <row r="14" spans="1:12" ht="12.75">
      <c r="A14" s="3372" t="s">
        <v>1726</v>
      </c>
      <c r="B14" s="3430">
        <v>30</v>
      </c>
      <c r="C14" s="3433">
        <v>5</v>
      </c>
      <c r="D14" s="3421">
        <v>5</v>
      </c>
      <c r="E14" s="136" t="s">
        <v>1727</v>
      </c>
      <c r="F14" s="1893"/>
      <c r="G14" s="1893"/>
      <c r="H14" s="1893"/>
      <c r="I14" s="1507"/>
    </row>
    <row r="15" spans="1:12" ht="12.75">
      <c r="A15" s="3372"/>
      <c r="B15" s="3430"/>
      <c r="C15" s="3435"/>
      <c r="D15" s="3421"/>
      <c r="E15" s="136" t="s">
        <v>1728</v>
      </c>
      <c r="F15" s="1893"/>
      <c r="G15" s="1893"/>
      <c r="H15" s="1893"/>
      <c r="I15" s="1507"/>
    </row>
    <row r="16" spans="1:12" ht="12.75">
      <c r="A16" s="3372"/>
      <c r="B16" s="3430"/>
      <c r="C16" s="3434"/>
      <c r="D16" s="3421"/>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52" t="s">
        <v>2631</v>
      </c>
      <c r="F18" s="3453"/>
      <c r="G18" s="3453"/>
      <c r="H18" s="3453"/>
      <c r="I18" s="3453"/>
      <c r="K18" s="308" t="s">
        <v>1734</v>
      </c>
      <c r="L18" s="308">
        <f>IF(C1="",'数据-汇总表'!E3,SUMIF(项目类型,C1,'数据-汇总表'!E17:E26)+SUMIF(项目类型,C1,'数据-汇总表'!I17:I26))</f>
        <v>9511.0600000000031</v>
      </c>
      <c r="M18" s="308">
        <f>IF(C1="",'数据-汇总表'!E3,SUMIF(项目类型,C1,'数据-汇总表'!E17:E26))</f>
        <v>9511.0600000000031</v>
      </c>
    </row>
    <row r="19" spans="1:36" ht="15">
      <c r="A19" s="1897" t="s">
        <v>1735</v>
      </c>
      <c r="B19" s="1898" t="s">
        <v>1736</v>
      </c>
      <c r="C19" s="139">
        <f ca="1">SUMIF(INDIRECT("'"&amp;C4&amp;"'"&amp;"!A:A"),结果表!B19,INDIRECT("'"&amp;C4&amp;"'"&amp;"!B:B"))</f>
        <v>40536</v>
      </c>
      <c r="D19" s="140">
        <f ca="1">SUMIF(INDIRECT("'"&amp;D4&amp;"'"&amp;"!A:A"),结果表!B19,INDIRECT("'"&amp;D4&amp;"'"&amp;"!B:B"))</f>
        <v>38388</v>
      </c>
      <c r="E19" s="1897" t="s">
        <v>1737</v>
      </c>
      <c r="F19" s="1898" t="s">
        <v>1736</v>
      </c>
      <c r="G19" s="141">
        <f ca="1">ROUND(C19*$C$18+D19*$D$18,0)</f>
        <v>39462</v>
      </c>
      <c r="H19" s="1899" t="s">
        <v>1738</v>
      </c>
      <c r="I19" s="134"/>
      <c r="K19" s="308" t="s">
        <v>1739</v>
      </c>
      <c r="L19" s="308">
        <f>IF(C1="",'数据-汇总表'!D3,SUMIF(项目类型,C1,'数据-汇总表'!D17:D26)+SUMIF(项目类型,C1,'数据-汇总表'!H17:H27))</f>
        <v>3589.08</v>
      </c>
      <c r="M19" s="308">
        <f>IF(C1="",'数据-汇总表'!D3,SUMIF(项目类型,C1,'数据-汇总表'!D17:D26))</f>
        <v>3589.08</v>
      </c>
    </row>
    <row r="20" spans="1:36" ht="15">
      <c r="A20" s="1900"/>
      <c r="B20" s="1137" t="s">
        <v>1740</v>
      </c>
      <c r="C20" s="142">
        <f ca="1">SUMIF(INDIRECT("'"&amp;C4&amp;"'"&amp;"!A:A"),结果表!B20,INDIRECT("'"&amp;C4&amp;"'"&amp;"!B:B"))</f>
        <v>62183</v>
      </c>
      <c r="D20" s="143">
        <f ca="1">SUMIF(INDIRECT("'"&amp;D4&amp;"'"&amp;"!A:A"),结果表!B20,INDIRECT("'"&amp;D4&amp;"'"&amp;"!B:B"))</f>
        <v>40361</v>
      </c>
      <c r="E20" s="1900"/>
      <c r="F20" s="1137" t="s">
        <v>1740</v>
      </c>
      <c r="G20" s="144">
        <f ca="1">ROUND(C20*$C$18+D20*$D$18,0)</f>
        <v>51272</v>
      </c>
      <c r="H20" s="897" t="s">
        <v>1741</v>
      </c>
      <c r="I20" s="134"/>
    </row>
    <row r="21" spans="1:36" ht="15" customHeight="1" thickBot="1">
      <c r="A21" s="917"/>
      <c r="B21" s="1901" t="s">
        <v>1742</v>
      </c>
      <c r="C21" s="727">
        <f ca="1">ROUND(C19*10000/L19,0)</f>
        <v>112943</v>
      </c>
      <c r="D21" s="728">
        <f ca="1">ROUND(D19*10000/L19,0)</f>
        <v>106958</v>
      </c>
      <c r="E21" s="917"/>
      <c r="F21" s="1901" t="s">
        <v>1742</v>
      </c>
      <c r="G21" s="145">
        <f ca="1">ROUND(G19*10000/L19,0)</f>
        <v>109950</v>
      </c>
      <c r="H21" s="1902" t="s">
        <v>1741</v>
      </c>
      <c r="I21" s="134"/>
    </row>
    <row r="22" spans="1:36" ht="15" thickBot="1">
      <c r="A22" s="1824" t="s">
        <v>1743</v>
      </c>
      <c r="B22" s="1903"/>
      <c r="C22" s="1904"/>
      <c r="D22" s="729">
        <f ca="1">IF(C19&lt;D19,D19/C19-1,C19/D19-1)</f>
        <v>5.5954985933104107E-2</v>
      </c>
      <c r="E22" s="134"/>
      <c r="F22" s="134"/>
      <c r="G22" s="134"/>
      <c r="H22" s="134"/>
      <c r="I22" s="134"/>
    </row>
    <row r="23" spans="1:36" ht="13.5" thickBot="1">
      <c r="A23" s="1883"/>
      <c r="B23" s="1883"/>
      <c r="C23" s="1883"/>
      <c r="D23" s="1883"/>
      <c r="E23" s="134"/>
      <c r="F23" s="134"/>
      <c r="G23" s="134"/>
      <c r="H23" s="134"/>
      <c r="I23" s="134"/>
    </row>
    <row r="24" spans="1:36" ht="14.25">
      <c r="A24" s="3445" t="s">
        <v>1744</v>
      </c>
      <c r="B24" s="1898" t="s">
        <v>1736</v>
      </c>
      <c r="C24" s="141">
        <f>IF(B30=0,0,D30)</f>
        <v>0</v>
      </c>
      <c r="D24" s="1905"/>
      <c r="E24" s="134"/>
      <c r="F24" s="134"/>
      <c r="G24" s="134"/>
      <c r="H24" s="134"/>
      <c r="I24" s="134"/>
    </row>
    <row r="25" spans="1:36" ht="14.25">
      <c r="A25" s="3446"/>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39462</v>
      </c>
      <c r="D32" s="1911" t="s">
        <v>3223</v>
      </c>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22" t="s">
        <v>1757</v>
      </c>
      <c r="B36" s="1923" t="s">
        <v>1758</v>
      </c>
      <c r="C36" s="150"/>
      <c r="D36" s="1924"/>
      <c r="E36" s="1925"/>
      <c r="F36" s="1926"/>
      <c r="G36" s="134"/>
      <c r="H36" s="134"/>
      <c r="I36" s="134"/>
    </row>
    <row r="37" spans="1:15" ht="15.75" thickBot="1">
      <c r="A37" s="3423"/>
      <c r="B37" s="1810" t="s">
        <v>1759</v>
      </c>
      <c r="C37" s="152"/>
      <c r="D37" s="1253"/>
      <c r="E37" s="1253"/>
      <c r="F37" s="1926"/>
      <c r="G37" s="134"/>
      <c r="H37" s="134"/>
      <c r="I37" s="134"/>
    </row>
    <row r="38" spans="1:15" ht="15.75" thickBot="1">
      <c r="A38" s="3424"/>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42" t="s">
        <v>1771</v>
      </c>
      <c r="B45" s="3443"/>
      <c r="C45" s="3444"/>
      <c r="D45" s="160">
        <f ca="1">ROUND(H101*F45,0)</f>
        <v>39462</v>
      </c>
      <c r="E45" s="161" t="s">
        <v>1772</v>
      </c>
      <c r="F45" s="162">
        <v>1</v>
      </c>
      <c r="G45" s="163" t="s">
        <v>1773</v>
      </c>
      <c r="H45" s="134"/>
      <c r="I45" s="134"/>
      <c r="J45" s="3359" t="s">
        <v>1774</v>
      </c>
      <c r="K45" s="3359"/>
      <c r="L45" s="3359"/>
      <c r="M45" s="3359"/>
      <c r="N45" s="3359"/>
      <c r="O45" s="3359"/>
    </row>
    <row r="46" spans="1:15" ht="14.25" customHeight="1">
      <c r="A46" s="3439" t="s">
        <v>1775</v>
      </c>
      <c r="B46" s="3440"/>
      <c r="C46" s="3440"/>
      <c r="D46" s="3440"/>
      <c r="E46" s="3440"/>
      <c r="F46" s="3440"/>
      <c r="G46" s="3441"/>
      <c r="H46" s="1942"/>
      <c r="I46" s="164"/>
      <c r="J46" s="2698">
        <v>1</v>
      </c>
      <c r="K46" s="3360" t="s">
        <v>1776</v>
      </c>
      <c r="L46" s="3360"/>
      <c r="M46" s="3361"/>
      <c r="N46" s="3361"/>
      <c r="O46" s="3361"/>
    </row>
    <row r="47" spans="1:15" ht="12" customHeight="1">
      <c r="A47" s="165" t="s">
        <v>1777</v>
      </c>
      <c r="B47" s="166"/>
      <c r="C47" s="167"/>
      <c r="D47" s="1199" t="s">
        <v>1778</v>
      </c>
      <c r="E47" s="308" t="s">
        <v>1779</v>
      </c>
      <c r="F47" s="168" t="s">
        <v>1780</v>
      </c>
      <c r="G47" s="2721" t="s">
        <v>1781</v>
      </c>
      <c r="H47" s="2722"/>
      <c r="I47" s="164"/>
      <c r="J47" s="2698">
        <v>2</v>
      </c>
      <c r="K47" s="3360" t="s">
        <v>1782</v>
      </c>
      <c r="L47" s="3360"/>
      <c r="M47" s="3362">
        <f>'数据-取费表'!B2</f>
        <v>44873</v>
      </c>
      <c r="N47" s="3362"/>
      <c r="O47" s="3362"/>
    </row>
    <row r="48" spans="1:15" ht="25.5">
      <c r="A48" s="3425" t="s">
        <v>1783</v>
      </c>
      <c r="B48" s="3426"/>
      <c r="C48" s="3426"/>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60" t="s">
        <v>1785</v>
      </c>
      <c r="L48" s="3360"/>
      <c r="M48" s="3363">
        <f ca="1">H101</f>
        <v>39462</v>
      </c>
      <c r="N48" s="3363"/>
      <c r="O48" s="3363"/>
    </row>
    <row r="49" spans="1:35" ht="25.5" customHeight="1">
      <c r="A49" s="2506" t="s">
        <v>1786</v>
      </c>
      <c r="B49" s="3408" t="s">
        <v>1787</v>
      </c>
      <c r="C49" s="3408"/>
      <c r="D49" s="1725">
        <v>0</v>
      </c>
      <c r="E49" s="330" t="s">
        <v>1788</v>
      </c>
      <c r="F49" s="2599" t="s">
        <v>34</v>
      </c>
      <c r="G49" s="3391"/>
      <c r="H49" s="2478" t="s">
        <v>2634</v>
      </c>
      <c r="I49" s="2479"/>
      <c r="J49" s="2698">
        <v>4</v>
      </c>
      <c r="K49" s="3360" t="str">
        <f>IF(项目基本情况!E8="房地产抵押价值","房地产抵押价值","抵押担保权已注销时的房地产抵押价值")</f>
        <v>抵押担保权已注销时的房地产抵押价值</v>
      </c>
      <c r="L49" s="3360"/>
      <c r="M49" s="3363" t="str">
        <f>IF(项目基本情况!E8="房地产抵押价值",H107,H109)</f>
        <v>——</v>
      </c>
      <c r="N49" s="3363"/>
      <c r="O49" s="3363"/>
    </row>
    <row r="50" spans="1:35" ht="25.5" customHeight="1">
      <c r="A50" s="2726"/>
      <c r="B50" s="3408" t="s">
        <v>1789</v>
      </c>
      <c r="C50" s="3408"/>
      <c r="D50" s="2727"/>
      <c r="E50" s="338"/>
      <c r="F50" s="2599"/>
      <c r="G50" s="3392"/>
      <c r="H50" s="2480" t="s">
        <v>2635</v>
      </c>
      <c r="I50" s="2479"/>
      <c r="J50" s="3359" t="s">
        <v>1790</v>
      </c>
      <c r="K50" s="3359"/>
      <c r="L50" s="3359"/>
      <c r="M50" s="3359"/>
      <c r="N50" s="3359"/>
      <c r="O50" s="3359"/>
    </row>
    <row r="51" spans="1:35" ht="20.45" customHeight="1">
      <c r="A51" s="2728"/>
      <c r="B51" s="3408" t="s">
        <v>1791</v>
      </c>
      <c r="C51" s="3408"/>
      <c r="D51" s="1199"/>
      <c r="E51" s="333"/>
      <c r="F51" s="2599"/>
      <c r="G51" s="3393"/>
      <c r="H51" s="2480" t="s">
        <v>2636</v>
      </c>
      <c r="I51" s="2479"/>
      <c r="J51" s="2699" t="s">
        <v>1792</v>
      </c>
      <c r="K51" s="3360" t="s">
        <v>1793</v>
      </c>
      <c r="L51" s="3360"/>
      <c r="M51" s="2699" t="s">
        <v>1794</v>
      </c>
      <c r="N51" s="2699" t="s">
        <v>1795</v>
      </c>
      <c r="O51" s="2699" t="s">
        <v>1796</v>
      </c>
    </row>
    <row r="52" spans="1:35" ht="24" customHeight="1">
      <c r="A52" s="2508" t="s">
        <v>1797</v>
      </c>
      <c r="B52" s="3408" t="s">
        <v>1798</v>
      </c>
      <c r="C52" s="3408"/>
      <c r="D52" s="1199">
        <f ca="1">ROUND(D45*'数据-取费表'!B41/(1+'数据-取费表'!C42),0)</f>
        <v>2105</v>
      </c>
      <c r="E52" s="2507" t="s">
        <v>1799</v>
      </c>
      <c r="F52" s="2729">
        <f>'数据-取费表'!B41</f>
        <v>5.6000000000000001E-2</v>
      </c>
      <c r="G52" s="2730"/>
      <c r="H52" s="2719"/>
      <c r="I52" s="1943"/>
      <c r="J52" s="2698">
        <v>1</v>
      </c>
      <c r="K52" s="3385" t="s">
        <v>1800</v>
      </c>
      <c r="L52" s="3385"/>
      <c r="M52" s="2700" t="b">
        <f>D48</f>
        <v>0</v>
      </c>
      <c r="N52" s="2698" t="str">
        <f>E48</f>
        <v>销售额×税（费）率</v>
      </c>
      <c r="O52" s="2701">
        <f>F48</f>
        <v>5.6000000000000001E-2</v>
      </c>
    </row>
    <row r="53" spans="1:35" ht="12" customHeight="1">
      <c r="A53" s="2508" t="s">
        <v>1801</v>
      </c>
      <c r="B53" s="3409" t="s">
        <v>2791</v>
      </c>
      <c r="C53" s="3410"/>
      <c r="D53" s="1199">
        <f ca="1">ROUND(D45*'数据-取费表'!B41/(1+'数据-取费表'!C42),0)</f>
        <v>2105</v>
      </c>
      <c r="E53" s="2507" t="s">
        <v>1799</v>
      </c>
      <c r="F53" s="2729">
        <f>'数据-取费表'!B41</f>
        <v>5.6000000000000001E-2</v>
      </c>
      <c r="G53" s="2730"/>
      <c r="H53" s="2719"/>
      <c r="I53" s="1943"/>
      <c r="J53" s="2698">
        <v>2</v>
      </c>
      <c r="K53" s="3385" t="s">
        <v>1802</v>
      </c>
      <c r="L53" s="3385"/>
      <c r="M53" s="2700">
        <f t="shared" ref="M53:O54" ca="1" si="0">D55</f>
        <v>20</v>
      </c>
      <c r="N53" s="2698" t="str">
        <f t="shared" si="0"/>
        <v>销售额×税（费）率</v>
      </c>
      <c r="O53" s="2701" t="str">
        <f t="shared" si="0"/>
        <v>免征</v>
      </c>
    </row>
    <row r="54" spans="1:35" ht="12" customHeight="1">
      <c r="A54" s="2508" t="s">
        <v>1803</v>
      </c>
      <c r="B54" s="3409" t="s">
        <v>2792</v>
      </c>
      <c r="C54" s="3410"/>
      <c r="D54" s="1199">
        <f ca="1">C68</f>
        <v>2105</v>
      </c>
      <c r="E54" s="333" t="s">
        <v>1804</v>
      </c>
      <c r="F54" s="2729">
        <f>'数据-取费表'!B41</f>
        <v>5.6000000000000001E-2</v>
      </c>
      <c r="G54" s="2730"/>
      <c r="H54" s="2731"/>
      <c r="I54" s="1943"/>
      <c r="J54" s="2698">
        <v>3</v>
      </c>
      <c r="K54" s="3385" t="s">
        <v>1805</v>
      </c>
      <c r="L54" s="3385"/>
      <c r="M54" s="2700">
        <f t="shared" ca="1" si="0"/>
        <v>22336</v>
      </c>
      <c r="N54" s="2698" t="str">
        <f t="shared" si="0"/>
        <v>增值额×税（费）率</v>
      </c>
      <c r="O54" s="2702" t="str">
        <f t="shared" si="0"/>
        <v>免征</v>
      </c>
    </row>
    <row r="55" spans="1:35" ht="24" customHeight="1">
      <c r="A55" s="3448" t="s">
        <v>1806</v>
      </c>
      <c r="B55" s="3426"/>
      <c r="C55" s="3426"/>
      <c r="D55" s="2497">
        <f ca="1">IF(H55="个人住宅",0,ROUND(D45*I55,0))</f>
        <v>20</v>
      </c>
      <c r="E55" s="2507" t="s">
        <v>1807</v>
      </c>
      <c r="F55" s="2729" t="str">
        <f>IF(H55="正常",I55,"免征")</f>
        <v>免征</v>
      </c>
      <c r="G55" s="2730"/>
      <c r="H55" s="2725"/>
      <c r="I55" s="170">
        <f>'数据-取费表'!B49</f>
        <v>5.0000000000000001E-4</v>
      </c>
      <c r="J55" s="2698">
        <f>IF(H59="非个人房产","",4)</f>
        <v>4</v>
      </c>
      <c r="K55" s="3385" t="str">
        <f>IF(H59="非个人房产","——","个人所得税")</f>
        <v>个人所得税</v>
      </c>
      <c r="L55" s="3385"/>
      <c r="M55" s="2703">
        <f ca="1">D59</f>
        <v>376</v>
      </c>
      <c r="N55" s="2178" t="str">
        <f>E59</f>
        <v>差额计税</v>
      </c>
      <c r="O55" s="2704">
        <f>F59</f>
        <v>0.01</v>
      </c>
    </row>
    <row r="56" spans="1:35" ht="24.75">
      <c r="A56" s="3448" t="s">
        <v>1808</v>
      </c>
      <c r="B56" s="3426"/>
      <c r="C56" s="3426"/>
      <c r="D56" s="2497">
        <f ca="1">IF(H56="个人住宅",D57,D58)</f>
        <v>22336</v>
      </c>
      <c r="E56" s="2507" t="s">
        <v>1809</v>
      </c>
      <c r="F56" s="2729" t="str">
        <f>IF(H56="正常",F58,"免征")</f>
        <v>免征</v>
      </c>
      <c r="G56" s="2732" t="s">
        <v>1810</v>
      </c>
      <c r="H56" s="2733"/>
      <c r="I56" s="1944"/>
      <c r="J56" s="2698" t="str">
        <f>IF(项目基本情况!K6="上海银行",IF(J55="",4,J55+1),"")</f>
        <v/>
      </c>
      <c r="K56" s="3366" t="str">
        <f>IF(项目基本情况!K6="上海银行","其他处置费用","")</f>
        <v/>
      </c>
      <c r="L56" s="3367"/>
      <c r="M56" s="2700" t="str">
        <f>IF(项目基本情况!K6="上海银行",M69,"")</f>
        <v/>
      </c>
      <c r="N56" s="3366" t="str">
        <f>IF(项目基本情况!K6="上海银行","包含处置中涉及的律师、诉讼、拍卖、评估等费用","")</f>
        <v/>
      </c>
      <c r="O56" s="3369"/>
    </row>
    <row r="57" spans="1:35" ht="12.75">
      <c r="A57" s="2508" t="s">
        <v>1786</v>
      </c>
      <c r="B57" s="3409" t="s">
        <v>1811</v>
      </c>
      <c r="C57" s="3410"/>
      <c r="D57" s="1725">
        <v>0</v>
      </c>
      <c r="E57" s="330" t="s">
        <v>1788</v>
      </c>
      <c r="F57" s="308"/>
      <c r="G57" s="2730"/>
      <c r="H57" s="2734"/>
      <c r="I57" s="1944"/>
      <c r="J57" s="3385">
        <f>IF(AND(J55="",J56=""),4,IF(项目基本情况!K6="上海银行",结果表!J56+1,结果表!J55+1))</f>
        <v>5</v>
      </c>
      <c r="K57" s="3385" t="s">
        <v>1812</v>
      </c>
      <c r="L57" s="2705" t="s">
        <v>1813</v>
      </c>
      <c r="M57" s="2706"/>
      <c r="N57" s="2707">
        <f ca="1">SUMIF(M52:M56,"&lt;9e307")</f>
        <v>22732</v>
      </c>
      <c r="O57" s="2708"/>
      <c r="P57" s="2868" t="e">
        <f ca="1">N57/M49</f>
        <v>#VALUE!</v>
      </c>
    </row>
    <row r="58" spans="1:35" ht="24.75">
      <c r="A58" s="2508" t="s">
        <v>1797</v>
      </c>
      <c r="B58" s="3409" t="s">
        <v>1814</v>
      </c>
      <c r="C58" s="3408"/>
      <c r="D58" s="2497">
        <f ca="1">IF(H58="转让取得",C81,C97)</f>
        <v>22336</v>
      </c>
      <c r="E58" s="2507" t="s">
        <v>1809</v>
      </c>
      <c r="F58" s="308" t="s">
        <v>34</v>
      </c>
      <c r="G58" s="2730"/>
      <c r="H58" s="2733"/>
      <c r="I58" s="1944"/>
      <c r="J58" s="3385"/>
      <c r="K58" s="3385"/>
      <c r="L58" s="2705" t="s">
        <v>1815</v>
      </c>
      <c r="M58" s="2709"/>
      <c r="N58" s="2710" t="str">
        <f ca="1">NUMBERSTRING(INT(N57*10000),2)&amp;"元整"</f>
        <v>贰亿贰仟柒佰叁拾贰万元整</v>
      </c>
      <c r="O58" s="2711"/>
    </row>
    <row r="59" spans="1:35" ht="24.75" thickBot="1">
      <c r="A59" s="3389" t="s">
        <v>1816</v>
      </c>
      <c r="B59" s="3390"/>
      <c r="C59" s="3390"/>
      <c r="D59" s="2735">
        <f ca="1">IF(H59="非个人房产","——",IF(H59="个人住宅（满五唯一有凭证）",0,IF(H59="个人其他（无凭证）",ROUND(D45*F59,0),ROUND(C67*F59,0))))</f>
        <v>376</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7">
        <f>J57+1</f>
        <v>6</v>
      </c>
      <c r="K59" s="3385" t="s">
        <v>1817</v>
      </c>
      <c r="L59" s="2698" t="s">
        <v>1813</v>
      </c>
      <c r="M59" s="2712"/>
      <c r="N59" s="2713" t="e">
        <f ca="1">M49-N57</f>
        <v>#VALUE!</v>
      </c>
      <c r="O59" s="2714"/>
    </row>
    <row r="60" spans="1:35" ht="12" customHeight="1">
      <c r="A60" s="1945"/>
      <c r="B60" s="1883"/>
      <c r="C60" s="1883"/>
      <c r="D60" s="1883"/>
      <c r="E60" s="1713"/>
      <c r="F60" s="1944"/>
      <c r="G60" s="1944"/>
      <c r="H60" s="1946"/>
      <c r="I60" s="134"/>
      <c r="J60" s="3388"/>
      <c r="K60" s="3385"/>
      <c r="L60" s="2705" t="s">
        <v>1815</v>
      </c>
      <c r="M60" s="2709"/>
      <c r="N60" s="2710" t="e">
        <f ca="1">NUMBERSTRING(INT(N59*10000),2)&amp;"元整"</f>
        <v>#VALUE!</v>
      </c>
      <c r="O60" s="2711"/>
    </row>
    <row r="61" spans="1:35" ht="13.5" thickBot="1">
      <c r="A61" s="3447" t="s">
        <v>1818</v>
      </c>
      <c r="B61" s="3447"/>
      <c r="C61" s="3447"/>
      <c r="D61" s="3447"/>
      <c r="E61" s="3447"/>
      <c r="F61" s="1944"/>
      <c r="G61" s="1944"/>
      <c r="H61" s="1946"/>
      <c r="I61" s="134"/>
      <c r="J61" s="2698">
        <f>J59+1</f>
        <v>7</v>
      </c>
      <c r="K61" s="3385" t="s">
        <v>1819</v>
      </c>
      <c r="L61" s="3385"/>
      <c r="M61" s="2715"/>
      <c r="N61" s="2716" t="e">
        <f ca="1">ROUND(N59*10000/'数据-汇总表'!E3,0)</f>
        <v>#VALUE!</v>
      </c>
      <c r="O61" s="2717"/>
    </row>
    <row r="62" spans="1:35" ht="12.75">
      <c r="A62" s="3404" t="s">
        <v>1820</v>
      </c>
      <c r="B62" s="3405"/>
      <c r="C62" s="2159"/>
      <c r="D62" s="2159" t="s">
        <v>1821</v>
      </c>
      <c r="E62" s="171" t="s">
        <v>1822</v>
      </c>
      <c r="F62" s="1944"/>
      <c r="G62" s="1944"/>
      <c r="H62" s="1946"/>
      <c r="I62" s="134"/>
    </row>
    <row r="63" spans="1:35" ht="12.75">
      <c r="A63" s="178" t="s">
        <v>594</v>
      </c>
      <c r="B63" s="172" t="s">
        <v>1823</v>
      </c>
      <c r="C63" s="2739">
        <f ca="1">ROUND((C64+C65)/(1+'数据-取费表'!C42),0)</f>
        <v>37583</v>
      </c>
      <c r="D63" s="172"/>
      <c r="E63" s="173"/>
      <c r="F63" s="1944"/>
      <c r="G63" s="1944"/>
      <c r="H63" s="1946"/>
      <c r="I63" s="134"/>
      <c r="J63" s="3368"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39462</v>
      </c>
      <c r="D64" s="175" t="s">
        <v>32</v>
      </c>
      <c r="E64" s="177"/>
      <c r="F64" s="1944"/>
      <c r="G64" s="1944"/>
      <c r="H64" s="1946"/>
      <c r="I64" s="134"/>
      <c r="J64" s="3368"/>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368"/>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368"/>
      <c r="K66" s="1452" t="s">
        <v>1832</v>
      </c>
      <c r="L66" s="1452" t="e">
        <f>M49*0.5%</f>
        <v>#VALUE!</v>
      </c>
      <c r="M66" s="308" t="e">
        <f>IF(L66&gt;0.5,0.5,ROUND(L66,0))</f>
        <v>#VALUE!</v>
      </c>
      <c r="N66" s="2719" t="s">
        <v>1833</v>
      </c>
      <c r="Z66" s="1888"/>
      <c r="AI66" s="1889"/>
    </row>
    <row r="67" spans="1:35" ht="14.25" customHeight="1">
      <c r="A67" s="178" t="s">
        <v>592</v>
      </c>
      <c r="B67" s="179" t="s">
        <v>1834</v>
      </c>
      <c r="C67" s="2743">
        <f ca="1">C63-C66</f>
        <v>37583</v>
      </c>
      <c r="D67" s="175" t="s">
        <v>32</v>
      </c>
      <c r="E67" s="177"/>
      <c r="F67" s="1944"/>
      <c r="G67" s="1944"/>
      <c r="H67" s="1946"/>
      <c r="I67" s="134"/>
      <c r="J67" s="3368"/>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2105</v>
      </c>
      <c r="D68" s="2745">
        <f>'数据-取费表'!B41</f>
        <v>5.6000000000000001E-2</v>
      </c>
      <c r="E68" s="184"/>
      <c r="F68" s="1944"/>
      <c r="G68" s="1944"/>
      <c r="H68" s="1946"/>
      <c r="I68" s="134"/>
      <c r="J68" s="3368"/>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368"/>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12" t="s">
        <v>1839</v>
      </c>
      <c r="B70" s="3413"/>
      <c r="C70" s="3413"/>
      <c r="D70" s="3413"/>
      <c r="E70" s="3413"/>
      <c r="F70" s="3413"/>
      <c r="G70" s="3413"/>
      <c r="H70" s="3413"/>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4" t="s">
        <v>1820</v>
      </c>
      <c r="B71" s="3405"/>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37583</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225</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9" t="s">
        <v>1847</v>
      </c>
      <c r="F76" s="3408"/>
      <c r="G76" s="3408"/>
      <c r="H76" s="341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225</v>
      </c>
      <c r="D78" s="2752">
        <f>'数据-取费表'!B43</f>
        <v>6.000000000000001E-3</v>
      </c>
      <c r="E78" s="3401" t="s">
        <v>1851</v>
      </c>
      <c r="F78" s="3402"/>
      <c r="G78" s="3402"/>
      <c r="H78" s="340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37358</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166.03555555555556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22336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2" t="s">
        <v>1855</v>
      </c>
      <c r="B83" s="3413"/>
      <c r="C83" s="3413"/>
      <c r="D83" s="3413"/>
      <c r="E83" s="3413"/>
      <c r="F83" s="3413"/>
      <c r="G83" s="3413"/>
      <c r="H83" s="341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4" t="s">
        <v>1820</v>
      </c>
      <c r="B84" s="3405"/>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37583</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225</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70" t="s">
        <v>2629</v>
      </c>
      <c r="H90" s="3371"/>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401" t="s">
        <v>1864</v>
      </c>
      <c r="F91" s="3402"/>
      <c r="G91" s="340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401" t="s">
        <v>1867</v>
      </c>
      <c r="F92" s="3402"/>
      <c r="G92" s="3402"/>
      <c r="H92" s="3403"/>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225</v>
      </c>
      <c r="D93" s="2752">
        <f>'数据-取费表'!B43</f>
        <v>6.000000000000001E-3</v>
      </c>
      <c r="E93" s="3401" t="s">
        <v>1851</v>
      </c>
      <c r="F93" s="3402"/>
      <c r="G93" s="3402"/>
      <c r="H93" s="340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9" t="s">
        <v>1871</v>
      </c>
      <c r="F94" s="3450"/>
      <c r="G94" s="3450"/>
      <c r="H94" s="345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37358</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166.03555555555556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22336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1" t="s">
        <v>1873</v>
      </c>
      <c r="B100" s="3352"/>
      <c r="C100" s="3352"/>
      <c r="D100" s="3386"/>
      <c r="E100" s="3352" t="s">
        <v>1874</v>
      </c>
      <c r="F100" s="3352"/>
      <c r="G100" s="3352"/>
      <c r="H100" s="3386"/>
      <c r="I100" s="134"/>
    </row>
    <row r="101" spans="1:35" ht="18.75" customHeight="1">
      <c r="A101" s="3394" t="s">
        <v>1875</v>
      </c>
      <c r="B101" s="3395"/>
      <c r="C101" s="2760" t="str">
        <f>C4</f>
        <v>比较法-商业大宗</v>
      </c>
      <c r="D101" s="2761" t="str">
        <f>D4</f>
        <v>收益法</v>
      </c>
      <c r="E101" s="3364" t="s">
        <v>1876</v>
      </c>
      <c r="F101" s="3365"/>
      <c r="G101" s="1963" t="s">
        <v>1877</v>
      </c>
      <c r="H101" s="2770">
        <f ca="1">H118</f>
        <v>39462</v>
      </c>
      <c r="I101" s="134"/>
    </row>
    <row r="102" spans="1:35" ht="18.75" customHeight="1">
      <c r="A102" s="3396" t="s">
        <v>1878</v>
      </c>
      <c r="B102" s="2759" t="s">
        <v>1877</v>
      </c>
      <c r="C102" s="2760">
        <f ca="1">C19</f>
        <v>40536</v>
      </c>
      <c r="D102" s="2761">
        <f ca="1">D19</f>
        <v>38388</v>
      </c>
      <c r="E102" s="3364"/>
      <c r="F102" s="3365"/>
      <c r="G102" s="1963" t="s">
        <v>1879</v>
      </c>
      <c r="H102" s="2730">
        <f ca="1">I118</f>
        <v>41491</v>
      </c>
      <c r="I102" s="134"/>
    </row>
    <row r="103" spans="1:35" ht="42.75" customHeight="1">
      <c r="A103" s="3396"/>
      <c r="B103" s="2759" t="s">
        <v>1879</v>
      </c>
      <c r="C103" s="2762">
        <f ca="1">C20</f>
        <v>62183</v>
      </c>
      <c r="D103" s="2763">
        <f ca="1">D20</f>
        <v>40361</v>
      </c>
      <c r="E103" s="3357" t="s">
        <v>1880</v>
      </c>
      <c r="F103" s="3358"/>
      <c r="G103" s="1964" t="s">
        <v>1881</v>
      </c>
      <c r="H103" s="2770">
        <f>IF(D36="正常操作",H104+H105+H106,H105+H106)</f>
        <v>0</v>
      </c>
      <c r="I103" s="134"/>
    </row>
    <row r="104" spans="1:35" ht="18.75" customHeight="1">
      <c r="A104" s="3396" t="s">
        <v>1882</v>
      </c>
      <c r="B104" s="2764" t="s">
        <v>1877</v>
      </c>
      <c r="C104" s="2765">
        <f ca="1">H118</f>
        <v>39462</v>
      </c>
      <c r="D104" s="2766"/>
      <c r="E104" s="1810" t="s">
        <v>1883</v>
      </c>
      <c r="F104" s="1801"/>
      <c r="G104" s="1964" t="s">
        <v>1881</v>
      </c>
      <c r="H104" s="2771">
        <f>IF(D36="同一抵押权人同一抵押物续贷",C36&amp;"（续贷，未扣减，详见特别提示）",C36)</f>
        <v>0</v>
      </c>
      <c r="I104" s="134"/>
    </row>
    <row r="105" spans="1:35" ht="18.75" customHeight="1" thickBot="1">
      <c r="A105" s="3406"/>
      <c r="B105" s="2767" t="s">
        <v>1879</v>
      </c>
      <c r="C105" s="2768">
        <f ca="1">I118</f>
        <v>41491</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97" t="str">
        <f>IF(项目基本情况!E8="已注销","——","3.房地产抵押价值")</f>
        <v>3.房地产抵押价值</v>
      </c>
      <c r="F107" s="3365"/>
      <c r="G107" s="1963" t="s">
        <v>1877</v>
      </c>
      <c r="H107" s="2770">
        <f ca="1">IF(E107="——","——",H101-H103)</f>
        <v>39462</v>
      </c>
      <c r="I107" s="134"/>
    </row>
    <row r="108" spans="1:35" ht="18.75" customHeight="1">
      <c r="A108" s="134"/>
      <c r="B108" s="134"/>
      <c r="C108" s="134"/>
      <c r="D108" s="134"/>
      <c r="E108" s="3397"/>
      <c r="F108" s="3365"/>
      <c r="G108" s="1963" t="s">
        <v>1879</v>
      </c>
      <c r="H108" s="2730">
        <f ca="1">ROUND(H107*10000/'数据-汇总表'!E3,0)</f>
        <v>41491</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65"/>
      <c r="G109" s="1963" t="s">
        <v>1877</v>
      </c>
      <c r="H109" s="2773" t="str">
        <f>IF(E109="——","——",H101-H105-H106)</f>
        <v>——</v>
      </c>
      <c r="I109" s="134"/>
    </row>
    <row r="110" spans="1:35" ht="18.75" customHeight="1">
      <c r="A110" s="134"/>
      <c r="B110" s="134"/>
      <c r="C110" s="134"/>
      <c r="D110" s="134"/>
      <c r="E110" s="3397"/>
      <c r="F110" s="3365"/>
      <c r="G110" s="1963" t="s">
        <v>1879</v>
      </c>
      <c r="H110" s="2730"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84"/>
      <c r="G111" s="1963" t="s">
        <v>1877</v>
      </c>
      <c r="H111" s="2770" t="str">
        <f>IF(E111="——","——",N59)</f>
        <v>——</v>
      </c>
      <c r="I111" s="134"/>
    </row>
    <row r="112" spans="1:35" ht="18.75" customHeight="1" thickBot="1">
      <c r="A112" s="134"/>
      <c r="B112" s="134"/>
      <c r="C112" s="134"/>
      <c r="D112" s="134"/>
      <c r="E112" s="3399"/>
      <c r="F112" s="3400"/>
      <c r="G112" s="1966" t="s">
        <v>1879</v>
      </c>
      <c r="H112" s="2774" t="str">
        <f>IF(E111="——","——",N61)</f>
        <v>——</v>
      </c>
      <c r="I112" s="134"/>
    </row>
    <row r="113" spans="1:27" ht="18.75" customHeight="1">
      <c r="A113" s="134"/>
      <c r="B113" s="134"/>
      <c r="C113" s="134"/>
      <c r="D113" s="134"/>
      <c r="E113" s="3407" t="s">
        <v>1885</v>
      </c>
      <c r="F113" s="3407"/>
      <c r="G113" s="3407"/>
      <c r="H113" s="3407"/>
      <c r="I113" s="134"/>
    </row>
    <row r="114" spans="1:27" ht="3.75" customHeight="1">
      <c r="A114" s="1883"/>
      <c r="B114" s="1883"/>
      <c r="C114" s="1883"/>
      <c r="D114" s="1883"/>
      <c r="E114" s="1945"/>
      <c r="F114" s="1945"/>
      <c r="G114" s="1945"/>
      <c r="H114" s="1945"/>
      <c r="I114" s="1883"/>
    </row>
    <row r="115" spans="1:27" ht="18.75" customHeight="1">
      <c r="A115" s="3418" t="s">
        <v>1887</v>
      </c>
      <c r="B115" s="3419"/>
      <c r="C115" s="3419"/>
      <c r="D115" s="3419"/>
      <c r="E115" s="3419"/>
      <c r="F115" s="3419"/>
      <c r="G115" s="3419"/>
      <c r="H115" s="3419"/>
      <c r="I115" s="3420"/>
    </row>
    <row r="116" spans="1:27" ht="27" customHeight="1">
      <c r="A116" s="3372" t="s">
        <v>1888</v>
      </c>
      <c r="B116" s="3376" t="s">
        <v>1889</v>
      </c>
      <c r="C116" s="3376" t="s">
        <v>1890</v>
      </c>
      <c r="D116" s="3382" t="s">
        <v>1891</v>
      </c>
      <c r="E116" s="3383"/>
      <c r="F116" s="3414" t="s">
        <v>1892</v>
      </c>
      <c r="G116" s="3414"/>
      <c r="H116" s="3372" t="s">
        <v>1893</v>
      </c>
      <c r="I116" s="3372"/>
    </row>
    <row r="117" spans="1:27" ht="18.75" customHeight="1">
      <c r="A117" s="3372"/>
      <c r="B117" s="3377"/>
      <c r="C117" s="3377"/>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9511.0600000000031</v>
      </c>
      <c r="C118" s="2502">
        <f>M19</f>
        <v>3589.08</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39462</v>
      </c>
      <c r="I118" s="2502">
        <f ca="1">ROUND(IF(D32="楼面单价",C32,H118*10000/B118),0)</f>
        <v>41491</v>
      </c>
    </row>
    <row r="119" spans="1:27" ht="18.75" customHeight="1">
      <c r="A119" s="3372" t="s">
        <v>1897</v>
      </c>
      <c r="B119" s="3372"/>
      <c r="C119" s="3372"/>
      <c r="D119" s="3378" t="e">
        <f ca="1">NUMBERSTRING(INT(D118*10000),2)&amp;"元整"</f>
        <v>#REF!</v>
      </c>
      <c r="E119" s="3379"/>
      <c r="F119" s="3378" t="e">
        <f ca="1">NUMBERSTRING(INT(F118*10000),2)&amp;"元整"</f>
        <v>#REF!</v>
      </c>
      <c r="G119" s="3379"/>
      <c r="H119" s="3378" t="str">
        <f ca="1">NUMBERSTRING(INT(H118*10000),2)&amp;"元整"</f>
        <v>叁亿玖仟肆佰陆拾贰万元整</v>
      </c>
      <c r="I119" s="3379"/>
    </row>
    <row r="120" spans="1:27" ht="18.75" customHeight="1">
      <c r="A120" s="3373" t="str">
        <f>IF(项目基本情况!B9="房地产市场价值","",MID(E103,3,LEN(E103)-2))</f>
        <v/>
      </c>
      <c r="B120" s="3374"/>
      <c r="C120" s="3375"/>
      <c r="D120" s="3373">
        <f>H103</f>
        <v>0</v>
      </c>
      <c r="E120" s="3374"/>
      <c r="F120" s="3374"/>
      <c r="G120" s="3374"/>
      <c r="H120" s="3374"/>
      <c r="I120" s="3375"/>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15" t="s">
        <v>1897</v>
      </c>
      <c r="B121" s="3416"/>
      <c r="C121" s="3417"/>
      <c r="D121" s="3378" t="str">
        <f>IF(D120=0,"零元整",NUMBERSTRING(INT(D120*10000),2)&amp;"元整")</f>
        <v>零元整</v>
      </c>
      <c r="E121" s="3380"/>
      <c r="F121" s="3380"/>
      <c r="G121" s="3380"/>
      <c r="H121" s="3380"/>
      <c r="I121" s="3379"/>
      <c r="AA121" s="733"/>
    </row>
    <row r="122" spans="1:27" ht="18.75" customHeight="1">
      <c r="A122" s="3384" t="str">
        <f>IF(项目基本情况!B9="房地产市场价值","",MID(E107,3,LEN(E107)-2))</f>
        <v/>
      </c>
      <c r="B122" s="3384"/>
      <c r="C122" s="3384"/>
      <c r="D122" s="3373">
        <f ca="1">H107</f>
        <v>39462</v>
      </c>
      <c r="E122" s="3374"/>
      <c r="F122" s="3374"/>
      <c r="G122" s="3374"/>
      <c r="H122" s="3374"/>
      <c r="I122" s="3375"/>
      <c r="AA122" s="733"/>
    </row>
    <row r="123" spans="1:27" ht="18.75" customHeight="1">
      <c r="A123" s="3372" t="s">
        <v>1897</v>
      </c>
      <c r="B123" s="3372"/>
      <c r="C123" s="3372"/>
      <c r="D123" s="3378" t="str">
        <f ca="1">NUMBERSTRING(INT(D122*10000),2)&amp;"元整"</f>
        <v>叁亿玖仟肆佰陆拾贰万元整</v>
      </c>
      <c r="E123" s="3380"/>
      <c r="F123" s="3380"/>
      <c r="G123" s="3380"/>
      <c r="H123" s="3380"/>
      <c r="I123" s="3379"/>
      <c r="AA123" s="733"/>
    </row>
    <row r="124" spans="1:27" ht="18.75" customHeight="1">
      <c r="A124" s="3384" t="str">
        <f>IF(项目基本情况!B9="房地产市场价值","",MID(E109,3,LEN(E109)-2))</f>
        <v/>
      </c>
      <c r="B124" s="3384"/>
      <c r="C124" s="3384"/>
      <c r="D124" s="3373" t="str">
        <f>H109</f>
        <v>——</v>
      </c>
      <c r="E124" s="3374"/>
      <c r="F124" s="3374"/>
      <c r="G124" s="3374"/>
      <c r="H124" s="3374"/>
      <c r="I124" s="3375"/>
      <c r="AA124" s="733"/>
    </row>
    <row r="125" spans="1:27" ht="18.75" customHeight="1">
      <c r="A125" s="3372" t="s">
        <v>1897</v>
      </c>
      <c r="B125" s="3372"/>
      <c r="C125" s="3372"/>
      <c r="D125" s="3378" t="e">
        <f>NUMBERSTRING(INT(D124*10000),2)&amp;"元整"</f>
        <v>#VALUE!</v>
      </c>
      <c r="E125" s="3380"/>
      <c r="F125" s="3380"/>
      <c r="G125" s="3380"/>
      <c r="H125" s="3380"/>
      <c r="I125" s="3379"/>
      <c r="AA125" s="733"/>
    </row>
    <row r="126" spans="1:27" ht="18.75" customHeight="1">
      <c r="A126" s="3384" t="str">
        <f>IF(项目基本情况!B9="房地产市场价值","",MID(E111,3,LEN(E111)-2))</f>
        <v/>
      </c>
      <c r="B126" s="3384"/>
      <c r="C126" s="3384"/>
      <c r="D126" s="3373" t="str">
        <f>H111</f>
        <v>——</v>
      </c>
      <c r="E126" s="3374"/>
      <c r="F126" s="3374"/>
      <c r="G126" s="3374"/>
      <c r="H126" s="3374"/>
      <c r="I126" s="3375"/>
      <c r="AA126" s="733"/>
    </row>
    <row r="127" spans="1:27" ht="18.75" customHeight="1">
      <c r="A127" s="3372" t="s">
        <v>1897</v>
      </c>
      <c r="B127" s="3372"/>
      <c r="C127" s="3372"/>
      <c r="D127" s="3378" t="e">
        <f>NUMBERSTRING(INT(D126*10000),2)&amp;"元整"</f>
        <v>#VALUE!</v>
      </c>
      <c r="E127" s="3380"/>
      <c r="F127" s="3380"/>
      <c r="G127" s="3380"/>
      <c r="H127" s="3380"/>
      <c r="I127" s="3379"/>
      <c r="AA127" s="733"/>
    </row>
    <row r="128" spans="1:27" ht="21.75" customHeight="1">
      <c r="A128" s="3381" t="s">
        <v>1898</v>
      </c>
      <c r="B128" s="3381"/>
      <c r="C128" s="3381"/>
      <c r="D128" s="3381"/>
      <c r="E128" s="3381"/>
      <c r="F128" s="3381"/>
      <c r="G128" s="3381"/>
      <c r="H128" s="3381"/>
      <c r="I128" s="3381"/>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zoomScale="70" zoomScaleNormal="70" zoomScaleSheetLayoutView="70" workbookViewId="0">
      <selection activeCell="M19" sqref="M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4" s="206" customFormat="1" ht="20.25">
      <c r="A1" s="202" t="s">
        <v>1906</v>
      </c>
      <c r="B1" s="1604"/>
      <c r="C1" s="204"/>
      <c r="D1" s="204"/>
      <c r="E1" s="204"/>
      <c r="F1" s="204"/>
      <c r="G1" s="1240">
        <f>MATCH(B1,'数据-取费表'!A6:A16,0)+5</f>
        <v>7</v>
      </c>
    </row>
    <row r="2" spans="1:14" s="206" customFormat="1" ht="18" customHeight="1">
      <c r="A2" s="207" t="s">
        <v>1907</v>
      </c>
      <c r="B2" s="208">
        <f ca="1">IF(D2="——",C52,C52-E2)</f>
        <v>30341</v>
      </c>
      <c r="C2" s="205" t="s">
        <v>1908</v>
      </c>
      <c r="D2" s="1989" t="s">
        <v>70</v>
      </c>
      <c r="E2" s="1283" t="e">
        <f ca="1">SUMIF(INDIRECT("'"&amp;G2&amp;"'"&amp;"!A:A"),"承租人权益价值",INDIRECT("'"&amp;G2&amp;"'"&amp;"!c:c"))</f>
        <v>#REF!</v>
      </c>
      <c r="F2" s="1990" t="s">
        <v>1908</v>
      </c>
      <c r="G2" s="1991"/>
    </row>
    <row r="3" spans="1:14" s="206" customFormat="1" ht="18" customHeight="1" thickBot="1">
      <c r="A3" s="209" t="s">
        <v>1909</v>
      </c>
      <c r="B3" s="210">
        <f ca="1">ROUND(B2*10000/(IF(B1="",'数据-汇总表'!E3,INDIRECT("'数据-取费表'!k"&amp;$G$1))),0)</f>
        <v>31901</v>
      </c>
      <c r="C3" s="205" t="s">
        <v>1910</v>
      </c>
      <c r="D3" s="205"/>
      <c r="E3" s="205"/>
      <c r="F3" s="205"/>
      <c r="G3" s="205"/>
    </row>
    <row r="4" spans="1:14" s="214" customFormat="1" ht="15.75">
      <c r="A4" s="211" t="s">
        <v>1911</v>
      </c>
      <c r="B4" s="212"/>
      <c r="C4" s="212"/>
      <c r="D4" s="212"/>
      <c r="E4" s="212"/>
      <c r="F4" s="212"/>
      <c r="G4" s="213"/>
      <c r="L4" s="3236" t="s">
        <v>3221</v>
      </c>
      <c r="M4" s="3236" t="s">
        <v>3222</v>
      </c>
    </row>
    <row r="5" spans="1:14" s="220" customFormat="1" ht="13.5" customHeight="1">
      <c r="A5" s="261" t="s">
        <v>1912</v>
      </c>
      <c r="B5" s="216" t="s">
        <v>1913</v>
      </c>
      <c r="C5" s="217">
        <f ca="1">C6+C7+C8</f>
        <v>20618</v>
      </c>
      <c r="D5" s="217" t="s">
        <v>1914</v>
      </c>
      <c r="E5" s="218" t="s">
        <v>1915</v>
      </c>
      <c r="F5" s="218" t="s">
        <v>1916</v>
      </c>
      <c r="G5" s="219"/>
      <c r="K5" s="220" t="s">
        <v>3215</v>
      </c>
      <c r="L5" s="220">
        <f>Sheet1!D3</f>
        <v>2143.5700000000002</v>
      </c>
      <c r="M5" s="220">
        <v>32478</v>
      </c>
      <c r="N5" s="220">
        <f>ROUND(L5*M5/10000,0)</f>
        <v>6962</v>
      </c>
    </row>
    <row r="6" spans="1:14" s="220" customFormat="1" ht="13.5" customHeight="1">
      <c r="A6" s="866" t="s">
        <v>1917</v>
      </c>
      <c r="B6" s="221" t="s">
        <v>1918</v>
      </c>
      <c r="C6" s="222">
        <f>N20</f>
        <v>19823</v>
      </c>
      <c r="D6" s="223"/>
      <c r="E6" s="224"/>
      <c r="F6" s="224"/>
      <c r="G6" s="225"/>
      <c r="K6" s="220" t="s">
        <v>3216</v>
      </c>
      <c r="L6" s="220">
        <f>Sheet1!D4</f>
        <v>2213.5500000000002</v>
      </c>
      <c r="M6" s="220">
        <v>25599</v>
      </c>
      <c r="N6" s="220">
        <f t="shared" ref="N6:N19" si="0">ROUND(L6*M6/10000,0)</f>
        <v>5666</v>
      </c>
    </row>
    <row r="7" spans="1:14" s="220" customFormat="1" ht="13.5" customHeight="1">
      <c r="A7" s="866" t="s">
        <v>1919</v>
      </c>
      <c r="B7" s="221" t="s">
        <v>1920</v>
      </c>
      <c r="C7" s="226">
        <f>ROUND(C6*F7,0)</f>
        <v>605</v>
      </c>
      <c r="D7" s="226"/>
      <c r="E7" s="224"/>
      <c r="F7" s="227">
        <f>IF(项目基本情况!B8="出让",0,'数据-取费表'!B48+'数据-取费表'!B49)</f>
        <v>3.0499999999999999E-2</v>
      </c>
      <c r="G7" s="225"/>
      <c r="K7" s="220" t="s">
        <v>3217</v>
      </c>
      <c r="L7" s="220">
        <f>Sheet1!D5</f>
        <v>1698.7800000000002</v>
      </c>
      <c r="M7" s="220">
        <v>21635</v>
      </c>
      <c r="N7" s="220">
        <f t="shared" si="0"/>
        <v>3675</v>
      </c>
    </row>
    <row r="8" spans="1:14" s="229" customFormat="1">
      <c r="A8" s="866" t="s">
        <v>1921</v>
      </c>
      <c r="B8" s="221" t="s">
        <v>1922</v>
      </c>
      <c r="C8" s="226">
        <f ca="1">IF(G8="已包含在土地购买价格中","0",IF(B1="",'数据-取费表'!B29,IF(G9="全部缴纳",C9+C10,H9)))</f>
        <v>190</v>
      </c>
      <c r="D8" s="228"/>
      <c r="E8" s="226"/>
      <c r="F8" s="227"/>
      <c r="G8" s="1992" t="s">
        <v>3212</v>
      </c>
      <c r="K8" s="229" t="s">
        <v>3218</v>
      </c>
      <c r="L8" s="220">
        <f>Sheet1!D6</f>
        <v>462.89000000000004</v>
      </c>
      <c r="M8" s="229">
        <v>19081</v>
      </c>
      <c r="N8" s="220">
        <f t="shared" si="0"/>
        <v>883</v>
      </c>
    </row>
    <row r="9" spans="1:14"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3213</v>
      </c>
      <c r="H9" s="1251"/>
      <c r="I9" s="1994" t="s">
        <v>1924</v>
      </c>
      <c r="K9" s="220" t="s">
        <v>3219</v>
      </c>
      <c r="L9" s="220">
        <f>Sheet1!D7</f>
        <v>1150.7300000000002</v>
      </c>
      <c r="M9" s="220">
        <v>12975</v>
      </c>
      <c r="N9" s="220">
        <f t="shared" si="0"/>
        <v>1493</v>
      </c>
    </row>
    <row r="10" spans="1:14" s="220" customFormat="1" ht="13.5" customHeight="1">
      <c r="A10" s="867" t="s">
        <v>620</v>
      </c>
      <c r="B10" s="230" t="s">
        <v>1925</v>
      </c>
      <c r="C10" s="231">
        <f ca="1">ROUND(D10*E10/10000,0)</f>
        <v>190</v>
      </c>
      <c r="D10" s="934">
        <f ca="1">IF(B1="",'数据-汇总表'!E6,IF(INDIRECT("'数据-取费表'!c"&amp;$G$1)="住宅",INDIRECT("'数据-取费表'!s"&amp;$G$1),INDIRECT("'数据-取费表'!k"&amp;$G$1)+INDIRECT("'数据-取费表'!s"&amp;$G$1)))</f>
        <v>9511.0600000000031</v>
      </c>
      <c r="E10" s="231">
        <f>'数据-取费表'!B28</f>
        <v>200</v>
      </c>
      <c r="F10" s="227"/>
      <c r="G10" s="232"/>
      <c r="K10" s="220" t="s">
        <v>3220</v>
      </c>
      <c r="L10" s="220">
        <f>Sheet1!D8</f>
        <v>1100.4400000000003</v>
      </c>
      <c r="M10" s="220">
        <v>6487</v>
      </c>
      <c r="N10" s="220">
        <f t="shared" si="0"/>
        <v>714</v>
      </c>
    </row>
    <row r="11" spans="1:14" s="220" customFormat="1" ht="13.5" hidden="1" customHeight="1">
      <c r="A11" s="233" t="s">
        <v>7</v>
      </c>
      <c r="B11" s="221" t="s">
        <v>1926</v>
      </c>
      <c r="C11" s="217"/>
      <c r="D11" s="936"/>
      <c r="E11" s="224"/>
      <c r="F11" s="224"/>
      <c r="G11" s="225"/>
      <c r="N11" s="220">
        <f t="shared" si="0"/>
        <v>0</v>
      </c>
    </row>
    <row r="12" spans="1:14" s="220" customFormat="1" ht="13.5" hidden="1" customHeight="1">
      <c r="A12" s="233" t="s">
        <v>8</v>
      </c>
      <c r="B12" s="221" t="s">
        <v>1927</v>
      </c>
      <c r="C12" s="217">
        <v>0</v>
      </c>
      <c r="D12" s="936"/>
      <c r="E12" s="234"/>
      <c r="F12" s="227">
        <v>3.0499999999999999E-2</v>
      </c>
      <c r="G12" s="225"/>
      <c r="N12" s="220">
        <f t="shared" si="0"/>
        <v>0</v>
      </c>
    </row>
    <row r="13" spans="1:14" s="220" customFormat="1" ht="13.5" hidden="1" customHeight="1">
      <c r="A13" s="233" t="s">
        <v>9</v>
      </c>
      <c r="B13" s="221" t="s">
        <v>1928</v>
      </c>
      <c r="C13" s="217"/>
      <c r="D13" s="936"/>
      <c r="E13" s="224"/>
      <c r="F13" s="224"/>
      <c r="G13" s="225"/>
      <c r="N13" s="220">
        <f t="shared" si="0"/>
        <v>0</v>
      </c>
    </row>
    <row r="14" spans="1:14" s="220" customFormat="1" ht="13.5" hidden="1" customHeight="1">
      <c r="A14" s="233" t="s">
        <v>10</v>
      </c>
      <c r="B14" s="221" t="s">
        <v>1929</v>
      </c>
      <c r="C14" s="217"/>
      <c r="D14" s="936"/>
      <c r="E14" s="224"/>
      <c r="F14" s="224"/>
      <c r="G14" s="225" t="s">
        <v>1930</v>
      </c>
      <c r="N14" s="220">
        <f t="shared" si="0"/>
        <v>0</v>
      </c>
    </row>
    <row r="15" spans="1:14" s="220" customFormat="1" ht="13.5" hidden="1" customHeight="1">
      <c r="A15" s="233" t="s">
        <v>11</v>
      </c>
      <c r="B15" s="221" t="s">
        <v>1931</v>
      </c>
      <c r="C15" s="226"/>
      <c r="D15" s="936"/>
      <c r="E15" s="224"/>
      <c r="F15" s="224"/>
      <c r="G15" s="225" t="s">
        <v>1932</v>
      </c>
      <c r="N15" s="220">
        <f t="shared" si="0"/>
        <v>0</v>
      </c>
    </row>
    <row r="16" spans="1:14" s="220" customFormat="1" ht="13.5" hidden="1" customHeight="1">
      <c r="A16" s="233" t="s">
        <v>12</v>
      </c>
      <c r="B16" s="221" t="s">
        <v>1929</v>
      </c>
      <c r="C16" s="226"/>
      <c r="D16" s="936"/>
      <c r="E16" s="224"/>
      <c r="F16" s="224"/>
      <c r="G16" s="225"/>
      <c r="N16" s="220">
        <f t="shared" si="0"/>
        <v>0</v>
      </c>
    </row>
    <row r="17" spans="1:14" s="220" customFormat="1" ht="13.5" hidden="1" customHeight="1">
      <c r="A17" s="233" t="s">
        <v>13</v>
      </c>
      <c r="B17" s="221" t="s">
        <v>1933</v>
      </c>
      <c r="C17" s="235"/>
      <c r="D17" s="937"/>
      <c r="E17" s="235"/>
      <c r="F17" s="235"/>
      <c r="G17" s="225" t="s">
        <v>1932</v>
      </c>
      <c r="N17" s="220">
        <f t="shared" si="0"/>
        <v>0</v>
      </c>
    </row>
    <row r="18" spans="1:14" s="220" customFormat="1" ht="13.5" hidden="1" customHeight="1">
      <c r="A18" s="233" t="s">
        <v>14</v>
      </c>
      <c r="B18" s="221" t="s">
        <v>1934</v>
      </c>
      <c r="C18" s="226">
        <v>0</v>
      </c>
      <c r="D18" s="936"/>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8">
        <f ca="1">D9+D10</f>
        <v>9511.0600000000031</v>
      </c>
      <c r="E19" s="217">
        <f>'数据-取费表'!B31</f>
        <v>200</v>
      </c>
      <c r="F19" s="237"/>
      <c r="G19" s="1992" t="s">
        <v>3214</v>
      </c>
      <c r="K19" s="3248" t="s">
        <v>3224</v>
      </c>
      <c r="L19" s="229">
        <f>Sheet1!E7+Sheet1!E8</f>
        <v>741.1</v>
      </c>
      <c r="M19" s="229">
        <v>5798</v>
      </c>
      <c r="N19" s="220">
        <f t="shared" si="0"/>
        <v>430</v>
      </c>
    </row>
    <row r="20" spans="1:14" s="220" customFormat="1" ht="13.5" customHeight="1">
      <c r="A20" s="261" t="s">
        <v>1938</v>
      </c>
      <c r="B20" s="216" t="s">
        <v>1939</v>
      </c>
      <c r="C20" s="238">
        <f ca="1">ROUND((C5+C19)*F20,0)</f>
        <v>412</v>
      </c>
      <c r="D20" s="238"/>
      <c r="E20" s="238"/>
      <c r="F20" s="239">
        <f>'数据-取费表'!B37</f>
        <v>0.02</v>
      </c>
      <c r="G20" s="240" t="s">
        <v>1940</v>
      </c>
      <c r="N20" s="220">
        <f>SUM(N5:N19)</f>
        <v>19823</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6">
        <f ca="1">ROUND(SUM(C23:C25),0)</f>
        <v>865</v>
      </c>
      <c r="D22" s="241">
        <f ca="1">C26</f>
        <v>4.0000000000000002E-4</v>
      </c>
      <c r="E22" s="242" t="s">
        <v>1943</v>
      </c>
      <c r="F22" s="243">
        <f ca="1">'数据-取费表'!B40</f>
        <v>4.1499999999999995E-2</v>
      </c>
      <c r="G22" s="240" t="str">
        <f>IF('数据-取费表'!B22&lt;=1,"单利计息","复利计息")</f>
        <v>单利计息</v>
      </c>
    </row>
    <row r="23" spans="1:14" s="220" customFormat="1" ht="13.5" customHeight="1">
      <c r="A23" s="868" t="s">
        <v>1947</v>
      </c>
      <c r="B23" s="221" t="s">
        <v>1948</v>
      </c>
      <c r="C23" s="1217">
        <f ca="1">ROUND(IF('数据-取费表'!B22&lt;=1,C5*F22*'数据-取费表'!B23,C5*(POWER((1+F22),'数据-取费表'!B23)-1)),0)</f>
        <v>856</v>
      </c>
      <c r="D23" s="244"/>
      <c r="E23" s="244"/>
      <c r="F23" s="245"/>
      <c r="G23" s="246" t="s">
        <v>1949</v>
      </c>
    </row>
    <row r="24" spans="1:14"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14" s="220" customFormat="1" ht="24">
      <c r="A25" s="868" t="s">
        <v>1953</v>
      </c>
      <c r="B25" s="221" t="s">
        <v>1954</v>
      </c>
      <c r="C25" s="1217">
        <f ca="1">ROUND(IF('数据-取费表'!B22&lt;=1,C20*F22*'数据-取费表'!B23/2,C20*(POWER((1+F22),'数据-取费表'!B23/2)-1)),0)</f>
        <v>9</v>
      </c>
      <c r="D25" s="244"/>
      <c r="E25" s="247"/>
      <c r="F25" s="245"/>
      <c r="G25" s="248" t="s">
        <v>1955</v>
      </c>
    </row>
    <row r="26" spans="1:14" s="220" customFormat="1">
      <c r="A26" s="868" t="s">
        <v>614</v>
      </c>
      <c r="B26" s="221" t="s">
        <v>1956</v>
      </c>
      <c r="C26" s="244">
        <f ca="1">ROUND(IF('数据-取费表'!B22&lt;=1,F21*F22*'数据-取费表'!B23/2,F21*(POWER((1+F22),'数据-取费表'!B23/2)-1)),4)</f>
        <v>4.0000000000000002E-4</v>
      </c>
      <c r="D26" s="244"/>
      <c r="E26" s="247"/>
      <c r="F26" s="245"/>
      <c r="G26" s="249"/>
    </row>
    <row r="27" spans="1:14" s="220" customFormat="1" ht="24.75">
      <c r="A27" s="261" t="s">
        <v>1957</v>
      </c>
      <c r="B27" s="250" t="s">
        <v>1958</v>
      </c>
      <c r="C27" s="251">
        <f ca="1">C28</f>
        <v>2103</v>
      </c>
      <c r="D27" s="241">
        <f ca="1">C29</f>
        <v>2E-3</v>
      </c>
      <c r="E27" s="242" t="s">
        <v>1959</v>
      </c>
      <c r="F27" s="252">
        <f ca="1">IF(B1="",'数据-取费表'!Q16,INDIRECT("'数据-取费表'!q"&amp;$G$1))</f>
        <v>0.1</v>
      </c>
      <c r="G27" s="253" t="s">
        <v>1960</v>
      </c>
      <c r="N27" s="220">
        <f ca="1">N20/D19</f>
        <v>2.084205125401374</v>
      </c>
    </row>
    <row r="28" spans="1:14" s="220" customFormat="1" ht="13.5" customHeight="1">
      <c r="A28" s="868" t="s">
        <v>610</v>
      </c>
      <c r="B28" s="254" t="s">
        <v>1961</v>
      </c>
      <c r="C28" s="255">
        <f ca="1">ROUND((C5+C19+C20)*F27*'数据-取费表'!B21/'数据-取费表'!B20,0)</f>
        <v>2103</v>
      </c>
      <c r="D28" s="241"/>
      <c r="E28" s="242"/>
      <c r="F28" s="252"/>
      <c r="G28" s="253"/>
    </row>
    <row r="29" spans="1:14" s="220" customFormat="1" ht="13.5" customHeight="1">
      <c r="A29" s="868" t="s">
        <v>611</v>
      </c>
      <c r="B29" s="254" t="s">
        <v>1962</v>
      </c>
      <c r="C29" s="244">
        <f ca="1">ROUND(C21*F27*'数据-取费表'!B21/'数据-取费表'!B20,4)</f>
        <v>2E-3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c r="L30" s="220">
        <f ca="1">C31/D10</f>
        <v>2.729769342218427</v>
      </c>
    </row>
    <row r="31" spans="1:14" ht="16.5" customHeight="1">
      <c r="A31" s="215">
        <v>1</v>
      </c>
      <c r="B31" s="216" t="s">
        <v>1966</v>
      </c>
      <c r="C31" s="217">
        <f ca="1">ROUND((C5+C19+C20+C22+C27)/(1-C21-D22-D27-C30),0)</f>
        <v>25963</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4165</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3804</v>
      </c>
      <c r="D34" s="223"/>
      <c r="E34" s="226"/>
      <c r="F34" s="263">
        <f ca="1">IF('数据-取费表'!B24=0,1,IF(B1="",'数据-取费表'!N16,INDIRECT("'数据-取费表'!n"&amp;$G$1)))</f>
        <v>1</v>
      </c>
      <c r="G34" s="225" t="s">
        <v>1971</v>
      </c>
    </row>
    <row r="35" spans="1:7" ht="13.5" customHeight="1">
      <c r="A35" s="868" t="s">
        <v>615</v>
      </c>
      <c r="B35" s="221" t="s">
        <v>1972</v>
      </c>
      <c r="C35" s="226">
        <f ca="1">ROUND(C34*F35,0)</f>
        <v>114</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8" t="s">
        <v>617</v>
      </c>
      <c r="B37" s="221" t="s">
        <v>1976</v>
      </c>
      <c r="C37" s="255">
        <f ca="1">ROUND(E37*D37*F34/10000,0)</f>
        <v>190</v>
      </c>
      <c r="D37" s="223">
        <f ca="1">D19</f>
        <v>9511.0600000000031</v>
      </c>
      <c r="E37" s="255">
        <f>'数据-取费表'!B35</f>
        <v>200</v>
      </c>
      <c r="F37" s="265"/>
      <c r="G37" s="267" t="s">
        <v>1977</v>
      </c>
    </row>
    <row r="38" spans="1:7" ht="13.5" customHeight="1">
      <c r="A38" s="868" t="s">
        <v>618</v>
      </c>
      <c r="B38" s="221" t="s">
        <v>1978</v>
      </c>
      <c r="C38" s="226">
        <f ca="1">ROUND(C34*F38,0)</f>
        <v>57</v>
      </c>
      <c r="D38" s="226"/>
      <c r="E38" s="226"/>
      <c r="F38" s="265">
        <f>'数据-取费表'!B36</f>
        <v>1.4999999999999999E-2</v>
      </c>
      <c r="G38" s="225" t="s">
        <v>1973</v>
      </c>
    </row>
    <row r="39" spans="1:7" s="220" customFormat="1" ht="13.5" customHeight="1">
      <c r="A39" s="261" t="s">
        <v>1979</v>
      </c>
      <c r="B39" s="216" t="s">
        <v>1980</v>
      </c>
      <c r="C39" s="238">
        <f ca="1">ROUND(C33*F20,0)</f>
        <v>83</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88</v>
      </c>
      <c r="D41" s="241">
        <f ca="1">C44</f>
        <v>4.0000000000000002E-4</v>
      </c>
      <c r="E41" s="242" t="s">
        <v>1984</v>
      </c>
      <c r="F41" s="2486">
        <f ca="1">F22</f>
        <v>4.1499999999999995E-2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86</v>
      </c>
      <c r="D42" s="244"/>
      <c r="E42" s="244"/>
      <c r="F42" s="245"/>
      <c r="G42" s="3454" t="s">
        <v>1989</v>
      </c>
    </row>
    <row r="43" spans="1:7" ht="13.5" customHeight="1">
      <c r="A43" s="868" t="s">
        <v>611</v>
      </c>
      <c r="B43" s="221" t="s">
        <v>1990</v>
      </c>
      <c r="C43" s="244">
        <f ca="1">ROUND(IF('数据-取费表'!B22&lt;=1,C39*F22*'数据-取费表'!B21/2,C39*(POWER((1+F22),'数据-取费表'!B21/2)-1)),0)</f>
        <v>2</v>
      </c>
      <c r="D43" s="244"/>
      <c r="E43" s="244"/>
      <c r="F43" s="245"/>
      <c r="G43" s="3455"/>
    </row>
    <row r="44" spans="1:7" ht="13.5" customHeight="1">
      <c r="A44" s="868" t="s">
        <v>612</v>
      </c>
      <c r="B44" s="221" t="s">
        <v>1991</v>
      </c>
      <c r="C44" s="244">
        <f ca="1">ROUND(IF('数据-取费表'!B22&lt;=1,C40*F22*'数据-取费表'!B21/2,C40*(POWER((1+F22),'数据-取费表'!B21/2)-1)),4)</f>
        <v>4.0000000000000002E-4</v>
      </c>
      <c r="D44" s="244"/>
      <c r="E44" s="244"/>
      <c r="F44" s="245"/>
      <c r="G44" s="3456"/>
    </row>
    <row r="45" spans="1:7" s="220" customFormat="1" ht="13.5" customHeight="1">
      <c r="A45" s="261" t="s">
        <v>1992</v>
      </c>
      <c r="B45" s="250" t="s">
        <v>1958</v>
      </c>
      <c r="C45" s="251">
        <f ca="1">C46</f>
        <v>425</v>
      </c>
      <c r="D45" s="241">
        <f ca="1">C47</f>
        <v>2E-3</v>
      </c>
      <c r="E45" s="242" t="s">
        <v>1984</v>
      </c>
      <c r="F45" s="2487">
        <f ca="1">F27</f>
        <v>0.1</v>
      </c>
      <c r="G45" s="253" t="s">
        <v>1993</v>
      </c>
    </row>
    <row r="46" spans="1:7" s="220" customFormat="1" ht="13.5" customHeight="1">
      <c r="A46" s="868" t="s">
        <v>610</v>
      </c>
      <c r="B46" s="254" t="s">
        <v>1994</v>
      </c>
      <c r="C46" s="255">
        <f ca="1">ROUND((C33+C39)*F27,0)</f>
        <v>425</v>
      </c>
      <c r="D46" s="269"/>
      <c r="E46" s="242"/>
      <c r="F46" s="252"/>
      <c r="G46" s="253"/>
    </row>
    <row r="47" spans="1:7" s="220" customFormat="1" ht="13.5" customHeight="1">
      <c r="A47" s="868" t="s">
        <v>611</v>
      </c>
      <c r="B47" s="254" t="s">
        <v>1995</v>
      </c>
      <c r="C47" s="244">
        <f ca="1">ROUND(C40*F27,4)</f>
        <v>2E-3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5151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4378</v>
      </c>
      <c r="D51" s="238"/>
      <c r="E51" s="238"/>
      <c r="F51" s="270"/>
      <c r="G51" s="240" t="s">
        <v>2005</v>
      </c>
    </row>
    <row r="52" spans="1:7" s="214" customFormat="1" ht="16.5" thickBot="1">
      <c r="A52" s="271" t="s">
        <v>2006</v>
      </c>
      <c r="B52" s="272"/>
      <c r="C52" s="273">
        <f ca="1">C31+C51</f>
        <v>30341</v>
      </c>
      <c r="D52" s="272"/>
      <c r="E52" s="272"/>
      <c r="F52" s="272"/>
      <c r="G52" s="274"/>
    </row>
    <row r="55" spans="1:7" ht="15">
      <c r="B55" s="276" t="s">
        <v>2007</v>
      </c>
      <c r="C55" s="277"/>
    </row>
    <row r="56" spans="1:7">
      <c r="B56" s="279" t="s">
        <v>1237</v>
      </c>
      <c r="C56" s="281">
        <f ca="1">1-C57</f>
        <v>0.85599999999999998</v>
      </c>
    </row>
    <row r="57" spans="1:7">
      <c r="B57" s="279" t="s">
        <v>1238</v>
      </c>
      <c r="C57" s="280">
        <f ca="1">ROUND(C51/C52,3)</f>
        <v>0.14399999999999999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65" t="str">
        <f>项目基本情况!B1</f>
        <v>北京市房地产市场价值预评估</v>
      </c>
      <c r="C37" s="3265"/>
      <c r="D37" s="3265"/>
      <c r="E37" s="3265"/>
      <c r="F37" s="3265"/>
      <c r="G37" s="3265"/>
      <c r="H37" s="3265"/>
      <c r="I37" s="3265"/>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4859</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5109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1902212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1902212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1902212</v>
      </c>
      <c r="D10" s="934">
        <f ca="1">IF(B1="",'数据-汇总表'!E6,IF(INDIRECT("'数据-取费表'!c"&amp;$G$1)="住宅",INDIRECT("'数据-取费表'!s"&amp;$G$1),INDIRECT("'数据-取费表'!k"&amp;$G$1)+INDIRECT("'数据-取费表'!s"&amp;$G$1)))</f>
        <v>9511.0600000000031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1902212</v>
      </c>
      <c r="D19" s="938">
        <f ca="1">D9+D10</f>
        <v>9511.0600000000031</v>
      </c>
      <c r="E19" s="217">
        <f>'数据-取费表'!B31</f>
        <v>200</v>
      </c>
      <c r="F19" s="237"/>
      <c r="G19" s="1992"/>
    </row>
    <row r="20" spans="1:7" s="220" customFormat="1" ht="13.5" customHeight="1">
      <c r="A20" s="261" t="s">
        <v>2019</v>
      </c>
      <c r="B20" s="216" t="s">
        <v>2020</v>
      </c>
      <c r="C20" s="238">
        <f ca="1">ROUND((C5+C19)*F20,0)</f>
        <v>76088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159463</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78942</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78942</v>
      </c>
      <c r="D24" s="244"/>
      <c r="E24" s="244"/>
      <c r="F24" s="245"/>
      <c r="G24" s="246" t="s">
        <v>2031</v>
      </c>
    </row>
    <row r="25" spans="1:7" s="220" customFormat="1" ht="24">
      <c r="A25" s="868" t="s">
        <v>1921</v>
      </c>
      <c r="B25" s="221" t="s">
        <v>2032</v>
      </c>
      <c r="C25" s="1242">
        <f ca="1">ROUND(IF('数据-取费表'!B22&lt;=1,C20*F22*'数据-取费表'!B22/2,C20*(POWER((1+F22),'数据-取费表'!B22/2)-1)),0)</f>
        <v>1579</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388051</v>
      </c>
      <c r="D27" s="241">
        <f ca="1">C29</f>
        <v>2E-3</v>
      </c>
      <c r="E27" s="242" t="s">
        <v>1959</v>
      </c>
      <c r="F27" s="252">
        <f ca="1">IF(B1="",'数据-取费表'!Q16,INDIRECT("'数据-取费表'!q"&amp;$G$1))</f>
        <v>0.1</v>
      </c>
      <c r="G27" s="253" t="s">
        <v>1960</v>
      </c>
    </row>
    <row r="28" spans="1:7" s="220" customFormat="1" ht="13.5" customHeight="1">
      <c r="A28" s="868" t="s">
        <v>610</v>
      </c>
      <c r="B28" s="254" t="s">
        <v>1961</v>
      </c>
      <c r="C28" s="255">
        <f ca="1">ROUND((C5+C19+C20)*F27,0)</f>
        <v>388051</v>
      </c>
      <c r="D28" s="241"/>
      <c r="E28" s="242"/>
      <c r="F28" s="252"/>
      <c r="G28" s="253"/>
    </row>
    <row r="29" spans="1:7" s="220" customFormat="1" ht="13.5" customHeight="1">
      <c r="A29" s="868"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4790681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41658443</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38044240</v>
      </c>
      <c r="D34" s="223"/>
      <c r="E34" s="226"/>
      <c r="F34" s="263"/>
      <c r="G34" s="225"/>
    </row>
    <row r="35" spans="1:7" ht="13.5" customHeight="1">
      <c r="A35" s="868" t="s">
        <v>615</v>
      </c>
      <c r="B35" s="221" t="s">
        <v>1972</v>
      </c>
      <c r="C35" s="226">
        <f ca="1">ROUND(C34*F35,0)</f>
        <v>1141327</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8" t="s">
        <v>617</v>
      </c>
      <c r="B37" s="221" t="s">
        <v>1976</v>
      </c>
      <c r="C37" s="255">
        <f ca="1">ROUND(E37*D37,0)</f>
        <v>1902212</v>
      </c>
      <c r="D37" s="223">
        <f ca="1">D19</f>
        <v>9511.0600000000031</v>
      </c>
      <c r="E37" s="255">
        <f>'数据-取费表'!B35</f>
        <v>200</v>
      </c>
      <c r="F37" s="265"/>
      <c r="G37" s="267"/>
    </row>
    <row r="38" spans="1:7" ht="13.5" customHeight="1">
      <c r="A38" s="868" t="s">
        <v>618</v>
      </c>
      <c r="B38" s="221" t="s">
        <v>1978</v>
      </c>
      <c r="C38" s="226">
        <f ca="1">ROUND(C34*F38,0)</f>
        <v>570664</v>
      </c>
      <c r="D38" s="226"/>
      <c r="E38" s="226"/>
      <c r="F38" s="265">
        <f>'数据-取费表'!B36</f>
        <v>1.4999999999999999E-2</v>
      </c>
      <c r="G38" s="225" t="s">
        <v>1973</v>
      </c>
    </row>
    <row r="39" spans="1:7" s="220" customFormat="1" ht="13.5" customHeight="1">
      <c r="A39" s="261" t="s">
        <v>1979</v>
      </c>
      <c r="B39" s="216" t="s">
        <v>1980</v>
      </c>
      <c r="C39" s="238">
        <f ca="1">ROUND(C33*F20,0)</f>
        <v>833169</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881701</v>
      </c>
      <c r="D41" s="241">
        <f ca="1">C44</f>
        <v>4.0000000000000002E-4</v>
      </c>
      <c r="E41" s="242" t="s">
        <v>1984</v>
      </c>
      <c r="F41" s="2486">
        <f ca="1">F22</f>
        <v>4.1499999999999995E-2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864413</v>
      </c>
      <c r="D42" s="244"/>
      <c r="E42" s="244"/>
      <c r="F42" s="245"/>
      <c r="G42" s="3454" t="s">
        <v>2036</v>
      </c>
    </row>
    <row r="43" spans="1:7" ht="13.5" customHeight="1">
      <c r="A43" s="868" t="s">
        <v>611</v>
      </c>
      <c r="B43" s="221" t="s">
        <v>1990</v>
      </c>
      <c r="C43" s="244">
        <f ca="1">ROUND(IF('数据-取费表'!B22&lt;=1,C39*F22*'数据-取费表'!B20/2,C39*(POWER((1+F22),'数据-取费表'!B20/2)-1)),0)</f>
        <v>17288</v>
      </c>
      <c r="D43" s="244"/>
      <c r="E43" s="244"/>
      <c r="F43" s="245"/>
      <c r="G43" s="3455"/>
    </row>
    <row r="44" spans="1:7" ht="13.5" customHeight="1">
      <c r="A44" s="868" t="s">
        <v>612</v>
      </c>
      <c r="B44" s="221" t="s">
        <v>1991</v>
      </c>
      <c r="C44" s="244">
        <f ca="1">ROUND(IF('数据-取费表'!B22&lt;=1,C40*F22*'数据-取费表'!B20/2,C40*(POWER((1+F22),'数据-取费表'!B20/2)-1)),4)</f>
        <v>4.0000000000000002E-4</v>
      </c>
      <c r="D44" s="244"/>
      <c r="E44" s="244"/>
      <c r="F44" s="245"/>
      <c r="G44" s="3456"/>
    </row>
    <row r="45" spans="1:7" s="220" customFormat="1" ht="13.5" customHeight="1">
      <c r="A45" s="261" t="s">
        <v>1992</v>
      </c>
      <c r="B45" s="250" t="s">
        <v>1958</v>
      </c>
      <c r="C45" s="251">
        <f ca="1">C46</f>
        <v>4249161</v>
      </c>
      <c r="D45" s="241">
        <f ca="1">C47</f>
        <v>2E-3</v>
      </c>
      <c r="E45" s="242" t="s">
        <v>1984</v>
      </c>
      <c r="F45" s="2487">
        <f ca="1">F27</f>
        <v>0.1</v>
      </c>
      <c r="G45" s="253" t="s">
        <v>1993</v>
      </c>
    </row>
    <row r="46" spans="1:7" s="220" customFormat="1" ht="13.5" customHeight="1">
      <c r="A46" s="868" t="s">
        <v>610</v>
      </c>
      <c r="B46" s="254" t="s">
        <v>1994</v>
      </c>
      <c r="C46" s="255">
        <f ca="1">ROUND((C33+C39)*F27,0)</f>
        <v>4249161</v>
      </c>
      <c r="D46" s="269"/>
      <c r="E46" s="242"/>
      <c r="F46" s="252"/>
      <c r="G46" s="253"/>
    </row>
    <row r="47" spans="1:7" s="220" customFormat="1" ht="13.5" customHeight="1">
      <c r="A47" s="868"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51522746</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43794334</v>
      </c>
      <c r="D51" s="238"/>
      <c r="E51" s="238"/>
      <c r="F51" s="270"/>
      <c r="G51" s="240" t="s">
        <v>2005</v>
      </c>
    </row>
    <row r="52" spans="1:7" s="214" customFormat="1" ht="16.5" thickBot="1">
      <c r="A52" s="271" t="s">
        <v>2006</v>
      </c>
      <c r="B52" s="272"/>
      <c r="C52" s="273">
        <f ca="1">C31+C51</f>
        <v>48585015</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9511.0600000000031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9511.0600000000031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190</v>
      </c>
      <c r="D20" s="935">
        <f ca="1">IF(C1="",'数据-汇总表'!E6,IF(INDIRECT("'数据-取费表'!c"&amp;$K$1)="住宅",INDIRECT("'数据-取费表'!s"&amp;$K$1),INDIRECT("'数据-取费表'!k"&amp;$K$1)+INDIRECT("'数据-取费表'!s"&amp;$K$1)))</f>
        <v>9511.0600000000031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0.1</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57" t="s">
        <v>1127</v>
      </c>
      <c r="C6" s="1186">
        <f ca="1">ROUND(F6*F8*F7*(1-F9),0)</f>
        <v>0</v>
      </c>
      <c r="D6" s="160" t="s">
        <v>2605</v>
      </c>
      <c r="E6" s="308" t="s">
        <v>1129</v>
      </c>
      <c r="F6" s="309">
        <f ca="1">INDIRECT("'数据-取费表'!u"&amp;$G$1)</f>
        <v>0</v>
      </c>
      <c r="G6" s="1518"/>
      <c r="H6" s="1181" t="s">
        <v>822</v>
      </c>
      <c r="I6" s="3457" t="s">
        <v>1127</v>
      </c>
      <c r="J6" s="307">
        <f ca="1">ROUND(M6*M8*M7*(1-M9),0)</f>
        <v>0</v>
      </c>
      <c r="K6" s="1510" t="s">
        <v>2606</v>
      </c>
      <c r="L6" s="308" t="s">
        <v>1129</v>
      </c>
      <c r="M6" s="309">
        <f ca="1">INDIRECT("'数据-取费表'!z"&amp;$G$1)</f>
        <v>0</v>
      </c>
    </row>
    <row r="7" spans="1:37" ht="18" customHeight="1">
      <c r="A7" s="1185"/>
      <c r="B7" s="3458"/>
      <c r="C7" s="1187"/>
      <c r="D7" s="313"/>
      <c r="E7" s="1188" t="s">
        <v>1130</v>
      </c>
      <c r="F7" s="309">
        <f ca="1">IF(INDIRECT("'数据-取费表'!ah"&amp;$G$1)="",INDIRECT("'数据-取费表'!k"&amp;$G$1),INDIRECT("'数据-取费表'!ah"&amp;$G$1))</f>
        <v>0</v>
      </c>
      <c r="G7" s="1518"/>
      <c r="H7" s="310"/>
      <c r="I7" s="3458"/>
      <c r="J7" s="312"/>
      <c r="K7" s="313"/>
      <c r="L7" s="308" t="s">
        <v>1130</v>
      </c>
      <c r="M7" s="309">
        <f ca="1">F7</f>
        <v>0</v>
      </c>
    </row>
    <row r="8" spans="1:37" ht="18" customHeight="1">
      <c r="A8" s="310"/>
      <c r="B8" s="3458"/>
      <c r="C8" s="312"/>
      <c r="D8" s="313"/>
      <c r="E8" s="308" t="s">
        <v>1131</v>
      </c>
      <c r="F8" s="309">
        <f ca="1">INDIRECT("'数据-取费表'!ai"&amp;$G$1)</f>
        <v>0</v>
      </c>
      <c r="G8" s="1518"/>
      <c r="H8" s="310"/>
      <c r="I8" s="3458"/>
      <c r="J8" s="312"/>
      <c r="K8" s="313"/>
      <c r="L8" s="308" t="s">
        <v>1131</v>
      </c>
      <c r="M8" s="309">
        <f ca="1">INDIRECT("'数据-取费表'!ai"&amp;$G$1)</f>
        <v>0</v>
      </c>
    </row>
    <row r="9" spans="1:37" ht="18" customHeight="1">
      <c r="A9" s="310"/>
      <c r="B9" s="3459"/>
      <c r="C9" s="312"/>
      <c r="D9" s="313"/>
      <c r="E9" s="308" t="s">
        <v>1132</v>
      </c>
      <c r="F9" s="318">
        <f ca="1">INDIRECT("'数据-取费表'!w"&amp;$G$1)</f>
        <v>0</v>
      </c>
      <c r="G9" s="1518"/>
      <c r="H9" s="310"/>
      <c r="I9" s="3459"/>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60" t="s">
        <v>1272</v>
      </c>
      <c r="L53" s="3461"/>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62" t="s">
        <v>2821</v>
      </c>
      <c r="K2" s="3463"/>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64" t="s">
        <v>2831</v>
      </c>
      <c r="K3" s="3465"/>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64" t="s">
        <v>2833</v>
      </c>
      <c r="K4" s="3465"/>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66" t="s">
        <v>2837</v>
      </c>
      <c r="B6" s="3467"/>
      <c r="C6" s="3468"/>
      <c r="D6" s="3050"/>
      <c r="E6" s="3051"/>
      <c r="F6" s="3052"/>
      <c r="G6" s="3053"/>
      <c r="H6" s="3028"/>
      <c r="I6" s="3029"/>
      <c r="J6" s="3469">
        <v>1</v>
      </c>
      <c r="K6" s="3470"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9"/>
      <c r="K7" s="3471"/>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73" t="s">
        <v>2851</v>
      </c>
      <c r="C8" s="3474"/>
      <c r="D8" s="3069" t="s">
        <v>2852</v>
      </c>
      <c r="E8" s="3070" t="s">
        <v>2853</v>
      </c>
      <c r="F8" s="3071" t="s">
        <v>2854</v>
      </c>
      <c r="G8" s="3072"/>
      <c r="H8" s="3028"/>
      <c r="I8" s="3029"/>
      <c r="J8" s="3469"/>
      <c r="K8" s="3471"/>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73" t="s">
        <v>2857</v>
      </c>
      <c r="C9" s="3474"/>
      <c r="D9" s="3069">
        <f>ROUND(D6*E9,0)</f>
        <v>0</v>
      </c>
      <c r="E9" s="3073"/>
      <c r="F9" s="3074" t="s">
        <v>2858</v>
      </c>
      <c r="G9" s="3053"/>
      <c r="H9" s="3028"/>
      <c r="I9" s="3029"/>
      <c r="J9" s="3469"/>
      <c r="K9" s="3471"/>
      <c r="L9" s="3063" t="s">
        <v>2859</v>
      </c>
      <c r="M9" s="3064"/>
      <c r="N9" s="3040"/>
      <c r="O9" s="3065"/>
      <c r="P9" s="3065"/>
      <c r="Q9" s="3066">
        <v>365</v>
      </c>
      <c r="R9" s="3067">
        <f t="shared" si="0"/>
        <v>0</v>
      </c>
      <c r="S9" s="3021"/>
      <c r="T9" s="3021"/>
      <c r="U9" s="3021"/>
      <c r="V9" s="3029"/>
    </row>
    <row r="10" spans="1:22" s="3033" customFormat="1" ht="13.15" customHeight="1">
      <c r="A10" s="3068">
        <v>2</v>
      </c>
      <c r="B10" s="3473" t="s">
        <v>2860</v>
      </c>
      <c r="C10" s="3474"/>
      <c r="D10" s="3069">
        <f>ROUND(D6*E10,0)</f>
        <v>0</v>
      </c>
      <c r="E10" s="3073"/>
      <c r="F10" s="3074" t="s">
        <v>2861</v>
      </c>
      <c r="G10" s="3053"/>
      <c r="H10" s="3028"/>
      <c r="I10" s="3029"/>
      <c r="J10" s="3469"/>
      <c r="K10" s="3471"/>
      <c r="L10" s="3063" t="s">
        <v>2862</v>
      </c>
      <c r="M10" s="3064"/>
      <c r="N10" s="3040"/>
      <c r="O10" s="3065"/>
      <c r="P10" s="3065"/>
      <c r="Q10" s="3066">
        <v>365</v>
      </c>
      <c r="R10" s="3067">
        <f t="shared" si="0"/>
        <v>0</v>
      </c>
      <c r="S10" s="3021"/>
      <c r="T10" s="3021"/>
      <c r="U10" s="3021"/>
      <c r="V10" s="3029"/>
    </row>
    <row r="11" spans="1:22" s="3033" customFormat="1" ht="13.15" customHeight="1">
      <c r="A11" s="3068">
        <v>3</v>
      </c>
      <c r="B11" s="3473" t="s">
        <v>2863</v>
      </c>
      <c r="C11" s="3474"/>
      <c r="D11" s="3069">
        <f>D12+D14+D15+D16</f>
        <v>0</v>
      </c>
      <c r="E11" s="3075" t="e">
        <f>D11/D6</f>
        <v>#DIV/0!</v>
      </c>
      <c r="F11" s="3071"/>
      <c r="G11" s="3072"/>
      <c r="H11" s="3028"/>
      <c r="I11" s="3029"/>
      <c r="J11" s="3469"/>
      <c r="K11" s="3471"/>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5" t="s">
        <v>2866</v>
      </c>
      <c r="C12" s="3476"/>
      <c r="D12" s="3077">
        <f>ROUND(D13*1.2%*(1-30%),0)</f>
        <v>0</v>
      </c>
      <c r="E12" s="3078">
        <v>1.2E-2</v>
      </c>
      <c r="F12" s="3071" t="s">
        <v>2867</v>
      </c>
      <c r="G12" s="3072"/>
      <c r="H12" s="3028"/>
      <c r="I12" s="3029"/>
      <c r="J12" s="3469"/>
      <c r="K12" s="3471"/>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9"/>
      <c r="K13" s="3471"/>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5" t="s">
        <v>2872</v>
      </c>
      <c r="C14" s="3476"/>
      <c r="D14" s="3077">
        <f>ROUND(E14*B5/10000,0)</f>
        <v>0</v>
      </c>
      <c r="E14" s="3066"/>
      <c r="F14" s="3071" t="s">
        <v>2873</v>
      </c>
      <c r="G14" s="3072"/>
      <c r="H14" s="3028"/>
      <c r="I14" s="3029"/>
      <c r="J14" s="3469"/>
      <c r="K14" s="3472"/>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5" t="s">
        <v>2876</v>
      </c>
      <c r="C15" s="3476"/>
      <c r="D15" s="3077">
        <f>ROUND(D6*E15,0)</f>
        <v>0</v>
      </c>
      <c r="E15" s="3078">
        <v>5.5E-2</v>
      </c>
      <c r="F15" s="3071" t="s">
        <v>2877</v>
      </c>
      <c r="G15" s="3053"/>
      <c r="H15" s="3028"/>
      <c r="I15" s="3029"/>
      <c r="J15" s="3469">
        <v>2</v>
      </c>
      <c r="K15" s="3470"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5" t="s">
        <v>2885</v>
      </c>
      <c r="C16" s="3476"/>
      <c r="D16" s="3088">
        <f>D6*E16</f>
        <v>0</v>
      </c>
      <c r="E16" s="3089"/>
      <c r="F16" s="3074" t="s">
        <v>2886</v>
      </c>
      <c r="G16" s="3053"/>
      <c r="H16" s="3028"/>
      <c r="I16" s="3029"/>
      <c r="J16" s="3469"/>
      <c r="K16" s="3471"/>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7" t="s">
        <v>2888</v>
      </c>
      <c r="C17" s="3478"/>
      <c r="D17" s="3091">
        <f>ROUND(D6*E17,0)</f>
        <v>0</v>
      </c>
      <c r="E17" s="3092"/>
      <c r="F17" s="3093" t="s">
        <v>2889</v>
      </c>
      <c r="G17" s="3053"/>
      <c r="H17" s="3028"/>
      <c r="I17" s="3029"/>
      <c r="J17" s="3469"/>
      <c r="K17" s="3471"/>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9"/>
      <c r="K18" s="3471"/>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9"/>
      <c r="K19" s="3472"/>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9">
        <v>3</v>
      </c>
      <c r="K20" s="3470"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9"/>
      <c r="K21" s="3471"/>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9"/>
      <c r="K22" s="3471"/>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9"/>
      <c r="K23" s="3471"/>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9"/>
      <c r="K24" s="3472"/>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9">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8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62" t="s">
        <v>2821</v>
      </c>
      <c r="K32" s="3463"/>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64" t="s">
        <v>2831</v>
      </c>
      <c r="K33" s="3465"/>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64" t="s">
        <v>2833</v>
      </c>
      <c r="K34" s="346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9">
        <v>1</v>
      </c>
      <c r="K36" s="3470"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9"/>
      <c r="K37" s="3471"/>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9"/>
      <c r="K38" s="3471"/>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9"/>
      <c r="K39" s="3471"/>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9"/>
      <c r="K40" s="3472"/>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9">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8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6" sqref="J36"/>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38388</v>
      </c>
      <c r="C2" s="2008" t="s">
        <v>2099</v>
      </c>
      <c r="D2" s="2009" t="s">
        <v>2100</v>
      </c>
      <c r="E2" s="2782">
        <f>SUM(E6:E13)</f>
        <v>9511.0600000000013</v>
      </c>
      <c r="F2" s="2885"/>
      <c r="G2" s="1624"/>
      <c r="H2" s="1624"/>
      <c r="I2" s="1624"/>
      <c r="J2" s="1624"/>
      <c r="K2" s="1624"/>
      <c r="L2" s="1624"/>
      <c r="M2" s="1624"/>
      <c r="N2" s="1624"/>
      <c r="O2" s="1624"/>
      <c r="P2" s="1624"/>
      <c r="Q2" s="1624"/>
      <c r="R2" s="1624"/>
      <c r="S2" s="1624"/>
    </row>
    <row r="3" spans="1:22" ht="15.75">
      <c r="A3" s="2006" t="s">
        <v>1119</v>
      </c>
      <c r="B3" s="2776">
        <f ca="1">ROUND(B2*10000/E2,0)</f>
        <v>40361</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1" t="s">
        <v>2102</v>
      </c>
      <c r="C5" s="3482"/>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38388</v>
      </c>
      <c r="C6" s="2008" t="s">
        <v>2099</v>
      </c>
      <c r="D6" s="2887"/>
      <c r="E6" s="2781">
        <f>IF(OR(A6=0,F6="否"),0,'数据-取费表'!K6+'数据-取费表'!S6)</f>
        <v>9511.0600000000013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9511.0600000000031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501" t="s">
        <v>2116</v>
      </c>
      <c r="D4" s="3502"/>
      <c r="E4" s="3503" t="s">
        <v>2117</v>
      </c>
      <c r="F4" s="3504"/>
      <c r="G4" s="3501" t="s">
        <v>2118</v>
      </c>
      <c r="H4" s="3502"/>
      <c r="I4" s="3501" t="s">
        <v>2119</v>
      </c>
      <c r="J4" s="3502"/>
      <c r="K4" s="2025" t="s">
        <v>2120</v>
      </c>
      <c r="L4" s="2893"/>
      <c r="M4" s="2894"/>
      <c r="N4" s="2894"/>
      <c r="O4" s="2894"/>
      <c r="P4" s="3505" t="s">
        <v>2121</v>
      </c>
      <c r="Q4" s="3506"/>
      <c r="R4" s="3488" t="s">
        <v>2117</v>
      </c>
      <c r="S4" s="3489"/>
      <c r="T4" s="3488" t="s">
        <v>2118</v>
      </c>
      <c r="U4" s="3489"/>
      <c r="V4" s="3513" t="s">
        <v>2119</v>
      </c>
      <c r="W4" s="3513"/>
      <c r="X4" s="1489"/>
      <c r="Y4" s="3488" t="s">
        <v>2121</v>
      </c>
      <c r="Z4" s="3489"/>
      <c r="AA4" s="3483" t="s">
        <v>2117</v>
      </c>
      <c r="AB4" s="3483" t="s">
        <v>2118</v>
      </c>
      <c r="AC4" s="3483" t="s">
        <v>2119</v>
      </c>
    </row>
    <row r="5" spans="1:29" ht="15">
      <c r="A5" s="364"/>
      <c r="B5" s="365"/>
      <c r="C5" s="3494" t="s">
        <v>2122</v>
      </c>
      <c r="D5" s="3495"/>
      <c r="E5" s="3492" t="s">
        <v>2123</v>
      </c>
      <c r="F5" s="3493"/>
      <c r="G5" s="3494" t="s">
        <v>2124</v>
      </c>
      <c r="H5" s="3495"/>
      <c r="I5" s="3494" t="s">
        <v>2125</v>
      </c>
      <c r="J5" s="3495"/>
      <c r="K5" s="2026"/>
      <c r="L5" s="2893"/>
      <c r="M5" s="2894"/>
      <c r="N5" s="2894"/>
      <c r="O5" s="2894"/>
      <c r="P5" s="3507"/>
      <c r="Q5" s="3508"/>
      <c r="R5" s="3490"/>
      <c r="S5" s="3491"/>
      <c r="T5" s="3490"/>
      <c r="U5" s="3491"/>
      <c r="V5" s="3513"/>
      <c r="W5" s="3513"/>
      <c r="X5" s="1489"/>
      <c r="Y5" s="3490"/>
      <c r="Z5" s="3491"/>
      <c r="AA5" s="3484"/>
      <c r="AB5" s="3484"/>
      <c r="AC5" s="3484"/>
    </row>
    <row r="6" spans="1:29" ht="15.75" thickBot="1">
      <c r="A6" s="366"/>
      <c r="B6" s="367"/>
      <c r="C6" s="3496" t="s">
        <v>2126</v>
      </c>
      <c r="D6" s="3497"/>
      <c r="E6" s="3498" t="s">
        <v>2126</v>
      </c>
      <c r="F6" s="3499"/>
      <c r="G6" s="3496" t="s">
        <v>2126</v>
      </c>
      <c r="H6" s="3497"/>
      <c r="I6" s="3496" t="s">
        <v>2126</v>
      </c>
      <c r="J6" s="3497"/>
      <c r="K6" s="2026" t="s">
        <v>2127</v>
      </c>
      <c r="L6" s="2893"/>
      <c r="M6" s="2894"/>
      <c r="N6" s="2894"/>
      <c r="O6" s="2894"/>
      <c r="P6" s="3509"/>
      <c r="Q6" s="3510"/>
      <c r="R6" s="3490"/>
      <c r="S6" s="3491"/>
      <c r="T6" s="3511"/>
      <c r="U6" s="3512"/>
      <c r="V6" s="3513"/>
      <c r="W6" s="3513"/>
      <c r="X6" s="1489"/>
      <c r="Y6" s="3511"/>
      <c r="Z6" s="3512"/>
      <c r="AA6" s="3485"/>
      <c r="AB6" s="3485"/>
      <c r="AC6" s="3485"/>
    </row>
    <row r="7" spans="1:29" s="113" customFormat="1" ht="15.75" thickBot="1">
      <c r="A7" s="368" t="s">
        <v>2128</v>
      </c>
      <c r="B7" s="369"/>
      <c r="C7" s="370">
        <f>'数据-取费表'!B2</f>
        <v>44873</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86" t="s">
        <v>2129</v>
      </c>
      <c r="Q7" s="3514"/>
      <c r="R7" s="709" t="s">
        <v>23</v>
      </c>
      <c r="S7" s="710">
        <f t="shared" ref="S7:S15" si="0">F7</f>
        <v>0</v>
      </c>
      <c r="T7" s="709" t="s">
        <v>23</v>
      </c>
      <c r="U7" s="710">
        <f t="shared" ref="U7:U15" si="1">H7</f>
        <v>0</v>
      </c>
      <c r="V7" s="709" t="s">
        <v>23</v>
      </c>
      <c r="W7" s="710">
        <f t="shared" ref="W7:W15" si="2">J7</f>
        <v>0</v>
      </c>
      <c r="X7" s="711"/>
      <c r="Y7" s="3486" t="s">
        <v>2129</v>
      </c>
      <c r="Z7" s="3487"/>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86" t="s">
        <v>2132</v>
      </c>
      <c r="Q8" s="3487"/>
      <c r="R8" s="709" t="s">
        <v>23</v>
      </c>
      <c r="S8" s="710">
        <f t="shared" si="0"/>
        <v>0</v>
      </c>
      <c r="T8" s="709" t="s">
        <v>23</v>
      </c>
      <c r="U8" s="710">
        <f t="shared" si="1"/>
        <v>0</v>
      </c>
      <c r="V8" s="709" t="s">
        <v>23</v>
      </c>
      <c r="W8" s="710">
        <f t="shared" si="2"/>
        <v>0</v>
      </c>
      <c r="X8" s="711"/>
      <c r="Y8" s="3486" t="s">
        <v>2132</v>
      </c>
      <c r="Z8" s="3487"/>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00"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00"/>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00"/>
      <c r="Q11" s="1477" t="str">
        <f t="shared" si="6"/>
        <v>容积率</v>
      </c>
      <c r="R11" s="709" t="s">
        <v>21</v>
      </c>
      <c r="S11" s="710" t="e">
        <f t="shared" si="0"/>
        <v>#N/A</v>
      </c>
      <c r="T11" s="709" t="s">
        <v>21</v>
      </c>
      <c r="U11" s="710" t="e">
        <f t="shared" si="1"/>
        <v>#N/A</v>
      </c>
      <c r="V11" s="709" t="s">
        <v>21</v>
      </c>
      <c r="W11" s="710" t="e">
        <f t="shared" si="2"/>
        <v>#N/A</v>
      </c>
      <c r="X11" s="711"/>
      <c r="Y11" s="3430"/>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00"/>
      <c r="Q12" s="1477">
        <f t="shared" si="6"/>
        <v>111</v>
      </c>
      <c r="R12" s="709" t="s">
        <v>21</v>
      </c>
      <c r="S12" s="710">
        <f t="shared" si="0"/>
        <v>100</v>
      </c>
      <c r="T12" s="709" t="s">
        <v>21</v>
      </c>
      <c r="U12" s="710">
        <f t="shared" si="1"/>
        <v>100</v>
      </c>
      <c r="V12" s="709" t="s">
        <v>21</v>
      </c>
      <c r="W12" s="710">
        <f t="shared" si="2"/>
        <v>100</v>
      </c>
      <c r="X12" s="711"/>
      <c r="Y12" s="3430"/>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00"/>
      <c r="Q13" s="1477">
        <f t="shared" si="6"/>
        <v>111</v>
      </c>
      <c r="R13" s="709" t="s">
        <v>21</v>
      </c>
      <c r="S13" s="710">
        <f t="shared" si="0"/>
        <v>100</v>
      </c>
      <c r="T13" s="709" t="s">
        <v>21</v>
      </c>
      <c r="U13" s="710">
        <f t="shared" si="1"/>
        <v>100</v>
      </c>
      <c r="V13" s="709" t="s">
        <v>21</v>
      </c>
      <c r="W13" s="710">
        <f t="shared" si="2"/>
        <v>100</v>
      </c>
      <c r="X13" s="711"/>
      <c r="Y13" s="3430"/>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00"/>
      <c r="Q14" s="1477">
        <f t="shared" si="6"/>
        <v>111</v>
      </c>
      <c r="R14" s="709" t="s">
        <v>21</v>
      </c>
      <c r="S14" s="710">
        <f t="shared" si="0"/>
        <v>100</v>
      </c>
      <c r="T14" s="709" t="s">
        <v>21</v>
      </c>
      <c r="U14" s="710">
        <f t="shared" si="1"/>
        <v>100</v>
      </c>
      <c r="V14" s="709" t="s">
        <v>21</v>
      </c>
      <c r="W14" s="710">
        <f t="shared" si="2"/>
        <v>100</v>
      </c>
      <c r="X14" s="711"/>
      <c r="Y14" s="3430"/>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7" t="s">
        <v>2140</v>
      </c>
      <c r="Q15" s="1486" t="str">
        <f t="shared" si="6"/>
        <v>居住社区成熟度</v>
      </c>
      <c r="R15" s="713" t="s">
        <v>21</v>
      </c>
      <c r="S15" s="714">
        <f t="shared" si="0"/>
        <v>100</v>
      </c>
      <c r="T15" s="713" t="s">
        <v>21</v>
      </c>
      <c r="U15" s="714">
        <f t="shared" si="1"/>
        <v>100</v>
      </c>
      <c r="V15" s="713" t="s">
        <v>21</v>
      </c>
      <c r="W15" s="714">
        <f t="shared" si="2"/>
        <v>100</v>
      </c>
      <c r="X15" s="1489"/>
      <c r="Y15" s="3520"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28"/>
      <c r="Q16" s="1486"/>
      <c r="R16" s="713"/>
      <c r="S16" s="714"/>
      <c r="T16" s="713"/>
      <c r="U16" s="714"/>
      <c r="V16" s="713"/>
      <c r="W16" s="714"/>
      <c r="X16" s="1489"/>
      <c r="Y16" s="3521"/>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8"/>
      <c r="Q17" s="1486" t="str">
        <f>B17</f>
        <v>交通便捷度</v>
      </c>
      <c r="R17" s="713" t="s">
        <v>21</v>
      </c>
      <c r="S17" s="714">
        <f>F17</f>
        <v>100</v>
      </c>
      <c r="T17" s="713" t="s">
        <v>21</v>
      </c>
      <c r="U17" s="714">
        <f>H17</f>
        <v>100</v>
      </c>
      <c r="V17" s="713" t="s">
        <v>21</v>
      </c>
      <c r="W17" s="714">
        <f>J17</f>
        <v>100</v>
      </c>
      <c r="X17" s="1489"/>
      <c r="Y17" s="3521"/>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28"/>
      <c r="Q18" s="1486"/>
      <c r="R18" s="713"/>
      <c r="S18" s="714"/>
      <c r="T18" s="713"/>
      <c r="U18" s="714"/>
      <c r="V18" s="713"/>
      <c r="W18" s="714"/>
      <c r="X18" s="1489"/>
      <c r="Y18" s="3521"/>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8"/>
      <c r="Q19" s="1486" t="str">
        <f>B19</f>
        <v>公共配套设施</v>
      </c>
      <c r="R19" s="713" t="s">
        <v>21</v>
      </c>
      <c r="S19" s="714">
        <f>F19</f>
        <v>100</v>
      </c>
      <c r="T19" s="713" t="s">
        <v>21</v>
      </c>
      <c r="U19" s="714">
        <f>H19</f>
        <v>100</v>
      </c>
      <c r="V19" s="713" t="s">
        <v>21</v>
      </c>
      <c r="W19" s="714">
        <f>J19</f>
        <v>100</v>
      </c>
      <c r="X19" s="1489"/>
      <c r="Y19" s="3521"/>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28"/>
      <c r="Q20" s="1486"/>
      <c r="R20" s="713"/>
      <c r="S20" s="714"/>
      <c r="T20" s="713"/>
      <c r="U20" s="714"/>
      <c r="V20" s="713"/>
      <c r="W20" s="714"/>
      <c r="X20" s="1489"/>
      <c r="Y20" s="3521"/>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8"/>
      <c r="Q21" s="1486" t="str">
        <f>B21</f>
        <v>基础设施水平</v>
      </c>
      <c r="R21" s="713" t="s">
        <v>17</v>
      </c>
      <c r="S21" s="714">
        <f>F21</f>
        <v>100</v>
      </c>
      <c r="T21" s="713" t="s">
        <v>17</v>
      </c>
      <c r="U21" s="714">
        <f>H21</f>
        <v>100</v>
      </c>
      <c r="V21" s="713" t="s">
        <v>17</v>
      </c>
      <c r="W21" s="714">
        <f>J21</f>
        <v>100</v>
      </c>
      <c r="X21" s="1489"/>
      <c r="Y21" s="352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28"/>
      <c r="Q22" s="1486"/>
      <c r="R22" s="713"/>
      <c r="S22" s="714"/>
      <c r="T22" s="713"/>
      <c r="U22" s="714"/>
      <c r="V22" s="713"/>
      <c r="W22" s="714"/>
      <c r="X22" s="1489"/>
      <c r="Y22" s="3521"/>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8"/>
      <c r="Q23" s="1486" t="str">
        <f>B23</f>
        <v>自然及人文环境</v>
      </c>
      <c r="R23" s="713" t="s">
        <v>21</v>
      </c>
      <c r="S23" s="714">
        <f>F23</f>
        <v>100</v>
      </c>
      <c r="T23" s="713" t="s">
        <v>21</v>
      </c>
      <c r="U23" s="714">
        <f>H23</f>
        <v>100</v>
      </c>
      <c r="V23" s="713" t="s">
        <v>21</v>
      </c>
      <c r="W23" s="714">
        <f>J23</f>
        <v>100</v>
      </c>
      <c r="X23" s="1489"/>
      <c r="Y23" s="3521"/>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28"/>
      <c r="Q24" s="1486"/>
      <c r="R24" s="713"/>
      <c r="S24" s="714"/>
      <c r="T24" s="713"/>
      <c r="U24" s="714"/>
      <c r="V24" s="713"/>
      <c r="W24" s="714"/>
      <c r="X24" s="1489"/>
      <c r="Y24" s="3521"/>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28"/>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21"/>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28"/>
      <c r="Q26" s="1486" t="str">
        <f t="shared" si="11"/>
        <v>朝向</v>
      </c>
      <c r="R26" s="713" t="s">
        <v>21</v>
      </c>
      <c r="S26" s="714">
        <f t="shared" si="12"/>
        <v>100</v>
      </c>
      <c r="T26" s="713" t="s">
        <v>21</v>
      </c>
      <c r="U26" s="714">
        <f t="shared" si="13"/>
        <v>100</v>
      </c>
      <c r="V26" s="713" t="s">
        <v>21</v>
      </c>
      <c r="W26" s="714">
        <f t="shared" si="14"/>
        <v>100</v>
      </c>
      <c r="X26" s="1489"/>
      <c r="Y26" s="3521"/>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28"/>
      <c r="Q27" s="1477">
        <f t="shared" si="11"/>
        <v>111</v>
      </c>
      <c r="R27" s="709" t="s">
        <v>21</v>
      </c>
      <c r="S27" s="710">
        <f t="shared" si="12"/>
        <v>100</v>
      </c>
      <c r="T27" s="709" t="s">
        <v>21</v>
      </c>
      <c r="U27" s="710">
        <f t="shared" si="13"/>
        <v>100</v>
      </c>
      <c r="V27" s="709" t="s">
        <v>21</v>
      </c>
      <c r="W27" s="710">
        <f t="shared" si="14"/>
        <v>100</v>
      </c>
      <c r="X27" s="711"/>
      <c r="Y27" s="3521"/>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28"/>
      <c r="Q28" s="1486">
        <f t="shared" si="11"/>
        <v>111</v>
      </c>
      <c r="R28" s="713" t="s">
        <v>21</v>
      </c>
      <c r="S28" s="714">
        <f t="shared" si="12"/>
        <v>100</v>
      </c>
      <c r="T28" s="713" t="s">
        <v>21</v>
      </c>
      <c r="U28" s="714">
        <f t="shared" si="13"/>
        <v>100</v>
      </c>
      <c r="V28" s="713" t="s">
        <v>21</v>
      </c>
      <c r="W28" s="714">
        <f t="shared" si="14"/>
        <v>100</v>
      </c>
      <c r="X28" s="1489"/>
      <c r="Y28" s="3521"/>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28"/>
      <c r="Q29" s="1486">
        <f t="shared" si="11"/>
        <v>111</v>
      </c>
      <c r="R29" s="713" t="s">
        <v>21</v>
      </c>
      <c r="S29" s="714">
        <f t="shared" si="12"/>
        <v>100</v>
      </c>
      <c r="T29" s="713" t="s">
        <v>21</v>
      </c>
      <c r="U29" s="714">
        <f t="shared" si="13"/>
        <v>100</v>
      </c>
      <c r="V29" s="713" t="s">
        <v>21</v>
      </c>
      <c r="W29" s="714">
        <f t="shared" si="14"/>
        <v>100</v>
      </c>
      <c r="X29" s="1489"/>
      <c r="Y29" s="3521"/>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28"/>
      <c r="Q30" s="1486">
        <f t="shared" si="11"/>
        <v>111</v>
      </c>
      <c r="R30" s="713" t="s">
        <v>21</v>
      </c>
      <c r="S30" s="714">
        <f t="shared" si="12"/>
        <v>100</v>
      </c>
      <c r="T30" s="713" t="s">
        <v>21</v>
      </c>
      <c r="U30" s="714">
        <f t="shared" si="13"/>
        <v>100</v>
      </c>
      <c r="V30" s="713" t="s">
        <v>21</v>
      </c>
      <c r="W30" s="714">
        <f t="shared" si="14"/>
        <v>100</v>
      </c>
      <c r="X30" s="1489"/>
      <c r="Y30" s="3521"/>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28"/>
      <c r="Q31" s="1486">
        <f t="shared" si="11"/>
        <v>111</v>
      </c>
      <c r="R31" s="713" t="s">
        <v>21</v>
      </c>
      <c r="S31" s="714">
        <f t="shared" si="12"/>
        <v>100</v>
      </c>
      <c r="T31" s="713" t="s">
        <v>21</v>
      </c>
      <c r="U31" s="714">
        <f t="shared" si="13"/>
        <v>100</v>
      </c>
      <c r="V31" s="713" t="s">
        <v>21</v>
      </c>
      <c r="W31" s="714">
        <f t="shared" si="14"/>
        <v>100</v>
      </c>
      <c r="X31" s="1489"/>
      <c r="Y31" s="3521"/>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22" t="s">
        <v>2145</v>
      </c>
      <c r="Q32" s="1486" t="str">
        <f t="shared" si="11"/>
        <v>建筑类型</v>
      </c>
      <c r="R32" s="713" t="s">
        <v>21</v>
      </c>
      <c r="S32" s="714">
        <f t="shared" si="12"/>
        <v>100</v>
      </c>
      <c r="T32" s="713" t="s">
        <v>21</v>
      </c>
      <c r="U32" s="714">
        <f t="shared" si="13"/>
        <v>100</v>
      </c>
      <c r="V32" s="713" t="s">
        <v>21</v>
      </c>
      <c r="W32" s="714">
        <f t="shared" si="14"/>
        <v>100</v>
      </c>
      <c r="X32" s="1489"/>
      <c r="Y32" s="3525"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23"/>
      <c r="Q33" s="715" t="str">
        <f t="shared" si="11"/>
        <v>项目建筑规模</v>
      </c>
      <c r="R33" s="716" t="s">
        <v>21</v>
      </c>
      <c r="S33" s="717" t="e">
        <f t="shared" si="12"/>
        <v>#N/A</v>
      </c>
      <c r="T33" s="716" t="s">
        <v>21</v>
      </c>
      <c r="U33" s="717" t="e">
        <f t="shared" si="13"/>
        <v>#N/A</v>
      </c>
      <c r="V33" s="716" t="s">
        <v>21</v>
      </c>
      <c r="W33" s="717" t="e">
        <f t="shared" si="14"/>
        <v>#N/A</v>
      </c>
      <c r="X33" s="718"/>
      <c r="Y33" s="3525"/>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23"/>
      <c r="Q34" s="1486" t="str">
        <f t="shared" si="11"/>
        <v>建筑结构</v>
      </c>
      <c r="R34" s="713" t="s">
        <v>21</v>
      </c>
      <c r="S34" s="714">
        <f t="shared" si="12"/>
        <v>100</v>
      </c>
      <c r="T34" s="713" t="s">
        <v>21</v>
      </c>
      <c r="U34" s="714">
        <f t="shared" si="13"/>
        <v>100</v>
      </c>
      <c r="V34" s="713" t="s">
        <v>21</v>
      </c>
      <c r="W34" s="714">
        <f t="shared" si="14"/>
        <v>100</v>
      </c>
      <c r="X34" s="1489"/>
      <c r="Y34" s="3525"/>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23"/>
      <c r="Q35" s="1486" t="str">
        <f t="shared" si="11"/>
        <v>建筑品质</v>
      </c>
      <c r="R35" s="713" t="s">
        <v>21</v>
      </c>
      <c r="S35" s="714">
        <f t="shared" si="12"/>
        <v>100</v>
      </c>
      <c r="T35" s="713" t="s">
        <v>21</v>
      </c>
      <c r="U35" s="714">
        <f t="shared" si="13"/>
        <v>100</v>
      </c>
      <c r="V35" s="713" t="s">
        <v>21</v>
      </c>
      <c r="W35" s="714">
        <f t="shared" si="14"/>
        <v>100</v>
      </c>
      <c r="X35" s="1489"/>
      <c r="Y35" s="3525"/>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23"/>
      <c r="Q36" s="1486" t="str">
        <f t="shared" si="11"/>
        <v>公共部分装修</v>
      </c>
      <c r="R36" s="713" t="s">
        <v>21</v>
      </c>
      <c r="S36" s="714">
        <f t="shared" si="12"/>
        <v>100</v>
      </c>
      <c r="T36" s="713" t="s">
        <v>21</v>
      </c>
      <c r="U36" s="714">
        <f t="shared" si="13"/>
        <v>100</v>
      </c>
      <c r="V36" s="713" t="s">
        <v>21</v>
      </c>
      <c r="W36" s="714">
        <f t="shared" si="14"/>
        <v>100</v>
      </c>
      <c r="X36" s="1489"/>
      <c r="Y36" s="3525"/>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23"/>
      <c r="Q37" s="1477" t="str">
        <f t="shared" si="11"/>
        <v>成新度</v>
      </c>
      <c r="R37" s="709" t="s">
        <v>21</v>
      </c>
      <c r="S37" s="710" t="e">
        <f t="shared" si="12"/>
        <v>#N/A</v>
      </c>
      <c r="T37" s="709" t="s">
        <v>21</v>
      </c>
      <c r="U37" s="710" t="e">
        <f t="shared" si="13"/>
        <v>#N/A</v>
      </c>
      <c r="V37" s="709" t="s">
        <v>21</v>
      </c>
      <c r="W37" s="710" t="e">
        <f t="shared" si="14"/>
        <v>#N/A</v>
      </c>
      <c r="X37" s="711"/>
      <c r="Y37" s="3525"/>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23" t="s">
        <v>2145</v>
      </c>
      <c r="Q38" s="1486" t="str">
        <f t="shared" si="11"/>
        <v>物业管理</v>
      </c>
      <c r="R38" s="713" t="s">
        <v>21</v>
      </c>
      <c r="S38" s="714">
        <f t="shared" si="12"/>
        <v>100</v>
      </c>
      <c r="T38" s="713" t="s">
        <v>21</v>
      </c>
      <c r="U38" s="714">
        <f t="shared" si="13"/>
        <v>100</v>
      </c>
      <c r="V38" s="713" t="s">
        <v>21</v>
      </c>
      <c r="W38" s="714">
        <f t="shared" si="14"/>
        <v>100</v>
      </c>
      <c r="X38" s="1489"/>
      <c r="Y38" s="3525"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23"/>
      <c r="Q39" s="1486" t="str">
        <f t="shared" si="11"/>
        <v>市政基础设施</v>
      </c>
      <c r="R39" s="713" t="s">
        <v>21</v>
      </c>
      <c r="S39" s="714">
        <f t="shared" si="12"/>
        <v>100</v>
      </c>
      <c r="T39" s="713" t="s">
        <v>21</v>
      </c>
      <c r="U39" s="714">
        <f t="shared" si="13"/>
        <v>100</v>
      </c>
      <c r="V39" s="713" t="s">
        <v>21</v>
      </c>
      <c r="W39" s="714">
        <f t="shared" si="14"/>
        <v>100</v>
      </c>
      <c r="X39" s="1489"/>
      <c r="Y39" s="3525"/>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23"/>
      <c r="Q40" s="1486" t="str">
        <f t="shared" si="11"/>
        <v>房型</v>
      </c>
      <c r="R40" s="713" t="s">
        <v>21</v>
      </c>
      <c r="S40" s="714">
        <f t="shared" si="12"/>
        <v>100</v>
      </c>
      <c r="T40" s="713" t="s">
        <v>21</v>
      </c>
      <c r="U40" s="714">
        <f t="shared" si="13"/>
        <v>100</v>
      </c>
      <c r="V40" s="713" t="s">
        <v>21</v>
      </c>
      <c r="W40" s="714">
        <f t="shared" si="14"/>
        <v>100</v>
      </c>
      <c r="X40" s="1489"/>
      <c r="Y40" s="3525"/>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23"/>
      <c r="Q41" s="715" t="str">
        <f t="shared" si="11"/>
        <v>单套/主力户型建筑面积</v>
      </c>
      <c r="R41" s="716" t="s">
        <v>21</v>
      </c>
      <c r="S41" s="717">
        <f t="shared" si="12"/>
        <v>100</v>
      </c>
      <c r="T41" s="716" t="s">
        <v>21</v>
      </c>
      <c r="U41" s="717">
        <f t="shared" si="13"/>
        <v>100</v>
      </c>
      <c r="V41" s="716" t="s">
        <v>21</v>
      </c>
      <c r="W41" s="717">
        <f t="shared" si="14"/>
        <v>100</v>
      </c>
      <c r="X41" s="718"/>
      <c r="Y41" s="3525"/>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23"/>
      <c r="Q42" s="1486" t="str">
        <f t="shared" si="11"/>
        <v>内部装修</v>
      </c>
      <c r="R42" s="713" t="s">
        <v>21</v>
      </c>
      <c r="S42" s="714">
        <f t="shared" si="12"/>
        <v>100</v>
      </c>
      <c r="T42" s="713" t="s">
        <v>21</v>
      </c>
      <c r="U42" s="714">
        <f t="shared" si="13"/>
        <v>100</v>
      </c>
      <c r="V42" s="713" t="s">
        <v>21</v>
      </c>
      <c r="W42" s="714">
        <f t="shared" si="14"/>
        <v>100</v>
      </c>
      <c r="X42" s="1489"/>
      <c r="Y42" s="3525"/>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23"/>
      <c r="Q43" s="1486" t="str">
        <f t="shared" si="11"/>
        <v>内部装修维护情况</v>
      </c>
      <c r="R43" s="713" t="s">
        <v>21</v>
      </c>
      <c r="S43" s="714">
        <f t="shared" si="12"/>
        <v>100</v>
      </c>
      <c r="T43" s="713" t="s">
        <v>21</v>
      </c>
      <c r="U43" s="714">
        <f t="shared" si="13"/>
        <v>100</v>
      </c>
      <c r="V43" s="713" t="s">
        <v>21</v>
      </c>
      <c r="W43" s="714">
        <f t="shared" si="14"/>
        <v>100</v>
      </c>
      <c r="X43" s="1489"/>
      <c r="Y43" s="3525"/>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23"/>
      <c r="Q44" s="1477">
        <f t="shared" si="11"/>
        <v>111</v>
      </c>
      <c r="R44" s="709" t="s">
        <v>21</v>
      </c>
      <c r="S44" s="710">
        <f t="shared" si="12"/>
        <v>100</v>
      </c>
      <c r="T44" s="709" t="s">
        <v>21</v>
      </c>
      <c r="U44" s="710">
        <f t="shared" si="13"/>
        <v>100</v>
      </c>
      <c r="V44" s="709" t="s">
        <v>21</v>
      </c>
      <c r="W44" s="710">
        <f t="shared" si="14"/>
        <v>100</v>
      </c>
      <c r="X44" s="711"/>
      <c r="Y44" s="3525"/>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23"/>
      <c r="Q45" s="1486">
        <f t="shared" si="11"/>
        <v>111</v>
      </c>
      <c r="R45" s="713" t="s">
        <v>21</v>
      </c>
      <c r="S45" s="714">
        <f t="shared" si="12"/>
        <v>100</v>
      </c>
      <c r="T45" s="713" t="s">
        <v>21</v>
      </c>
      <c r="U45" s="714">
        <f t="shared" si="13"/>
        <v>100</v>
      </c>
      <c r="V45" s="713" t="s">
        <v>21</v>
      </c>
      <c r="W45" s="714">
        <f t="shared" si="14"/>
        <v>100</v>
      </c>
      <c r="X45" s="1489"/>
      <c r="Y45" s="3525"/>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24"/>
      <c r="Q46" s="1486">
        <f t="shared" si="11"/>
        <v>111</v>
      </c>
      <c r="R46" s="713" t="s">
        <v>20</v>
      </c>
      <c r="S46" s="714">
        <f t="shared" si="12"/>
        <v>100</v>
      </c>
      <c r="T46" s="713" t="s">
        <v>20</v>
      </c>
      <c r="U46" s="714">
        <f t="shared" si="13"/>
        <v>100</v>
      </c>
      <c r="V46" s="713" t="s">
        <v>20</v>
      </c>
      <c r="W46" s="714">
        <f t="shared" si="14"/>
        <v>100</v>
      </c>
      <c r="X46" s="1489"/>
      <c r="Y46" s="3526"/>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18" t="str">
        <f>A47</f>
        <v>成交单价（元/平方米）</v>
      </c>
      <c r="Q47" s="3518"/>
      <c r="R47" s="3519">
        <f>E47</f>
        <v>0</v>
      </c>
      <c r="S47" s="3519"/>
      <c r="T47" s="3519">
        <f>G47</f>
        <v>0</v>
      </c>
      <c r="U47" s="3519"/>
      <c r="V47" s="3519">
        <f>I47</f>
        <v>0</v>
      </c>
      <c r="W47" s="3519"/>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18" t="str">
        <f>A48</f>
        <v>比较价值（元/平方米）</v>
      </c>
      <c r="Q48" s="3518"/>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698" customWidth="1"/>
    <col min="2" max="2" width="15.75" style="3698" customWidth="1"/>
    <col min="3" max="3" width="15.125" style="3698" customWidth="1"/>
    <col min="4" max="4" width="12.25" style="3698" customWidth="1"/>
    <col min="5" max="5" width="14.375" style="3698" customWidth="1"/>
    <col min="6" max="6" width="12.25" style="3698" customWidth="1"/>
    <col min="7" max="7" width="14.5" style="3698" customWidth="1"/>
    <col min="8" max="8" width="12.25" style="3698" customWidth="1"/>
    <col min="9" max="9" width="14.5" style="3698" customWidth="1"/>
    <col min="10" max="10" width="12.25" style="3698" customWidth="1"/>
    <col min="11" max="11" width="12.25" style="4033" customWidth="1"/>
    <col min="12" max="12" width="12.25" style="4034" customWidth="1"/>
    <col min="13" max="15" width="12.25" style="3698" customWidth="1"/>
    <col min="16" max="16" width="4.75" style="4035" customWidth="1"/>
    <col min="17" max="17" width="19.5" style="3698" customWidth="1"/>
    <col min="18" max="22" width="6.125" style="3698" customWidth="1"/>
    <col min="23" max="23" width="5.75" style="3698" customWidth="1"/>
    <col min="24" max="24" width="4.25" style="3698" customWidth="1"/>
    <col min="25" max="25" width="3.5" style="3698" customWidth="1"/>
    <col min="26" max="26" width="19.75" style="3698" customWidth="1"/>
    <col min="27" max="28" width="9.375" style="3698" customWidth="1"/>
    <col min="29" max="16384" width="9" style="3698"/>
  </cols>
  <sheetData>
    <row r="1" spans="1:29" s="3666" customFormat="1" ht="28.5" customHeight="1" thickBot="1">
      <c r="A1" s="3653" t="s">
        <v>3387</v>
      </c>
      <c r="B1" s="3654" t="s">
        <v>3388</v>
      </c>
      <c r="C1" s="3655" t="s">
        <v>3389</v>
      </c>
      <c r="D1" s="3656" t="s">
        <v>1102</v>
      </c>
      <c r="E1" s="3657"/>
      <c r="F1" s="3658" t="s">
        <v>3225</v>
      </c>
      <c r="G1" s="3659" t="s">
        <v>3390</v>
      </c>
      <c r="H1" s="3660"/>
      <c r="I1" s="3660"/>
      <c r="J1" s="3660"/>
      <c r="K1" s="3661"/>
      <c r="L1" s="3662"/>
      <c r="M1" s="3655"/>
      <c r="N1" s="3655"/>
      <c r="O1" s="3655"/>
      <c r="P1" s="3663"/>
      <c r="Q1" s="3664"/>
      <c r="R1" s="3664"/>
      <c r="S1" s="3664"/>
      <c r="T1" s="3664"/>
      <c r="U1" s="3664"/>
      <c r="V1" s="3664"/>
      <c r="W1" s="3664"/>
      <c r="X1" s="3664"/>
      <c r="Y1" s="3664"/>
      <c r="Z1" s="3664"/>
      <c r="AA1" s="3664"/>
      <c r="AB1" s="3664"/>
      <c r="AC1" s="3665"/>
    </row>
    <row r="2" spans="1:29" s="3675" customFormat="1" ht="28.5" customHeight="1" thickTop="1">
      <c r="A2" s="1341" t="s">
        <v>3391</v>
      </c>
      <c r="B2" s="3667">
        <f>IF(C2="——",ROUND(C49*D3/10000,0),ROUND(C49*D3/10000,0)-D2)</f>
        <v>40536</v>
      </c>
      <c r="C2" s="2017" t="s">
        <v>70</v>
      </c>
      <c r="D2" s="3668" t="e">
        <f ca="1">SUMIF(INDIRECT("'"&amp;F2&amp;"'"&amp;"!A:A"),"承租人权益价值",INDIRECT("'"&amp;F2&amp;"'"&amp;"!c:c"))</f>
        <v>#REF!</v>
      </c>
      <c r="E2" s="2018" t="s">
        <v>3392</v>
      </c>
      <c r="F2" s="2019"/>
      <c r="G2" s="3669"/>
      <c r="H2" s="3669"/>
      <c r="I2" s="3669"/>
      <c r="J2" s="3669"/>
      <c r="K2" s="3669"/>
      <c r="L2" s="3670"/>
      <c r="M2" s="3671"/>
      <c r="N2" s="3671"/>
      <c r="O2" s="3671"/>
      <c r="P2" s="3672"/>
      <c r="Q2" s="3673"/>
      <c r="R2" s="3673"/>
      <c r="S2" s="3673"/>
      <c r="T2" s="3673"/>
      <c r="U2" s="3673"/>
      <c r="V2" s="3673"/>
      <c r="W2" s="3673"/>
      <c r="X2" s="3673"/>
      <c r="Y2" s="3673"/>
      <c r="Z2" s="3673"/>
      <c r="AA2" s="3673"/>
      <c r="AB2" s="3673"/>
      <c r="AC2" s="3674"/>
    </row>
    <row r="3" spans="1:29" s="3675" customFormat="1" ht="28.5" customHeight="1" thickBot="1">
      <c r="A3" s="209" t="s">
        <v>3393</v>
      </c>
      <c r="B3" s="3676">
        <f>IF(C2="——",C49,ROUND(B2*10000/D3,0))</f>
        <v>62183</v>
      </c>
      <c r="C3" s="3677" t="s">
        <v>3394</v>
      </c>
      <c r="D3" s="3678">
        <f>'数据-汇总表'!F19</f>
        <v>6518.7900000000018</v>
      </c>
      <c r="E3" s="3679"/>
      <c r="F3" s="3680"/>
      <c r="G3" s="3669"/>
      <c r="H3" s="3669"/>
      <c r="I3" s="3669"/>
      <c r="J3" s="3669"/>
      <c r="K3" s="3681"/>
      <c r="L3" s="3670"/>
      <c r="M3" s="3671"/>
      <c r="N3" s="3671"/>
      <c r="O3" s="3671"/>
      <c r="P3" s="3672"/>
      <c r="Q3" s="3673"/>
      <c r="R3" s="3673"/>
      <c r="S3" s="3673"/>
      <c r="T3" s="3673"/>
      <c r="U3" s="3673"/>
      <c r="V3" s="3673"/>
      <c r="W3" s="3673"/>
      <c r="X3" s="3673"/>
      <c r="Y3" s="3673"/>
      <c r="Z3" s="3673"/>
      <c r="AA3" s="3673"/>
      <c r="AB3" s="3673"/>
      <c r="AC3" s="3679"/>
    </row>
    <row r="4" spans="1:29" ht="15">
      <c r="A4" s="3682" t="s">
        <v>3395</v>
      </c>
      <c r="B4" s="3683"/>
      <c r="C4" s="3684" t="s">
        <v>3396</v>
      </c>
      <c r="D4" s="3685"/>
      <c r="E4" s="3686" t="s">
        <v>3397</v>
      </c>
      <c r="F4" s="3687"/>
      <c r="G4" s="3684" t="s">
        <v>3398</v>
      </c>
      <c r="H4" s="3685"/>
      <c r="I4" s="3684" t="s">
        <v>3399</v>
      </c>
      <c r="J4" s="3685"/>
      <c r="K4" s="3688" t="s">
        <v>3400</v>
      </c>
      <c r="L4" s="3689"/>
      <c r="M4" s="3690"/>
      <c r="N4" s="3690"/>
      <c r="O4" s="3690"/>
      <c r="P4" s="3691" t="s">
        <v>3401</v>
      </c>
      <c r="Q4" s="3692"/>
      <c r="R4" s="3693" t="s">
        <v>3397</v>
      </c>
      <c r="S4" s="3694"/>
      <c r="T4" s="3693" t="s">
        <v>3398</v>
      </c>
      <c r="U4" s="3694"/>
      <c r="V4" s="3695" t="s">
        <v>3399</v>
      </c>
      <c r="W4" s="3695"/>
      <c r="X4" s="3696"/>
      <c r="Y4" s="3693" t="s">
        <v>3401</v>
      </c>
      <c r="Z4" s="3694"/>
      <c r="AA4" s="3697" t="s">
        <v>3397</v>
      </c>
      <c r="AB4" s="3695" t="s">
        <v>3398</v>
      </c>
      <c r="AC4" s="3697" t="s">
        <v>3399</v>
      </c>
    </row>
    <row r="5" spans="1:29" ht="15">
      <c r="A5" s="3699"/>
      <c r="B5" s="3700"/>
      <c r="C5" s="3701" t="s">
        <v>3402</v>
      </c>
      <c r="D5" s="3702"/>
      <c r="E5" s="3703" t="str">
        <f>大宗案例!E74</f>
        <v>兆泰国际中心CDE座（80%股权）</v>
      </c>
      <c r="F5" s="3704"/>
      <c r="G5" s="3701" t="str">
        <f>大宗案例!E77</f>
        <v>新世界燕京大厦</v>
      </c>
      <c r="H5" s="3702"/>
      <c r="I5" s="3701" t="str">
        <f>大宗案例!E85</f>
        <v>北京来福士中心</v>
      </c>
      <c r="J5" s="3702"/>
      <c r="K5" s="3688"/>
      <c r="L5" s="3689"/>
      <c r="M5" s="3690"/>
      <c r="N5" s="3690"/>
      <c r="O5" s="3690"/>
      <c r="P5" s="3705"/>
      <c r="Q5" s="3706"/>
      <c r="R5" s="3707"/>
      <c r="S5" s="3708"/>
      <c r="T5" s="3707"/>
      <c r="U5" s="3708"/>
      <c r="V5" s="3695"/>
      <c r="W5" s="3695"/>
      <c r="X5" s="3696"/>
      <c r="Y5" s="3707"/>
      <c r="Z5" s="3708"/>
      <c r="AA5" s="3709"/>
      <c r="AB5" s="3695"/>
      <c r="AC5" s="3709"/>
    </row>
    <row r="6" spans="1:29" ht="15.75" thickBot="1">
      <c r="A6" s="3710"/>
      <c r="B6" s="3711"/>
      <c r="C6" s="3712" t="s">
        <v>3403</v>
      </c>
      <c r="D6" s="3713"/>
      <c r="E6" s="3714" t="s">
        <v>3403</v>
      </c>
      <c r="F6" s="3715"/>
      <c r="G6" s="3712" t="s">
        <v>3403</v>
      </c>
      <c r="H6" s="3713"/>
      <c r="I6" s="3712" t="s">
        <v>3403</v>
      </c>
      <c r="J6" s="3713"/>
      <c r="K6" s="3688" t="s">
        <v>3404</v>
      </c>
      <c r="L6" s="3689"/>
      <c r="M6" s="3690"/>
      <c r="N6" s="3690"/>
      <c r="O6" s="3690"/>
      <c r="P6" s="3716"/>
      <c r="Q6" s="3717"/>
      <c r="R6" s="3707"/>
      <c r="S6" s="3708"/>
      <c r="T6" s="3718"/>
      <c r="U6" s="3719"/>
      <c r="V6" s="3695"/>
      <c r="W6" s="3695"/>
      <c r="X6" s="3696"/>
      <c r="Y6" s="3718"/>
      <c r="Z6" s="3719"/>
      <c r="AA6" s="3720"/>
      <c r="AB6" s="3695"/>
      <c r="AC6" s="3720"/>
    </row>
    <row r="7" spans="1:29" s="3737" customFormat="1" ht="15.75" thickBot="1">
      <c r="A7" s="3721" t="s">
        <v>3405</v>
      </c>
      <c r="B7" s="3722"/>
      <c r="C7" s="3723">
        <f>'[2]数据-取费表'!B2</f>
        <v>44873</v>
      </c>
      <c r="D7" s="3724">
        <v>100</v>
      </c>
      <c r="E7" s="3725" t="str">
        <f>大宗案例!C74</f>
        <v>2021年2月</v>
      </c>
      <c r="F7" s="3726">
        <f>SUMIF(58:58,YEAR(E7)&amp;"-"&amp;MONTH(E7),59:59)</f>
        <v>100</v>
      </c>
      <c r="G7" s="3725" t="str">
        <f>大宗案例!C77</f>
        <v>2021年3月</v>
      </c>
      <c r="H7" s="3724">
        <f>SUMIF(58:58,YEAR(G7)&amp;"-"&amp;MONTH(G7),59:59)</f>
        <v>100</v>
      </c>
      <c r="I7" s="3725" t="str">
        <f>大宗案例!C85</f>
        <v>2021年6月</v>
      </c>
      <c r="J7" s="3724">
        <f>SUMIF(58:58,YEAR(I7)&amp;"-"&amp;MONTH(I7),59:59)</f>
        <v>100</v>
      </c>
      <c r="K7" s="3727"/>
      <c r="L7" s="3728"/>
      <c r="M7" s="3729"/>
      <c r="N7" s="3729"/>
      <c r="O7" s="3729"/>
      <c r="P7" s="3730" t="s">
        <v>3406</v>
      </c>
      <c r="Q7" s="3731"/>
      <c r="R7" s="3732" t="s">
        <v>3407</v>
      </c>
      <c r="S7" s="3733">
        <f t="shared" ref="S7:S15" si="0">F7</f>
        <v>100</v>
      </c>
      <c r="T7" s="3732" t="s">
        <v>3407</v>
      </c>
      <c r="U7" s="3733">
        <f t="shared" ref="U7:U15" si="1">H7</f>
        <v>100</v>
      </c>
      <c r="V7" s="3732" t="s">
        <v>3407</v>
      </c>
      <c r="W7" s="3733">
        <f t="shared" ref="W7:W15" si="2">J7</f>
        <v>100</v>
      </c>
      <c r="X7" s="3734"/>
      <c r="Y7" s="3730" t="s">
        <v>3406</v>
      </c>
      <c r="Z7" s="3735"/>
      <c r="AA7" s="3736">
        <f>D7/F7</f>
        <v>1</v>
      </c>
      <c r="AB7" s="3736">
        <f>D7/H7</f>
        <v>1</v>
      </c>
      <c r="AC7" s="3736">
        <f>D7/J7</f>
        <v>1</v>
      </c>
    </row>
    <row r="8" spans="1:29" s="3737" customFormat="1" ht="15.75" thickBot="1">
      <c r="A8" s="3721" t="s">
        <v>3408</v>
      </c>
      <c r="B8" s="3722"/>
      <c r="C8" s="3738" t="s">
        <v>3409</v>
      </c>
      <c r="D8" s="3724">
        <v>100</v>
      </c>
      <c r="E8" s="3739" t="s">
        <v>3410</v>
      </c>
      <c r="F8" s="3726">
        <f>SUMIF(61:61,E8,62:62)-SUMIF(61:61,C8,62:62)+100</f>
        <v>100</v>
      </c>
      <c r="G8" s="3739" t="s">
        <v>3410</v>
      </c>
      <c r="H8" s="3724">
        <f>SUMIF(61:61,G8,62:62)-SUMIF(61:61,C8,62:62)+100</f>
        <v>100</v>
      </c>
      <c r="I8" s="3739" t="s">
        <v>3410</v>
      </c>
      <c r="J8" s="3724">
        <f>SUMIF(61:61,I8,62:62)-SUMIF(61:61,C8,62:62)+100</f>
        <v>100</v>
      </c>
      <c r="K8" s="3727"/>
      <c r="L8" s="3728"/>
      <c r="M8" s="3729"/>
      <c r="N8" s="3729"/>
      <c r="O8" s="3729"/>
      <c r="P8" s="3730" t="s">
        <v>3411</v>
      </c>
      <c r="Q8" s="3735"/>
      <c r="R8" s="3732" t="s">
        <v>3407</v>
      </c>
      <c r="S8" s="3733">
        <f t="shared" si="0"/>
        <v>100</v>
      </c>
      <c r="T8" s="3732" t="s">
        <v>3407</v>
      </c>
      <c r="U8" s="3733">
        <f t="shared" si="1"/>
        <v>100</v>
      </c>
      <c r="V8" s="3732" t="s">
        <v>3407</v>
      </c>
      <c r="W8" s="3733">
        <f t="shared" si="2"/>
        <v>100</v>
      </c>
      <c r="X8" s="3734"/>
      <c r="Y8" s="3730" t="s">
        <v>3411</v>
      </c>
      <c r="Z8" s="3735"/>
      <c r="AA8" s="3736">
        <f t="shared" ref="AA8:AA46" si="3">D8/F8</f>
        <v>1</v>
      </c>
      <c r="AB8" s="3736">
        <f t="shared" ref="AB8:AB46" si="4">D8/H8</f>
        <v>1</v>
      </c>
      <c r="AC8" s="3736">
        <f t="shared" ref="AC8:AC46" si="5">D8/J8</f>
        <v>1</v>
      </c>
    </row>
    <row r="9" spans="1:29" s="3737" customFormat="1" ht="15">
      <c r="A9" s="3740" t="s">
        <v>3412</v>
      </c>
      <c r="B9" s="3741" t="s">
        <v>3413</v>
      </c>
      <c r="C9" s="3742" t="s">
        <v>3414</v>
      </c>
      <c r="D9" s="3743">
        <v>100</v>
      </c>
      <c r="E9" s="3744" t="s">
        <v>3415</v>
      </c>
      <c r="F9" s="3745">
        <f>SUMIF(63:63,E9,64:64)-SUMIF(63:63,C9,64:64)+100</f>
        <v>90</v>
      </c>
      <c r="G9" s="3744" t="s">
        <v>1102</v>
      </c>
      <c r="H9" s="3743">
        <f>SUMIF(63:63,G9,64:64)-SUMIF(63:63,C9,64:64)+100</f>
        <v>100</v>
      </c>
      <c r="I9" s="3744" t="s">
        <v>3416</v>
      </c>
      <c r="J9" s="3743">
        <f>SUMIF(63:63,I9,64:64)-SUMIF(63:63,C9,64:64)+100</f>
        <v>95</v>
      </c>
      <c r="K9" s="3727"/>
      <c r="L9" s="3728"/>
      <c r="M9" s="3729"/>
      <c r="N9" s="3729"/>
      <c r="O9" s="3729"/>
      <c r="P9" s="3746" t="s">
        <v>3417</v>
      </c>
      <c r="Q9" s="3747" t="str">
        <f t="shared" ref="Q9:Q15" si="6">B9</f>
        <v>用途</v>
      </c>
      <c r="R9" s="3732" t="s">
        <v>3407</v>
      </c>
      <c r="S9" s="3733">
        <f t="shared" si="0"/>
        <v>90</v>
      </c>
      <c r="T9" s="3732" t="s">
        <v>3407</v>
      </c>
      <c r="U9" s="3733">
        <f t="shared" si="1"/>
        <v>100</v>
      </c>
      <c r="V9" s="3732" t="s">
        <v>3407</v>
      </c>
      <c r="W9" s="3733">
        <f t="shared" si="2"/>
        <v>95</v>
      </c>
      <c r="X9" s="3734"/>
      <c r="Y9" s="3748" t="s">
        <v>3418</v>
      </c>
      <c r="Z9" s="3749" t="str">
        <f t="shared" ref="Z9:Z15" si="7">Q9</f>
        <v>用途</v>
      </c>
      <c r="AA9" s="3736">
        <f t="shared" si="3"/>
        <v>1.1111111111111112</v>
      </c>
      <c r="AB9" s="3736">
        <f t="shared" si="4"/>
        <v>1</v>
      </c>
      <c r="AC9" s="3736">
        <f t="shared" si="5"/>
        <v>1.0526315789473684</v>
      </c>
    </row>
    <row r="10" spans="1:29" s="3759" customFormat="1" ht="27">
      <c r="A10" s="3750"/>
      <c r="B10" s="3751" t="s">
        <v>3419</v>
      </c>
      <c r="C10" s="3752"/>
      <c r="D10" s="3753">
        <v>100</v>
      </c>
      <c r="E10" s="3754"/>
      <c r="F10" s="3755">
        <f>SUMIF(65:65,E10,66:66)-SUMIF(65:65,C10,66:66)+100</f>
        <v>100</v>
      </c>
      <c r="G10" s="3752"/>
      <c r="H10" s="3753">
        <f>SUMIF(65:65,G10,66:66)-SUMIF(65:65,C10,66:66)+100</f>
        <v>100</v>
      </c>
      <c r="I10" s="3752"/>
      <c r="J10" s="3753">
        <f>SUMIF(65:65,I10,66:66)-SUMIF(65:65,C10,66:66)+100</f>
        <v>100</v>
      </c>
      <c r="K10" s="3756"/>
      <c r="L10" s="3757"/>
      <c r="M10" s="3758"/>
      <c r="N10" s="3758"/>
      <c r="O10" s="3758"/>
      <c r="P10" s="3746"/>
      <c r="Q10" s="3747" t="str">
        <f t="shared" si="6"/>
        <v>土地使用年限（年）</v>
      </c>
      <c r="R10" s="3732" t="s">
        <v>3407</v>
      </c>
      <c r="S10" s="3733">
        <f t="shared" si="0"/>
        <v>100</v>
      </c>
      <c r="T10" s="3732" t="s">
        <v>3407</v>
      </c>
      <c r="U10" s="3733">
        <f t="shared" si="1"/>
        <v>100</v>
      </c>
      <c r="V10" s="3732" t="s">
        <v>3407</v>
      </c>
      <c r="W10" s="3733">
        <f t="shared" si="2"/>
        <v>100</v>
      </c>
      <c r="X10" s="3734"/>
      <c r="Y10" s="3748"/>
      <c r="Z10" s="3749" t="str">
        <f t="shared" si="7"/>
        <v>土地使用年限（年）</v>
      </c>
      <c r="AA10" s="3736">
        <f t="shared" si="3"/>
        <v>1</v>
      </c>
      <c r="AB10" s="3736">
        <f t="shared" si="4"/>
        <v>1</v>
      </c>
      <c r="AC10" s="3736">
        <f t="shared" si="5"/>
        <v>1</v>
      </c>
    </row>
    <row r="11" spans="1:29" ht="15">
      <c r="A11" s="3760"/>
      <c r="B11" s="3751" t="s">
        <v>3420</v>
      </c>
      <c r="C11" s="3761"/>
      <c r="D11" s="3753">
        <v>100</v>
      </c>
      <c r="E11" s="3762"/>
      <c r="F11" s="3755">
        <f>LOOKUP(E11,68:68,69:69)-LOOKUP(C11,68:68,69:69)+100</f>
        <v>100</v>
      </c>
      <c r="G11" s="3761"/>
      <c r="H11" s="3753">
        <f>LOOKUP(G11,68:68,69:69)-LOOKUP(C11,68:68,69:69)+100</f>
        <v>100</v>
      </c>
      <c r="I11" s="3761"/>
      <c r="J11" s="3753">
        <f>LOOKUP(I11,68:68,69:69)-LOOKUP(C11,68:68,69:69)+100</f>
        <v>100</v>
      </c>
      <c r="K11" s="3756"/>
      <c r="L11" s="3763"/>
      <c r="M11" s="3690"/>
      <c r="N11" s="3690"/>
      <c r="O11" s="3690"/>
      <c r="P11" s="3746"/>
      <c r="Q11" s="3747" t="str">
        <f t="shared" si="6"/>
        <v>容积率</v>
      </c>
      <c r="R11" s="3732" t="s">
        <v>3407</v>
      </c>
      <c r="S11" s="3733">
        <f t="shared" si="0"/>
        <v>100</v>
      </c>
      <c r="T11" s="3732" t="s">
        <v>3407</v>
      </c>
      <c r="U11" s="3733">
        <f t="shared" si="1"/>
        <v>100</v>
      </c>
      <c r="V11" s="3732" t="s">
        <v>3407</v>
      </c>
      <c r="W11" s="3733">
        <f t="shared" si="2"/>
        <v>100</v>
      </c>
      <c r="X11" s="3734"/>
      <c r="Y11" s="3748"/>
      <c r="Z11" s="3749" t="str">
        <f t="shared" si="7"/>
        <v>容积率</v>
      </c>
      <c r="AA11" s="3736">
        <f t="shared" si="3"/>
        <v>1</v>
      </c>
      <c r="AB11" s="3736">
        <f t="shared" si="4"/>
        <v>1</v>
      </c>
      <c r="AC11" s="3736">
        <f t="shared" si="5"/>
        <v>1</v>
      </c>
    </row>
    <row r="12" spans="1:29" s="3737" customFormat="1" ht="15">
      <c r="A12" s="3764"/>
      <c r="B12" s="3765">
        <v>111</v>
      </c>
      <c r="C12" s="3766"/>
      <c r="D12" s="3767">
        <v>100</v>
      </c>
      <c r="E12" s="3768"/>
      <c r="F12" s="3755">
        <f>SUMIF(70:70,E12,71:71)-SUMIF(70:70,C12,71:71)+100</f>
        <v>100</v>
      </c>
      <c r="G12" s="3768"/>
      <c r="H12" s="3753">
        <f>SUMIF(70:70,G12,71:71)-SUMIF(70:70,C12,71:71)+100</f>
        <v>100</v>
      </c>
      <c r="I12" s="3768"/>
      <c r="J12" s="3753">
        <f>SUMIF(70:70,I12,71:71)-SUMIF(70:70,C12,71:71)+100</f>
        <v>100</v>
      </c>
      <c r="K12" s="3769"/>
      <c r="L12" s="3728"/>
      <c r="M12" s="3729"/>
      <c r="N12" s="3729"/>
      <c r="O12" s="3729"/>
      <c r="P12" s="3746"/>
      <c r="Q12" s="3747">
        <f t="shared" si="6"/>
        <v>111</v>
      </c>
      <c r="R12" s="3732" t="s">
        <v>3407</v>
      </c>
      <c r="S12" s="3733">
        <f t="shared" si="0"/>
        <v>100</v>
      </c>
      <c r="T12" s="3732" t="s">
        <v>3407</v>
      </c>
      <c r="U12" s="3733">
        <f t="shared" si="1"/>
        <v>100</v>
      </c>
      <c r="V12" s="3732" t="s">
        <v>3407</v>
      </c>
      <c r="W12" s="3733">
        <f t="shared" si="2"/>
        <v>100</v>
      </c>
      <c r="X12" s="3734"/>
      <c r="Y12" s="3748"/>
      <c r="Z12" s="3749">
        <f t="shared" si="7"/>
        <v>111</v>
      </c>
      <c r="AA12" s="3736">
        <f>D12/F12</f>
        <v>1</v>
      </c>
      <c r="AB12" s="3736">
        <f>D12/H12</f>
        <v>1</v>
      </c>
      <c r="AC12" s="3736">
        <f>D12/J12</f>
        <v>1</v>
      </c>
    </row>
    <row r="13" spans="1:29" ht="15">
      <c r="A13" s="3760"/>
      <c r="B13" s="3765">
        <v>111</v>
      </c>
      <c r="C13" s="3768"/>
      <c r="D13" s="3770">
        <v>100</v>
      </c>
      <c r="E13" s="3768"/>
      <c r="F13" s="3755">
        <f>SUMIF(72:72,E13,73:73)-SUMIF(72:72,C13,73:73)+100</f>
        <v>100</v>
      </c>
      <c r="G13" s="3768"/>
      <c r="H13" s="3770">
        <f>SUMIF(72:72,G13,73:73)-SUMIF(72:72,C13,73:73)+100</f>
        <v>100</v>
      </c>
      <c r="I13" s="3768"/>
      <c r="J13" s="3770">
        <f>SUMIF(72:72,I13,73:73)-SUMIF(72:72,C13,73:73)+100</f>
        <v>100</v>
      </c>
      <c r="K13" s="3769"/>
      <c r="L13" s="3771"/>
      <c r="M13" s="3690"/>
      <c r="N13" s="3690"/>
      <c r="O13" s="3690"/>
      <c r="P13" s="3746"/>
      <c r="Q13" s="3747">
        <f t="shared" si="6"/>
        <v>111</v>
      </c>
      <c r="R13" s="3732" t="s">
        <v>3407</v>
      </c>
      <c r="S13" s="3733">
        <f t="shared" si="0"/>
        <v>100</v>
      </c>
      <c r="T13" s="3732" t="s">
        <v>3407</v>
      </c>
      <c r="U13" s="3733">
        <f t="shared" si="1"/>
        <v>100</v>
      </c>
      <c r="V13" s="3732" t="s">
        <v>3407</v>
      </c>
      <c r="W13" s="3733">
        <f t="shared" si="2"/>
        <v>100</v>
      </c>
      <c r="X13" s="3734"/>
      <c r="Y13" s="3748"/>
      <c r="Z13" s="3749">
        <f t="shared" si="7"/>
        <v>111</v>
      </c>
      <c r="AA13" s="3736">
        <f t="shared" si="3"/>
        <v>1</v>
      </c>
      <c r="AB13" s="3736">
        <f t="shared" si="4"/>
        <v>1</v>
      </c>
      <c r="AC13" s="3736">
        <f t="shared" si="5"/>
        <v>1</v>
      </c>
    </row>
    <row r="14" spans="1:29" ht="15.75" thickBot="1">
      <c r="A14" s="3772"/>
      <c r="B14" s="3773">
        <v>111</v>
      </c>
      <c r="C14" s="3774"/>
      <c r="D14" s="3775">
        <v>100</v>
      </c>
      <c r="E14" s="3768"/>
      <c r="F14" s="3776">
        <f>SUMIF(74:74,E14,75:75)-SUMIF(74:74,C14,75:75)+100</f>
        <v>100</v>
      </c>
      <c r="G14" s="3768"/>
      <c r="H14" s="3775">
        <f>SUMIF(74:74,G14,75:75)-SUMIF(74:74,C14,75:75)+100</f>
        <v>100</v>
      </c>
      <c r="I14" s="3768"/>
      <c r="J14" s="3775">
        <f>SUMIF(74:74,I14,75:75)-SUMIF(74:74,C14,75:75)+100</f>
        <v>100</v>
      </c>
      <c r="K14" s="3769"/>
      <c r="L14" s="3771"/>
      <c r="M14" s="3690"/>
      <c r="N14" s="3690"/>
      <c r="O14" s="3690"/>
      <c r="P14" s="3746"/>
      <c r="Q14" s="3747">
        <f t="shared" si="6"/>
        <v>111</v>
      </c>
      <c r="R14" s="3732" t="s">
        <v>3407</v>
      </c>
      <c r="S14" s="3733">
        <f t="shared" si="0"/>
        <v>100</v>
      </c>
      <c r="T14" s="3732" t="s">
        <v>3407</v>
      </c>
      <c r="U14" s="3733">
        <f t="shared" si="1"/>
        <v>100</v>
      </c>
      <c r="V14" s="3732" t="s">
        <v>3407</v>
      </c>
      <c r="W14" s="3733">
        <f t="shared" si="2"/>
        <v>100</v>
      </c>
      <c r="X14" s="3734"/>
      <c r="Y14" s="3748"/>
      <c r="Z14" s="3749">
        <f t="shared" si="7"/>
        <v>111</v>
      </c>
      <c r="AA14" s="3736">
        <f t="shared" si="3"/>
        <v>1</v>
      </c>
      <c r="AB14" s="3736">
        <f t="shared" si="4"/>
        <v>1</v>
      </c>
      <c r="AC14" s="3736">
        <f t="shared" si="5"/>
        <v>1</v>
      </c>
    </row>
    <row r="15" spans="1:29" ht="71.25">
      <c r="A15" s="3777" t="s">
        <v>3421</v>
      </c>
      <c r="B15" s="3778" t="s">
        <v>3422</v>
      </c>
      <c r="C15" s="3779" t="str">
        <f>估价对象房地状况!C4</f>
        <v>估价对象位于XX商圈，周边商业氛围成熟，人流量大，商业繁华度好</v>
      </c>
      <c r="D15" s="3780">
        <v>100</v>
      </c>
      <c r="E15" s="3781"/>
      <c r="F15" s="3782">
        <f>SUMIF(76:76,E16,77:77)-SUMIF(76:76,C16,77:77)+100</f>
        <v>100</v>
      </c>
      <c r="G15" s="3783"/>
      <c r="H15" s="3780">
        <f>SUMIF(76:76,G16,77:77)-SUMIF(76:76,C16,77:77)+100</f>
        <v>97</v>
      </c>
      <c r="I15" s="3781"/>
      <c r="J15" s="3780">
        <f>SUMIF(76:76,I16,77:77)-SUMIF(76:76,C16,77:77)+100</f>
        <v>103</v>
      </c>
      <c r="K15" s="3784">
        <v>3</v>
      </c>
      <c r="L15" s="3771"/>
      <c r="M15" s="3690"/>
      <c r="N15" s="3690"/>
      <c r="O15" s="3690"/>
      <c r="P15" s="3785" t="s">
        <v>3423</v>
      </c>
      <c r="Q15" s="3786" t="str">
        <f t="shared" si="6"/>
        <v>商业繁华度</v>
      </c>
      <c r="R15" s="3787" t="s">
        <v>3407</v>
      </c>
      <c r="S15" s="3788">
        <f t="shared" si="0"/>
        <v>100</v>
      </c>
      <c r="T15" s="3787" t="s">
        <v>3407</v>
      </c>
      <c r="U15" s="3788">
        <f t="shared" si="1"/>
        <v>97</v>
      </c>
      <c r="V15" s="3787" t="s">
        <v>3407</v>
      </c>
      <c r="W15" s="3788">
        <f t="shared" si="2"/>
        <v>103</v>
      </c>
      <c r="X15" s="3696"/>
      <c r="Y15" s="3789" t="s">
        <v>3423</v>
      </c>
      <c r="Z15" s="3790" t="str">
        <f t="shared" si="7"/>
        <v>商业繁华度</v>
      </c>
      <c r="AA15" s="3791">
        <f t="shared" si="3"/>
        <v>1</v>
      </c>
      <c r="AB15" s="3791">
        <f t="shared" si="4"/>
        <v>1.0309278350515463</v>
      </c>
      <c r="AC15" s="3791">
        <f t="shared" si="5"/>
        <v>0.970873786407767</v>
      </c>
    </row>
    <row r="16" spans="1:29" ht="15">
      <c r="A16" s="3760"/>
      <c r="B16" s="3792"/>
      <c r="C16" s="3793" t="s">
        <v>3424</v>
      </c>
      <c r="D16" s="3794"/>
      <c r="E16" s="3793" t="s">
        <v>3424</v>
      </c>
      <c r="F16" s="3795"/>
      <c r="G16" s="3793" t="s">
        <v>3425</v>
      </c>
      <c r="H16" s="3796"/>
      <c r="I16" s="3793" t="s">
        <v>3426</v>
      </c>
      <c r="J16" s="3794"/>
      <c r="K16" s="3797"/>
      <c r="L16" s="3771"/>
      <c r="M16" s="3690"/>
      <c r="N16" s="3690"/>
      <c r="O16" s="3690"/>
      <c r="P16" s="3798"/>
      <c r="Q16" s="3786"/>
      <c r="R16" s="3787"/>
      <c r="S16" s="3788"/>
      <c r="T16" s="3787"/>
      <c r="U16" s="3788"/>
      <c r="V16" s="3787"/>
      <c r="W16" s="3788"/>
      <c r="X16" s="3696"/>
      <c r="Y16" s="3799"/>
      <c r="Z16" s="3790"/>
      <c r="AA16" s="3791">
        <v>1</v>
      </c>
      <c r="AB16" s="3791">
        <v>1</v>
      </c>
      <c r="AC16" s="3791">
        <v>1</v>
      </c>
    </row>
    <row r="17" spans="1:29" ht="85.5">
      <c r="A17" s="3760"/>
      <c r="B17" s="3800" t="s">
        <v>1704</v>
      </c>
      <c r="C17" s="3801" t="str">
        <f>估价对象房地状况!C6</f>
        <v>估价对象周边道路状况、公共交通通达情况、停车便捷程度，综合评价交通便捷度较好</v>
      </c>
      <c r="D17" s="3796">
        <v>100</v>
      </c>
      <c r="E17" s="3802"/>
      <c r="F17" s="3803">
        <f>SUMIF(78:78,E18,79:79)-SUMIF(78:78,C18,79:79)+100</f>
        <v>100</v>
      </c>
      <c r="G17" s="3804"/>
      <c r="H17" s="3805">
        <f>SUMIF(78:78,G18,79:79)-SUMIF(78:78,C18,79:79)+100</f>
        <v>100</v>
      </c>
      <c r="I17" s="3802"/>
      <c r="J17" s="3805">
        <f>SUMIF(78:78,I18,79:79)-SUMIF(78:78,C18,79:79)+100</f>
        <v>100</v>
      </c>
      <c r="K17" s="3784"/>
      <c r="L17" s="3771"/>
      <c r="M17" s="3690"/>
      <c r="N17" s="3690"/>
      <c r="O17" s="3690"/>
      <c r="P17" s="3798"/>
      <c r="Q17" s="3786" t="str">
        <f>B17</f>
        <v>交通便捷度</v>
      </c>
      <c r="R17" s="3787" t="s">
        <v>3407</v>
      </c>
      <c r="S17" s="3788">
        <f>F17</f>
        <v>100</v>
      </c>
      <c r="T17" s="3787" t="s">
        <v>3407</v>
      </c>
      <c r="U17" s="3788">
        <f>H17</f>
        <v>100</v>
      </c>
      <c r="V17" s="3787" t="s">
        <v>3407</v>
      </c>
      <c r="W17" s="3788">
        <f>J17</f>
        <v>100</v>
      </c>
      <c r="X17" s="3696"/>
      <c r="Y17" s="3799"/>
      <c r="Z17" s="3790" t="str">
        <f>Q17</f>
        <v>交通便捷度</v>
      </c>
      <c r="AA17" s="3791">
        <f t="shared" si="3"/>
        <v>1</v>
      </c>
      <c r="AB17" s="3791">
        <f t="shared" si="4"/>
        <v>1</v>
      </c>
      <c r="AC17" s="3791">
        <f t="shared" si="5"/>
        <v>1</v>
      </c>
    </row>
    <row r="18" spans="1:29" ht="15">
      <c r="A18" s="3760"/>
      <c r="B18" s="3806"/>
      <c r="C18" s="3807" t="s">
        <v>3424</v>
      </c>
      <c r="D18" s="3796"/>
      <c r="E18" s="3808" t="s">
        <v>3424</v>
      </c>
      <c r="F18" s="3803"/>
      <c r="G18" s="3809" t="s">
        <v>3424</v>
      </c>
      <c r="H18" s="3794"/>
      <c r="I18" s="3808" t="s">
        <v>3424</v>
      </c>
      <c r="J18" s="3794"/>
      <c r="K18" s="3797"/>
      <c r="L18" s="3771"/>
      <c r="M18" s="3690"/>
      <c r="N18" s="3690"/>
      <c r="O18" s="3690"/>
      <c r="P18" s="3798"/>
      <c r="Q18" s="3786"/>
      <c r="R18" s="3787"/>
      <c r="S18" s="3788"/>
      <c r="T18" s="3787"/>
      <c r="U18" s="3788"/>
      <c r="V18" s="3787"/>
      <c r="W18" s="3788"/>
      <c r="X18" s="3696"/>
      <c r="Y18" s="3799"/>
      <c r="Z18" s="3790"/>
      <c r="AA18" s="3791">
        <v>1</v>
      </c>
      <c r="AB18" s="3791">
        <v>1</v>
      </c>
      <c r="AC18" s="3791">
        <v>1</v>
      </c>
    </row>
    <row r="19" spans="1:29" ht="42.75">
      <c r="A19" s="3760"/>
      <c r="B19" s="3800" t="s">
        <v>3427</v>
      </c>
      <c r="C19" s="3801" t="str">
        <f>估价对象房地状况!C7</f>
        <v>估价对象所在区域公共配套设施齐备情况</v>
      </c>
      <c r="D19" s="3805">
        <v>100</v>
      </c>
      <c r="E19" s="3810"/>
      <c r="F19" s="3811">
        <f>SUMIF(80:80,E20,81:81)-SUMIF(80:80,C20,81:81)+100</f>
        <v>100</v>
      </c>
      <c r="G19" s="3812"/>
      <c r="H19" s="3796">
        <f>SUMIF(80:80,G20,81:81)-SUMIF(80:80,C20,81:81)+100</f>
        <v>100</v>
      </c>
      <c r="I19" s="3810"/>
      <c r="J19" s="3796">
        <f>SUMIF(80:80,I20,81:81)-SUMIF(80:80,C20,81:81)+100</f>
        <v>100</v>
      </c>
      <c r="K19" s="3784"/>
      <c r="L19" s="3771"/>
      <c r="M19" s="3690"/>
      <c r="N19" s="3690"/>
      <c r="O19" s="3690"/>
      <c r="P19" s="3798"/>
      <c r="Q19" s="3786" t="str">
        <f>B19</f>
        <v>公共配套设施</v>
      </c>
      <c r="R19" s="3787" t="s">
        <v>3407</v>
      </c>
      <c r="S19" s="3788">
        <f>F19</f>
        <v>100</v>
      </c>
      <c r="T19" s="3787" t="s">
        <v>3407</v>
      </c>
      <c r="U19" s="3788">
        <f>H19</f>
        <v>100</v>
      </c>
      <c r="V19" s="3787" t="s">
        <v>3407</v>
      </c>
      <c r="W19" s="3788">
        <f>J19</f>
        <v>100</v>
      </c>
      <c r="X19" s="3696"/>
      <c r="Y19" s="3799"/>
      <c r="Z19" s="3790" t="str">
        <f>Q19</f>
        <v>公共配套设施</v>
      </c>
      <c r="AA19" s="3791">
        <f t="shared" si="3"/>
        <v>1</v>
      </c>
      <c r="AB19" s="3791">
        <f t="shared" si="4"/>
        <v>1</v>
      </c>
      <c r="AC19" s="3791">
        <f t="shared" si="5"/>
        <v>1</v>
      </c>
    </row>
    <row r="20" spans="1:29" ht="15">
      <c r="A20" s="3760"/>
      <c r="B20" s="3806"/>
      <c r="C20" s="3793" t="s">
        <v>3424</v>
      </c>
      <c r="D20" s="3794"/>
      <c r="E20" s="3813" t="s">
        <v>3424</v>
      </c>
      <c r="F20" s="3795"/>
      <c r="G20" s="3814" t="s">
        <v>3424</v>
      </c>
      <c r="H20" s="3794"/>
      <c r="I20" s="3813" t="s">
        <v>3424</v>
      </c>
      <c r="J20" s="3794"/>
      <c r="K20" s="3797"/>
      <c r="L20" s="3771"/>
      <c r="M20" s="3690"/>
      <c r="N20" s="3690"/>
      <c r="O20" s="3690"/>
      <c r="P20" s="3798"/>
      <c r="Q20" s="3786"/>
      <c r="R20" s="3787"/>
      <c r="S20" s="3788"/>
      <c r="T20" s="3787"/>
      <c r="U20" s="3788"/>
      <c r="V20" s="3787"/>
      <c r="W20" s="3788"/>
      <c r="X20" s="3696"/>
      <c r="Y20" s="3799"/>
      <c r="Z20" s="3790"/>
      <c r="AA20" s="3791">
        <v>1</v>
      </c>
      <c r="AB20" s="3791">
        <v>1</v>
      </c>
      <c r="AC20" s="3791">
        <v>1</v>
      </c>
    </row>
    <row r="21" spans="1:29" ht="28.5">
      <c r="A21" s="3760"/>
      <c r="B21" s="3815" t="s">
        <v>3428</v>
      </c>
      <c r="C21" s="3801" t="str">
        <f>估价对象房地状况!C8</f>
        <v>估价对象所在区域基础设施水平</v>
      </c>
      <c r="D21" s="3805">
        <v>100</v>
      </c>
      <c r="E21" s="3810"/>
      <c r="F21" s="3811">
        <f>SUMIF(82:82,E22,83:83)-SUMIF(82:82,C22,83:83)+100</f>
        <v>100</v>
      </c>
      <c r="G21" s="3812"/>
      <c r="H21" s="3796">
        <f>SUMIF(82:82,G22,83:83)-SUMIF(82:82,C22,83:83)+100</f>
        <v>100</v>
      </c>
      <c r="I21" s="3810"/>
      <c r="J21" s="3796">
        <f>SUMIF(82:82,I22,83:83)-SUMIF(82:82,C22,83:83)+100</f>
        <v>100</v>
      </c>
      <c r="K21" s="3784"/>
      <c r="L21" s="3771"/>
      <c r="M21" s="3690"/>
      <c r="N21" s="3690"/>
      <c r="O21" s="3690"/>
      <c r="P21" s="3798"/>
      <c r="Q21" s="3786" t="str">
        <f>B21</f>
        <v>基础设施水平</v>
      </c>
      <c r="R21" s="3787" t="s">
        <v>3407</v>
      </c>
      <c r="S21" s="3788">
        <f>F21</f>
        <v>100</v>
      </c>
      <c r="T21" s="3787" t="s">
        <v>3407</v>
      </c>
      <c r="U21" s="3788">
        <f>H21</f>
        <v>100</v>
      </c>
      <c r="V21" s="3787" t="s">
        <v>3407</v>
      </c>
      <c r="W21" s="3788">
        <f>J21</f>
        <v>100</v>
      </c>
      <c r="X21" s="3696"/>
      <c r="Y21" s="3799"/>
      <c r="Z21" s="3790" t="str">
        <f>Q21</f>
        <v>基础设施水平</v>
      </c>
      <c r="AA21" s="3791">
        <f t="shared" ref="AA21" si="8">D21/F21</f>
        <v>1</v>
      </c>
      <c r="AB21" s="3791">
        <f t="shared" ref="AB21" si="9">D21/H21</f>
        <v>1</v>
      </c>
      <c r="AC21" s="3791">
        <f t="shared" ref="AC21" si="10">D21/J21</f>
        <v>1</v>
      </c>
    </row>
    <row r="22" spans="1:29" ht="15">
      <c r="A22" s="3760"/>
      <c r="B22" s="3815"/>
      <c r="C22" s="3807" t="s">
        <v>3429</v>
      </c>
      <c r="D22" s="3794"/>
      <c r="E22" s="3793" t="s">
        <v>3429</v>
      </c>
      <c r="F22" s="3795"/>
      <c r="G22" s="3793" t="s">
        <v>3429</v>
      </c>
      <c r="H22" s="3794"/>
      <c r="I22" s="3793" t="s">
        <v>3429</v>
      </c>
      <c r="J22" s="3794"/>
      <c r="K22" s="3816"/>
      <c r="L22" s="3771"/>
      <c r="M22" s="3690"/>
      <c r="N22" s="3690"/>
      <c r="O22" s="3690"/>
      <c r="P22" s="3798"/>
      <c r="Q22" s="3786"/>
      <c r="R22" s="3787"/>
      <c r="S22" s="3788"/>
      <c r="T22" s="3787"/>
      <c r="U22" s="3788"/>
      <c r="V22" s="3787"/>
      <c r="W22" s="3788"/>
      <c r="X22" s="3696"/>
      <c r="Y22" s="3799"/>
      <c r="Z22" s="3790"/>
      <c r="AA22" s="3791">
        <v>1</v>
      </c>
      <c r="AB22" s="3791">
        <v>1</v>
      </c>
      <c r="AC22" s="3791">
        <v>1</v>
      </c>
    </row>
    <row r="23" spans="1:29" ht="57">
      <c r="A23" s="3760"/>
      <c r="B23" s="3800" t="s">
        <v>1706</v>
      </c>
      <c r="C23" s="3817" t="str">
        <f>估价对象房地状况!C9</f>
        <v>区域自然环境：；人文环境；综合评价环境状况一般</v>
      </c>
      <c r="D23" s="3796">
        <v>100</v>
      </c>
      <c r="E23" s="3802"/>
      <c r="F23" s="3803">
        <f>SUMIF(84:84,E24,85:85)-SUMIF(84:84,C24,85:85)+100</f>
        <v>100</v>
      </c>
      <c r="G23" s="3804"/>
      <c r="H23" s="3796">
        <f>SUMIF(84:84,G24,85:85)-SUMIF(84:84,C24,85:85)+100</f>
        <v>100</v>
      </c>
      <c r="I23" s="3802"/>
      <c r="J23" s="3796">
        <f>SUMIF(84:84,I24,85:85)-SUMIF(84:84,C24,85:85)+100</f>
        <v>100</v>
      </c>
      <c r="K23" s="3784"/>
      <c r="L23" s="3771"/>
      <c r="M23" s="3690"/>
      <c r="N23" s="3690"/>
      <c r="O23" s="3690"/>
      <c r="P23" s="3798"/>
      <c r="Q23" s="3786" t="str">
        <f>B23</f>
        <v>自然及人文环境</v>
      </c>
      <c r="R23" s="3787" t="s">
        <v>3407</v>
      </c>
      <c r="S23" s="3788">
        <f>F23</f>
        <v>100</v>
      </c>
      <c r="T23" s="3787" t="s">
        <v>3407</v>
      </c>
      <c r="U23" s="3788">
        <f>H23</f>
        <v>100</v>
      </c>
      <c r="V23" s="3787" t="s">
        <v>3407</v>
      </c>
      <c r="W23" s="3788">
        <f>J23</f>
        <v>100</v>
      </c>
      <c r="X23" s="3696"/>
      <c r="Y23" s="3799"/>
      <c r="Z23" s="3790" t="str">
        <f>Q23</f>
        <v>自然及人文环境</v>
      </c>
      <c r="AA23" s="3791">
        <f t="shared" si="3"/>
        <v>1</v>
      </c>
      <c r="AB23" s="3791">
        <f t="shared" si="4"/>
        <v>1</v>
      </c>
      <c r="AC23" s="3791">
        <f t="shared" si="5"/>
        <v>1</v>
      </c>
    </row>
    <row r="24" spans="1:29" ht="15">
      <c r="A24" s="3760"/>
      <c r="B24" s="3806"/>
      <c r="C24" s="3818"/>
      <c r="D24" s="3794"/>
      <c r="E24" s="3819"/>
      <c r="F24" s="3795"/>
      <c r="G24" s="3820"/>
      <c r="H24" s="3794"/>
      <c r="I24" s="3819"/>
      <c r="J24" s="3794"/>
      <c r="K24" s="3797"/>
      <c r="L24" s="3771"/>
      <c r="M24" s="3690"/>
      <c r="N24" s="3690"/>
      <c r="O24" s="3690"/>
      <c r="P24" s="3798"/>
      <c r="Q24" s="3786"/>
      <c r="R24" s="3787"/>
      <c r="S24" s="3788"/>
      <c r="T24" s="3787"/>
      <c r="U24" s="3788"/>
      <c r="V24" s="3787"/>
      <c r="W24" s="3788"/>
      <c r="X24" s="3696"/>
      <c r="Y24" s="3799"/>
      <c r="Z24" s="3790"/>
      <c r="AA24" s="3791">
        <v>1</v>
      </c>
      <c r="AB24" s="3791">
        <v>1</v>
      </c>
      <c r="AC24" s="3791">
        <v>1</v>
      </c>
    </row>
    <row r="25" spans="1:29" ht="15">
      <c r="A25" s="3760"/>
      <c r="B25" s="3751" t="s">
        <v>3430</v>
      </c>
      <c r="C25" s="3821" t="s">
        <v>3431</v>
      </c>
      <c r="D25" s="3770">
        <v>100</v>
      </c>
      <c r="E25" s="3821" t="s">
        <v>3432</v>
      </c>
      <c r="F25" s="3822">
        <f>SUMIF(86:86,E25,87:87)-SUMIF(86:86,C25,87:87)+100</f>
        <v>104</v>
      </c>
      <c r="G25" s="3821" t="s">
        <v>3432</v>
      </c>
      <c r="H25" s="3770">
        <f>SUMIF(86:86,G25,87:87)-SUMIF(86:86,C25,87:87)+100</f>
        <v>104</v>
      </c>
      <c r="I25" s="3821" t="s">
        <v>3432</v>
      </c>
      <c r="J25" s="3770">
        <f>SUMIF(86:86,I25,87:87)-SUMIF(86:86,C25,87:87)+100</f>
        <v>104</v>
      </c>
      <c r="K25" s="3756">
        <v>2</v>
      </c>
      <c r="L25" s="3771"/>
      <c r="M25" s="3690"/>
      <c r="N25" s="3690"/>
      <c r="O25" s="3690"/>
      <c r="P25" s="3798"/>
      <c r="Q25" s="3786" t="str">
        <f t="shared" ref="Q25:Q46" si="11">B25</f>
        <v>临街状况</v>
      </c>
      <c r="R25" s="3787" t="s">
        <v>3407</v>
      </c>
      <c r="S25" s="3788">
        <f>F25</f>
        <v>104</v>
      </c>
      <c r="T25" s="3787" t="s">
        <v>3407</v>
      </c>
      <c r="U25" s="3788">
        <f>H25</f>
        <v>104</v>
      </c>
      <c r="V25" s="3787" t="s">
        <v>3407</v>
      </c>
      <c r="W25" s="3788">
        <f>J25</f>
        <v>104</v>
      </c>
      <c r="X25" s="3696"/>
      <c r="Y25" s="3799"/>
      <c r="Z25" s="3790" t="str">
        <f>Q25</f>
        <v>临街状况</v>
      </c>
      <c r="AA25" s="3791">
        <f t="shared" si="3"/>
        <v>0.96153846153846156</v>
      </c>
      <c r="AB25" s="3791">
        <f t="shared" si="4"/>
        <v>0.96153846153846156</v>
      </c>
      <c r="AC25" s="3791">
        <f t="shared" si="5"/>
        <v>0.96153846153846156</v>
      </c>
    </row>
    <row r="26" spans="1:29" ht="15">
      <c r="A26" s="3760"/>
      <c r="B26" s="3823" t="s">
        <v>3433</v>
      </c>
      <c r="C26" s="3768"/>
      <c r="D26" s="3770">
        <v>100</v>
      </c>
      <c r="E26" s="3768"/>
      <c r="F26" s="3822">
        <f>SUMIF(88:88,E26,89:89)-SUMIF(88:88,C26,89:89)+100</f>
        <v>100</v>
      </c>
      <c r="G26" s="3768"/>
      <c r="H26" s="3770">
        <f>SUMIF(88:88,G26,89:89)-SUMIF(88:88,C26,89:89)+100</f>
        <v>100</v>
      </c>
      <c r="I26" s="3768"/>
      <c r="J26" s="3770">
        <f>SUMIF(88:88,I26,89:89)-SUMIF(88:88,C26,89:89)+100</f>
        <v>100</v>
      </c>
      <c r="K26" s="3769"/>
      <c r="L26" s="3771"/>
      <c r="M26" s="3690"/>
      <c r="N26" s="3690"/>
      <c r="O26" s="3690"/>
      <c r="P26" s="3798"/>
      <c r="Q26" s="3786" t="str">
        <f t="shared" si="11"/>
        <v>平面位置/可视性</v>
      </c>
      <c r="R26" s="3787" t="s">
        <v>3407</v>
      </c>
      <c r="S26" s="3788">
        <f>F26</f>
        <v>100</v>
      </c>
      <c r="T26" s="3787" t="s">
        <v>3407</v>
      </c>
      <c r="U26" s="3788">
        <f>H26</f>
        <v>100</v>
      </c>
      <c r="V26" s="3787" t="s">
        <v>3407</v>
      </c>
      <c r="W26" s="3788">
        <f>J26</f>
        <v>100</v>
      </c>
      <c r="X26" s="3696"/>
      <c r="Y26" s="3799"/>
      <c r="Z26" s="3790" t="str">
        <f>Q26</f>
        <v>平面位置/可视性</v>
      </c>
      <c r="AA26" s="3791">
        <f t="shared" si="3"/>
        <v>1</v>
      </c>
      <c r="AB26" s="3791">
        <f t="shared" si="4"/>
        <v>1</v>
      </c>
      <c r="AC26" s="3791">
        <f t="shared" si="5"/>
        <v>1</v>
      </c>
    </row>
    <row r="27" spans="1:29" s="3737" customFormat="1" ht="15">
      <c r="A27" s="3764"/>
      <c r="B27" s="3800" t="s">
        <v>3434</v>
      </c>
      <c r="C27" s="3824" t="s">
        <v>3435</v>
      </c>
      <c r="D27" s="3825">
        <v>100</v>
      </c>
      <c r="E27" s="3824" t="s">
        <v>3435</v>
      </c>
      <c r="F27" s="3826">
        <f>SUMIF(90:90,E27,91:91)-SUMIF(90:90,C27,91:91)+100</f>
        <v>100</v>
      </c>
      <c r="G27" s="3824" t="s">
        <v>3425</v>
      </c>
      <c r="H27" s="3825">
        <f>SUMIF(90:90,G27,91:91)-SUMIF(90:90,C27,91:91)+100</f>
        <v>97</v>
      </c>
      <c r="I27" s="3824" t="s">
        <v>3436</v>
      </c>
      <c r="J27" s="3825">
        <f>SUMIF(90:90,I27,91:91)-SUMIF(90:90,C27,91:91)+100</f>
        <v>103</v>
      </c>
      <c r="K27" s="3756">
        <v>3</v>
      </c>
      <c r="L27" s="3728"/>
      <c r="M27" s="3729"/>
      <c r="N27" s="3729"/>
      <c r="O27" s="3729"/>
      <c r="P27" s="3798"/>
      <c r="Q27" s="3747" t="str">
        <f t="shared" si="11"/>
        <v>人流量</v>
      </c>
      <c r="R27" s="3732" t="s">
        <v>3407</v>
      </c>
      <c r="S27" s="3733">
        <f>F27</f>
        <v>100</v>
      </c>
      <c r="T27" s="3732" t="s">
        <v>3407</v>
      </c>
      <c r="U27" s="3733">
        <f>H27</f>
        <v>97</v>
      </c>
      <c r="V27" s="3732" t="s">
        <v>3407</v>
      </c>
      <c r="W27" s="3733">
        <f>J27</f>
        <v>103</v>
      </c>
      <c r="X27" s="3734"/>
      <c r="Y27" s="3799"/>
      <c r="Z27" s="3749" t="str">
        <f>Q27</f>
        <v>人流量</v>
      </c>
      <c r="AA27" s="3791">
        <f>D27/F27</f>
        <v>1</v>
      </c>
      <c r="AB27" s="3791">
        <f>D27/H27</f>
        <v>1.0309278350515463</v>
      </c>
      <c r="AC27" s="3791">
        <f>D27/J27</f>
        <v>0.970873786407767</v>
      </c>
    </row>
    <row r="28" spans="1:29" ht="15">
      <c r="A28" s="3760"/>
      <c r="B28" s="3751" t="s">
        <v>3437</v>
      </c>
      <c r="C28" s="3827"/>
      <c r="D28" s="3770">
        <v>100</v>
      </c>
      <c r="E28" s="3827"/>
      <c r="F28" s="3822">
        <f>SUMIF(92:92,E28,93:93)-SUMIF(92:92,C28,93:93)+100</f>
        <v>100</v>
      </c>
      <c r="G28" s="3827"/>
      <c r="H28" s="3770">
        <f>SUMIF(92:92,G28,93:93)-SUMIF(92:92,C28,93:93)+100</f>
        <v>100</v>
      </c>
      <c r="I28" s="3827"/>
      <c r="J28" s="3770">
        <f>SUMIF(92:92,I28,93:93)-SUMIF(92:92,C28,93:93)+100</f>
        <v>100</v>
      </c>
      <c r="K28" s="3769"/>
      <c r="L28" s="3771"/>
      <c r="M28" s="3690"/>
      <c r="N28" s="3690"/>
      <c r="O28" s="3690"/>
      <c r="P28" s="3798"/>
      <c r="Q28" s="3786" t="str">
        <f t="shared" si="11"/>
        <v>楼层</v>
      </c>
      <c r="R28" s="3787" t="s">
        <v>3407</v>
      </c>
      <c r="S28" s="3788">
        <f t="shared" ref="S28:S46" si="12">F28</f>
        <v>100</v>
      </c>
      <c r="T28" s="3787" t="s">
        <v>3407</v>
      </c>
      <c r="U28" s="3788">
        <f t="shared" ref="U28:U46" si="13">H28</f>
        <v>100</v>
      </c>
      <c r="V28" s="3787" t="s">
        <v>3407</v>
      </c>
      <c r="W28" s="3788">
        <f t="shared" ref="W28:W46" si="14">J28</f>
        <v>100</v>
      </c>
      <c r="X28" s="3696"/>
      <c r="Y28" s="3799"/>
      <c r="Z28" s="3790" t="str">
        <f t="shared" ref="Z28:Z46" si="15">Q28</f>
        <v>楼层</v>
      </c>
      <c r="AA28" s="3791">
        <f t="shared" si="3"/>
        <v>1</v>
      </c>
      <c r="AB28" s="3791">
        <f t="shared" si="4"/>
        <v>1</v>
      </c>
      <c r="AC28" s="3791">
        <f t="shared" si="5"/>
        <v>1</v>
      </c>
    </row>
    <row r="29" spans="1:29" ht="15">
      <c r="A29" s="3760"/>
      <c r="B29" s="3823">
        <v>111</v>
      </c>
      <c r="C29" s="3768"/>
      <c r="D29" s="3770">
        <v>100</v>
      </c>
      <c r="E29" s="3768"/>
      <c r="F29" s="3822">
        <f>SUMIF(94:94,E29,95:95)-SUMIF(94:94,C29,95:95)+100</f>
        <v>100</v>
      </c>
      <c r="G29" s="3768"/>
      <c r="H29" s="3770">
        <f>SUMIF(94:94,G29,95:95)-SUMIF(94:94,C29,95:95)+100</f>
        <v>100</v>
      </c>
      <c r="I29" s="3768"/>
      <c r="J29" s="3770">
        <f>SUMIF(94:94,I29,95:95)-SUMIF(94:94,C29,95:95)+100</f>
        <v>100</v>
      </c>
      <c r="K29" s="3769"/>
      <c r="L29" s="3771"/>
      <c r="M29" s="3690"/>
      <c r="N29" s="3690"/>
      <c r="O29" s="3690"/>
      <c r="P29" s="3798"/>
      <c r="Q29" s="3786">
        <f t="shared" si="11"/>
        <v>111</v>
      </c>
      <c r="R29" s="3787" t="s">
        <v>3407</v>
      </c>
      <c r="S29" s="3788">
        <f t="shared" si="12"/>
        <v>100</v>
      </c>
      <c r="T29" s="3787" t="s">
        <v>3407</v>
      </c>
      <c r="U29" s="3788">
        <f t="shared" si="13"/>
        <v>100</v>
      </c>
      <c r="V29" s="3787" t="s">
        <v>3407</v>
      </c>
      <c r="W29" s="3788">
        <f t="shared" si="14"/>
        <v>100</v>
      </c>
      <c r="X29" s="3696"/>
      <c r="Y29" s="3799"/>
      <c r="Z29" s="3790">
        <f t="shared" si="15"/>
        <v>111</v>
      </c>
      <c r="AA29" s="3791">
        <f t="shared" si="3"/>
        <v>1</v>
      </c>
      <c r="AB29" s="3791">
        <f t="shared" si="4"/>
        <v>1</v>
      </c>
      <c r="AC29" s="3791">
        <f t="shared" si="5"/>
        <v>1</v>
      </c>
    </row>
    <row r="30" spans="1:29" ht="15">
      <c r="A30" s="3760"/>
      <c r="B30" s="3823">
        <v>111</v>
      </c>
      <c r="C30" s="3768"/>
      <c r="D30" s="3770">
        <v>100</v>
      </c>
      <c r="E30" s="3768"/>
      <c r="F30" s="3822">
        <f>SUMIF(96:96,E30,97:97)-SUMIF(96:96,C30,97:97)+100</f>
        <v>100</v>
      </c>
      <c r="G30" s="3768"/>
      <c r="H30" s="3770">
        <f>SUMIF(96:96,G30,97:97)-SUMIF(96:96,C30,97:97)+100</f>
        <v>100</v>
      </c>
      <c r="I30" s="3768"/>
      <c r="J30" s="3770">
        <f>SUMIF(96:96,I30,97:97)-SUMIF(96:96,C30,97:97)+100</f>
        <v>100</v>
      </c>
      <c r="K30" s="3769"/>
      <c r="L30" s="3771"/>
      <c r="M30" s="3690"/>
      <c r="N30" s="3690"/>
      <c r="O30" s="3690"/>
      <c r="P30" s="3798"/>
      <c r="Q30" s="3786">
        <f t="shared" si="11"/>
        <v>111</v>
      </c>
      <c r="R30" s="3787" t="s">
        <v>3407</v>
      </c>
      <c r="S30" s="3788">
        <f t="shared" si="12"/>
        <v>100</v>
      </c>
      <c r="T30" s="3787" t="s">
        <v>3407</v>
      </c>
      <c r="U30" s="3788">
        <f t="shared" si="13"/>
        <v>100</v>
      </c>
      <c r="V30" s="3787" t="s">
        <v>3407</v>
      </c>
      <c r="W30" s="3788">
        <f t="shared" si="14"/>
        <v>100</v>
      </c>
      <c r="X30" s="3696"/>
      <c r="Y30" s="3799"/>
      <c r="Z30" s="3790">
        <f t="shared" si="15"/>
        <v>111</v>
      </c>
      <c r="AA30" s="3791">
        <f t="shared" si="3"/>
        <v>1</v>
      </c>
      <c r="AB30" s="3791">
        <f t="shared" si="4"/>
        <v>1</v>
      </c>
      <c r="AC30" s="3791">
        <f t="shared" si="5"/>
        <v>1</v>
      </c>
    </row>
    <row r="31" spans="1:29" ht="15.75" thickBot="1">
      <c r="A31" s="3772"/>
      <c r="B31" s="3823">
        <v>111</v>
      </c>
      <c r="C31" s="3774"/>
      <c r="D31" s="3775">
        <v>100</v>
      </c>
      <c r="E31" s="3768"/>
      <c r="F31" s="3776">
        <f>SUMIF(98:98,E31,99:99)-SUMIF(98:98,C31,99:99)+100</f>
        <v>100</v>
      </c>
      <c r="G31" s="3768"/>
      <c r="H31" s="3775">
        <f>SUMIF(98:98,G31,99:99)-SUMIF(98:98,C31,99:99)+100</f>
        <v>100</v>
      </c>
      <c r="I31" s="3768"/>
      <c r="J31" s="3775">
        <f>SUMIF(98:98,I31,99:99)-SUMIF(98:98,C31,99:99)+100</f>
        <v>100</v>
      </c>
      <c r="K31" s="3769"/>
      <c r="L31" s="3771"/>
      <c r="M31" s="3690"/>
      <c r="N31" s="3690"/>
      <c r="O31" s="3690"/>
      <c r="P31" s="3798"/>
      <c r="Q31" s="3786">
        <f t="shared" si="11"/>
        <v>111</v>
      </c>
      <c r="R31" s="3787" t="s">
        <v>3407</v>
      </c>
      <c r="S31" s="3788">
        <f t="shared" si="12"/>
        <v>100</v>
      </c>
      <c r="T31" s="3787" t="s">
        <v>3407</v>
      </c>
      <c r="U31" s="3788">
        <f t="shared" si="13"/>
        <v>100</v>
      </c>
      <c r="V31" s="3787" t="s">
        <v>3407</v>
      </c>
      <c r="W31" s="3788">
        <f t="shared" si="14"/>
        <v>100</v>
      </c>
      <c r="X31" s="3696"/>
      <c r="Y31" s="3799"/>
      <c r="Z31" s="3790">
        <f t="shared" si="15"/>
        <v>111</v>
      </c>
      <c r="AA31" s="3791">
        <f t="shared" si="3"/>
        <v>1</v>
      </c>
      <c r="AB31" s="3791">
        <f t="shared" si="4"/>
        <v>1</v>
      </c>
      <c r="AC31" s="3791">
        <f t="shared" si="5"/>
        <v>1</v>
      </c>
    </row>
    <row r="32" spans="1:29" ht="15">
      <c r="A32" s="3777" t="s">
        <v>3438</v>
      </c>
      <c r="B32" s="3741" t="s">
        <v>3439</v>
      </c>
      <c r="C32" s="3828"/>
      <c r="D32" s="3829">
        <v>100</v>
      </c>
      <c r="E32" s="3828"/>
      <c r="F32" s="3822">
        <f>SUMIF(100:100,E32,101:101)-SUMIF(100:100,C32,101:101)+100</f>
        <v>100</v>
      </c>
      <c r="G32" s="3828"/>
      <c r="H32" s="3770">
        <f>SUMIF(100:100,G32,101:101)-SUMIF(100:100,C32,101:101)+100</f>
        <v>100</v>
      </c>
      <c r="I32" s="3828"/>
      <c r="J32" s="3829">
        <f>SUMIF(100:100,I32,101:101)-SUMIF(100:100,C32,101:101)+100</f>
        <v>100</v>
      </c>
      <c r="K32" s="3756"/>
      <c r="L32" s="3771"/>
      <c r="M32" s="3690"/>
      <c r="N32" s="3690"/>
      <c r="O32" s="3690"/>
      <c r="P32" s="3830" t="s">
        <v>3440</v>
      </c>
      <c r="Q32" s="3786" t="str">
        <f t="shared" si="11"/>
        <v>商业类型</v>
      </c>
      <c r="R32" s="3787" t="s">
        <v>3407</v>
      </c>
      <c r="S32" s="3788">
        <f t="shared" si="12"/>
        <v>100</v>
      </c>
      <c r="T32" s="3787" t="s">
        <v>3407</v>
      </c>
      <c r="U32" s="3788">
        <f t="shared" si="13"/>
        <v>100</v>
      </c>
      <c r="V32" s="3787" t="s">
        <v>3407</v>
      </c>
      <c r="W32" s="3788">
        <f t="shared" si="14"/>
        <v>100</v>
      </c>
      <c r="X32" s="3696"/>
      <c r="Y32" s="3831" t="s">
        <v>3440</v>
      </c>
      <c r="Z32" s="3790" t="str">
        <f t="shared" si="15"/>
        <v>商业类型</v>
      </c>
      <c r="AA32" s="3791">
        <f t="shared" si="3"/>
        <v>1</v>
      </c>
      <c r="AB32" s="3791">
        <f t="shared" si="4"/>
        <v>1</v>
      </c>
      <c r="AC32" s="3791">
        <f t="shared" si="5"/>
        <v>1</v>
      </c>
    </row>
    <row r="33" spans="1:29" s="3843" customFormat="1" ht="15">
      <c r="A33" s="3832"/>
      <c r="B33" s="3751" t="s">
        <v>2146</v>
      </c>
      <c r="C33" s="3833">
        <f>D3</f>
        <v>6518.7900000000018</v>
      </c>
      <c r="D33" s="3753">
        <v>100</v>
      </c>
      <c r="E33" s="3834">
        <f>大宗案例!H74</f>
        <v>52838</v>
      </c>
      <c r="F33" s="3755">
        <f>LOOKUP(E33,103:103,104:104)-LOOKUP(C33,103:103,104:104)+100</f>
        <v>92</v>
      </c>
      <c r="G33" s="3835">
        <f>大宗案例!H77</f>
        <v>24205</v>
      </c>
      <c r="H33" s="3753">
        <f>LOOKUP(G33,103:103,104:104)-LOOKUP(C33,103:103,104:104)+100</f>
        <v>96</v>
      </c>
      <c r="I33" s="3835">
        <f>大宗案例!H85</f>
        <v>110996</v>
      </c>
      <c r="J33" s="3753">
        <f>LOOKUP(I33,103:103,104:104)-LOOKUP(C33,103:103,104:104)+100</f>
        <v>80</v>
      </c>
      <c r="K33" s="3769"/>
      <c r="L33" s="3763"/>
      <c r="M33" s="3836"/>
      <c r="N33" s="3836"/>
      <c r="O33" s="3836"/>
      <c r="P33" s="3837"/>
      <c r="Q33" s="3838" t="str">
        <f t="shared" si="11"/>
        <v>项目建筑规模</v>
      </c>
      <c r="R33" s="3839" t="s">
        <v>3407</v>
      </c>
      <c r="S33" s="3840">
        <f t="shared" si="12"/>
        <v>92</v>
      </c>
      <c r="T33" s="3839" t="s">
        <v>3407</v>
      </c>
      <c r="U33" s="3840">
        <f t="shared" si="13"/>
        <v>96</v>
      </c>
      <c r="V33" s="3839" t="s">
        <v>3407</v>
      </c>
      <c r="W33" s="3840">
        <f t="shared" si="14"/>
        <v>80</v>
      </c>
      <c r="X33" s="3841"/>
      <c r="Y33" s="3831"/>
      <c r="Z33" s="3842" t="str">
        <f t="shared" si="15"/>
        <v>项目建筑规模</v>
      </c>
      <c r="AA33" s="3791">
        <f t="shared" si="3"/>
        <v>1.0869565217391304</v>
      </c>
      <c r="AB33" s="3791">
        <f t="shared" si="4"/>
        <v>1.0416666666666667</v>
      </c>
      <c r="AC33" s="3791">
        <f t="shared" si="5"/>
        <v>1.25</v>
      </c>
    </row>
    <row r="34" spans="1:29" ht="15">
      <c r="A34" s="3844"/>
      <c r="B34" s="3751" t="s">
        <v>2147</v>
      </c>
      <c r="C34" s="3845"/>
      <c r="D34" s="3770">
        <v>100</v>
      </c>
      <c r="E34" s="3845"/>
      <c r="F34" s="3822">
        <f>SUMIF(105:105,E34,106:106)-SUMIF(105:105,C34,106:106)+100</f>
        <v>100</v>
      </c>
      <c r="G34" s="3845"/>
      <c r="H34" s="3770">
        <f>SUMIF(105:105,G34,106:106)-SUMIF(105:105,C34,106:106)+100</f>
        <v>100</v>
      </c>
      <c r="I34" s="3845"/>
      <c r="J34" s="3770">
        <f>SUMIF(105:105,I34,106:106)-SUMIF(105:105,C34,106:106)+100</f>
        <v>100</v>
      </c>
      <c r="K34" s="3756"/>
      <c r="L34" s="3771"/>
      <c r="M34" s="3690"/>
      <c r="N34" s="3690"/>
      <c r="O34" s="3690"/>
      <c r="P34" s="3837"/>
      <c r="Q34" s="3786" t="str">
        <f t="shared" si="11"/>
        <v>建筑结构</v>
      </c>
      <c r="R34" s="3787" t="s">
        <v>3407</v>
      </c>
      <c r="S34" s="3788">
        <f t="shared" si="12"/>
        <v>100</v>
      </c>
      <c r="T34" s="3787" t="s">
        <v>3407</v>
      </c>
      <c r="U34" s="3788">
        <f t="shared" si="13"/>
        <v>100</v>
      </c>
      <c r="V34" s="3787" t="s">
        <v>3407</v>
      </c>
      <c r="W34" s="3788">
        <f t="shared" si="14"/>
        <v>100</v>
      </c>
      <c r="X34" s="3696"/>
      <c r="Y34" s="3831"/>
      <c r="Z34" s="3790" t="str">
        <f t="shared" si="15"/>
        <v>建筑结构</v>
      </c>
      <c r="AA34" s="3791">
        <f t="shared" si="3"/>
        <v>1</v>
      </c>
      <c r="AB34" s="3791">
        <f t="shared" si="4"/>
        <v>1</v>
      </c>
      <c r="AC34" s="3791">
        <f t="shared" si="5"/>
        <v>1</v>
      </c>
    </row>
    <row r="35" spans="1:29" ht="15">
      <c r="A35" s="3844"/>
      <c r="B35" s="3751" t="s">
        <v>3441</v>
      </c>
      <c r="C35" s="3846"/>
      <c r="D35" s="3770">
        <v>100</v>
      </c>
      <c r="E35" s="3846"/>
      <c r="F35" s="3822">
        <f>SUMIF(107:107,E35,108:108)-SUMIF(107:107,C35,108:108)+100</f>
        <v>100</v>
      </c>
      <c r="G35" s="3846"/>
      <c r="H35" s="3770">
        <f>SUMIF(107:107,G35,108:108)-SUMIF(107:107,C35,108:108)+100</f>
        <v>100</v>
      </c>
      <c r="I35" s="3846"/>
      <c r="J35" s="3770">
        <f>SUMIF(107:107,I35,108:108)-SUMIF(107:107,C35,108:108)+100</f>
        <v>100</v>
      </c>
      <c r="K35" s="3756"/>
      <c r="L35" s="3771"/>
      <c r="M35" s="3690"/>
      <c r="N35" s="3690"/>
      <c r="O35" s="3690"/>
      <c r="P35" s="3837"/>
      <c r="Q35" s="3786" t="str">
        <f t="shared" si="11"/>
        <v>公共部分装修</v>
      </c>
      <c r="R35" s="3787" t="s">
        <v>3407</v>
      </c>
      <c r="S35" s="3788">
        <f t="shared" si="12"/>
        <v>100</v>
      </c>
      <c r="T35" s="3787" t="s">
        <v>3407</v>
      </c>
      <c r="U35" s="3788">
        <f t="shared" si="13"/>
        <v>100</v>
      </c>
      <c r="V35" s="3787" t="s">
        <v>3407</v>
      </c>
      <c r="W35" s="3788">
        <f t="shared" si="14"/>
        <v>100</v>
      </c>
      <c r="X35" s="3696"/>
      <c r="Y35" s="3831"/>
      <c r="Z35" s="3790" t="str">
        <f t="shared" si="15"/>
        <v>公共部分装修</v>
      </c>
      <c r="AA35" s="3791">
        <f t="shared" si="3"/>
        <v>1</v>
      </c>
      <c r="AB35" s="3791">
        <f t="shared" si="4"/>
        <v>1</v>
      </c>
      <c r="AC35" s="3791">
        <f t="shared" si="5"/>
        <v>1</v>
      </c>
    </row>
    <row r="36" spans="1:29" ht="15">
      <c r="A36" s="3844"/>
      <c r="B36" s="3751" t="s">
        <v>3442</v>
      </c>
      <c r="C36" s="3847">
        <v>0.85</v>
      </c>
      <c r="D36" s="3770">
        <v>100</v>
      </c>
      <c r="E36" s="3847">
        <v>0.85</v>
      </c>
      <c r="F36" s="3822">
        <f>LOOKUP(E36,110:110,111:111)-LOOKUP(C36,110:110,111:111)+100</f>
        <v>100</v>
      </c>
      <c r="G36" s="3847">
        <v>0.85</v>
      </c>
      <c r="H36" s="3822">
        <f>LOOKUP(G36,110:110,111:111)-LOOKUP(C36,110:110,111:111)+100</f>
        <v>100</v>
      </c>
      <c r="I36" s="3847">
        <v>0.85</v>
      </c>
      <c r="J36" s="3770">
        <f>LOOKUP(I36,110:110,111:111)-LOOKUP(C36,110:110,111:111)+100</f>
        <v>100</v>
      </c>
      <c r="K36" s="3756"/>
      <c r="L36" s="3771"/>
      <c r="M36" s="3690"/>
      <c r="N36" s="3690"/>
      <c r="O36" s="3690"/>
      <c r="P36" s="3837"/>
      <c r="Q36" s="3786" t="str">
        <f t="shared" si="11"/>
        <v>成新度</v>
      </c>
      <c r="R36" s="3787" t="s">
        <v>3407</v>
      </c>
      <c r="S36" s="3788">
        <f t="shared" si="12"/>
        <v>100</v>
      </c>
      <c r="T36" s="3787" t="s">
        <v>3407</v>
      </c>
      <c r="U36" s="3788">
        <f t="shared" si="13"/>
        <v>100</v>
      </c>
      <c r="V36" s="3787" t="s">
        <v>3407</v>
      </c>
      <c r="W36" s="3788">
        <f t="shared" si="14"/>
        <v>100</v>
      </c>
      <c r="X36" s="3696"/>
      <c r="Y36" s="3831"/>
      <c r="Z36" s="3790" t="str">
        <f t="shared" si="15"/>
        <v>成新度</v>
      </c>
      <c r="AA36" s="3791">
        <f t="shared" si="3"/>
        <v>1</v>
      </c>
      <c r="AB36" s="3791">
        <f t="shared" si="4"/>
        <v>1</v>
      </c>
      <c r="AC36" s="3791">
        <f t="shared" si="5"/>
        <v>1</v>
      </c>
    </row>
    <row r="37" spans="1:29" s="3737" customFormat="1" ht="15">
      <c r="A37" s="3848"/>
      <c r="B37" s="3751" t="s">
        <v>3443</v>
      </c>
      <c r="C37" s="3846"/>
      <c r="D37" s="3753">
        <v>100</v>
      </c>
      <c r="E37" s="3846"/>
      <c r="F37" s="3822">
        <f>SUMIF(112:112,E37,113:113)-SUMIF(112:112,C37,113:113)+100</f>
        <v>100</v>
      </c>
      <c r="G37" s="3846"/>
      <c r="H37" s="3770">
        <f>SUMIF(112:112,G37,113:113)-SUMIF(112:112,C37,113:113)+100</f>
        <v>100</v>
      </c>
      <c r="I37" s="3846"/>
      <c r="J37" s="3770">
        <f>SUMIF(112:112,I37,113:113)-SUMIF(112:112,C37,113:113)+100</f>
        <v>100</v>
      </c>
      <c r="K37" s="3756"/>
      <c r="L37" s="3728"/>
      <c r="M37" s="3729"/>
      <c r="N37" s="3729"/>
      <c r="O37" s="3729"/>
      <c r="P37" s="3837"/>
      <c r="Q37" s="3747" t="str">
        <f t="shared" si="11"/>
        <v>市政基础设施</v>
      </c>
      <c r="R37" s="3732" t="s">
        <v>3407</v>
      </c>
      <c r="S37" s="3733">
        <f t="shared" si="12"/>
        <v>100</v>
      </c>
      <c r="T37" s="3732" t="s">
        <v>3407</v>
      </c>
      <c r="U37" s="3733">
        <f t="shared" si="13"/>
        <v>100</v>
      </c>
      <c r="V37" s="3732" t="s">
        <v>3407</v>
      </c>
      <c r="W37" s="3733">
        <f t="shared" si="14"/>
        <v>100</v>
      </c>
      <c r="X37" s="3734"/>
      <c r="Y37" s="3831"/>
      <c r="Z37" s="3749" t="str">
        <f t="shared" si="15"/>
        <v>市政基础设施</v>
      </c>
      <c r="AA37" s="3736">
        <f t="shared" si="3"/>
        <v>1</v>
      </c>
      <c r="AB37" s="3736">
        <f t="shared" si="4"/>
        <v>1</v>
      </c>
      <c r="AC37" s="3736">
        <f t="shared" si="5"/>
        <v>1</v>
      </c>
    </row>
    <row r="38" spans="1:29" ht="15">
      <c r="A38" s="3844"/>
      <c r="B38" s="3751" t="s">
        <v>3444</v>
      </c>
      <c r="C38" s="3846"/>
      <c r="D38" s="3770">
        <v>100</v>
      </c>
      <c r="E38" s="3846"/>
      <c r="F38" s="3822">
        <f>SUMIF(114:114,E38,115:115)-SUMIF(114:114,C38,115:115)+100</f>
        <v>100</v>
      </c>
      <c r="G38" s="3846"/>
      <c r="H38" s="3770">
        <f>SUMIF(114:114,G38,115:115)-SUMIF(114:114,C38,115:115)+100</f>
        <v>100</v>
      </c>
      <c r="I38" s="3846"/>
      <c r="J38" s="3770">
        <f>SUMIF(114:114,I38,115:115)-SUMIF(114:114,C38,115:115)+100</f>
        <v>100</v>
      </c>
      <c r="K38" s="3756"/>
      <c r="L38" s="3771"/>
      <c r="M38" s="3690"/>
      <c r="N38" s="3690"/>
      <c r="O38" s="3690"/>
      <c r="P38" s="3837" t="s">
        <v>3440</v>
      </c>
      <c r="Q38" s="3786" t="str">
        <f t="shared" si="11"/>
        <v>业态</v>
      </c>
      <c r="R38" s="3787" t="s">
        <v>3407</v>
      </c>
      <c r="S38" s="3788">
        <f t="shared" si="12"/>
        <v>100</v>
      </c>
      <c r="T38" s="3787" t="s">
        <v>3407</v>
      </c>
      <c r="U38" s="3788">
        <f t="shared" si="13"/>
        <v>100</v>
      </c>
      <c r="V38" s="3787" t="s">
        <v>3407</v>
      </c>
      <c r="W38" s="3788">
        <f t="shared" si="14"/>
        <v>100</v>
      </c>
      <c r="X38" s="3696"/>
      <c r="Y38" s="3831" t="s">
        <v>3440</v>
      </c>
      <c r="Z38" s="3790" t="str">
        <f t="shared" si="15"/>
        <v>业态</v>
      </c>
      <c r="AA38" s="3791">
        <f t="shared" si="3"/>
        <v>1</v>
      </c>
      <c r="AB38" s="3791">
        <f t="shared" si="4"/>
        <v>1</v>
      </c>
      <c r="AC38" s="3791">
        <f t="shared" si="5"/>
        <v>1</v>
      </c>
    </row>
    <row r="39" spans="1:29" ht="15">
      <c r="A39" s="3844"/>
      <c r="B39" s="3751" t="s">
        <v>3445</v>
      </c>
      <c r="C39" s="3849"/>
      <c r="D39" s="3770">
        <v>100</v>
      </c>
      <c r="E39" s="3849"/>
      <c r="F39" s="3822">
        <f>SUMIF(116:116,E39,117:117)-SUMIF(116:116,C39,117:117)+100</f>
        <v>100</v>
      </c>
      <c r="G39" s="3849"/>
      <c r="H39" s="3770">
        <f>SUMIF(116:116,G39,117:117)-SUMIF(116:116,C39,117:117)+100</f>
        <v>100</v>
      </c>
      <c r="I39" s="3849"/>
      <c r="J39" s="3770">
        <f>SUMIF(116:116,I39,117:117)-SUMIF(116:116,C39,117:117)+100</f>
        <v>100</v>
      </c>
      <c r="K39" s="3756"/>
      <c r="L39" s="3771"/>
      <c r="M39" s="3690"/>
      <c r="N39" s="3690"/>
      <c r="O39" s="3690"/>
      <c r="P39" s="3837"/>
      <c r="Q39" s="3786" t="str">
        <f t="shared" si="11"/>
        <v>层高</v>
      </c>
      <c r="R39" s="3787" t="s">
        <v>3407</v>
      </c>
      <c r="S39" s="3788">
        <f t="shared" si="12"/>
        <v>100</v>
      </c>
      <c r="T39" s="3787" t="s">
        <v>3407</v>
      </c>
      <c r="U39" s="3788">
        <f t="shared" si="13"/>
        <v>100</v>
      </c>
      <c r="V39" s="3787" t="s">
        <v>3407</v>
      </c>
      <c r="W39" s="3788">
        <f t="shared" si="14"/>
        <v>100</v>
      </c>
      <c r="X39" s="3696"/>
      <c r="Y39" s="3831"/>
      <c r="Z39" s="3790" t="str">
        <f t="shared" si="15"/>
        <v>层高</v>
      </c>
      <c r="AA39" s="3791">
        <f t="shared" si="3"/>
        <v>1</v>
      </c>
      <c r="AB39" s="3791">
        <f t="shared" si="4"/>
        <v>1</v>
      </c>
      <c r="AC39" s="3791">
        <f t="shared" si="5"/>
        <v>1</v>
      </c>
    </row>
    <row r="40" spans="1:29" ht="15">
      <c r="A40" s="3844"/>
      <c r="B40" s="3751" t="s">
        <v>3448</v>
      </c>
      <c r="C40" s="3850"/>
      <c r="D40" s="3770">
        <v>100</v>
      </c>
      <c r="E40" s="3851"/>
      <c r="F40" s="3822">
        <f>SUMIF(118:118,E40,119:119)-SUMIF(118:118,C40,119:119)+100</f>
        <v>100</v>
      </c>
      <c r="G40" s="3851"/>
      <c r="H40" s="3770">
        <f>SUMIF(118:118,G40,119:119)-SUMIF(118:118,C40,119:119)+100</f>
        <v>100</v>
      </c>
      <c r="I40" s="3851"/>
      <c r="J40" s="3770">
        <f>SUMIF(118:118,I40,119:119)-SUMIF(118:118,C40,119:119)+100</f>
        <v>100</v>
      </c>
      <c r="K40" s="3769"/>
      <c r="L40" s="3771"/>
      <c r="M40" s="3690"/>
      <c r="N40" s="3690"/>
      <c r="O40" s="3690"/>
      <c r="P40" s="3837"/>
      <c r="Q40" s="3786" t="str">
        <f t="shared" si="11"/>
        <v>单套建筑面积</v>
      </c>
      <c r="R40" s="3787" t="s">
        <v>3407</v>
      </c>
      <c r="S40" s="3788">
        <f t="shared" si="12"/>
        <v>100</v>
      </c>
      <c r="T40" s="3787" t="s">
        <v>3407</v>
      </c>
      <c r="U40" s="3788">
        <f t="shared" si="13"/>
        <v>100</v>
      </c>
      <c r="V40" s="3787" t="s">
        <v>3407</v>
      </c>
      <c r="W40" s="3788">
        <f t="shared" si="14"/>
        <v>100</v>
      </c>
      <c r="X40" s="3696"/>
      <c r="Y40" s="3831"/>
      <c r="Z40" s="3790" t="str">
        <f t="shared" si="15"/>
        <v>单套建筑面积</v>
      </c>
      <c r="AA40" s="3791">
        <f t="shared" si="3"/>
        <v>1</v>
      </c>
      <c r="AB40" s="3791">
        <f t="shared" si="4"/>
        <v>1</v>
      </c>
      <c r="AC40" s="3791">
        <f t="shared" si="5"/>
        <v>1</v>
      </c>
    </row>
    <row r="41" spans="1:29" s="3843" customFormat="1" ht="15">
      <c r="A41" s="3832"/>
      <c r="B41" s="3852" t="s">
        <v>3449</v>
      </c>
      <c r="C41" s="3827"/>
      <c r="D41" s="3770">
        <v>100</v>
      </c>
      <c r="E41" s="3827"/>
      <c r="F41" s="3822">
        <f>SUMIF(120:120,E41,121:121)-SUMIF(120:120,C41,121:121)+100</f>
        <v>100</v>
      </c>
      <c r="G41" s="3827"/>
      <c r="H41" s="3770">
        <f>SUMIF(120:120,G41,121:121)-SUMIF(120:120,C41,121:121)+100</f>
        <v>100</v>
      </c>
      <c r="I41" s="3827"/>
      <c r="J41" s="3770">
        <f>SUMIF(120:120,I41,121:121)-SUMIF(120:120,C41,121:121)+100</f>
        <v>100</v>
      </c>
      <c r="K41" s="3756"/>
      <c r="L41" s="3763"/>
      <c r="M41" s="3836"/>
      <c r="N41" s="3836"/>
      <c r="O41" s="3836"/>
      <c r="P41" s="3837"/>
      <c r="Q41" s="3838" t="str">
        <f t="shared" si="11"/>
        <v>进深比</v>
      </c>
      <c r="R41" s="3839" t="s">
        <v>3407</v>
      </c>
      <c r="S41" s="3840">
        <f t="shared" si="12"/>
        <v>100</v>
      </c>
      <c r="T41" s="3839" t="s">
        <v>3407</v>
      </c>
      <c r="U41" s="3840">
        <f t="shared" si="13"/>
        <v>100</v>
      </c>
      <c r="V41" s="3839" t="s">
        <v>3407</v>
      </c>
      <c r="W41" s="3840">
        <f t="shared" si="14"/>
        <v>100</v>
      </c>
      <c r="X41" s="3841"/>
      <c r="Y41" s="3831"/>
      <c r="Z41" s="3842" t="str">
        <f t="shared" si="15"/>
        <v>进深比</v>
      </c>
      <c r="AA41" s="3791">
        <f t="shared" si="3"/>
        <v>1</v>
      </c>
      <c r="AB41" s="3791">
        <f t="shared" si="4"/>
        <v>1</v>
      </c>
      <c r="AC41" s="3791">
        <f t="shared" si="5"/>
        <v>1</v>
      </c>
    </row>
    <row r="42" spans="1:29" ht="15">
      <c r="A42" s="3844"/>
      <c r="B42" s="3751" t="s">
        <v>3450</v>
      </c>
      <c r="C42" s="3846"/>
      <c r="D42" s="3770">
        <v>100</v>
      </c>
      <c r="E42" s="3846"/>
      <c r="F42" s="3822">
        <f>SUMIF(122:122,E42,123:123)-SUMIF(122:122,C42,123:123)+100</f>
        <v>100</v>
      </c>
      <c r="G42" s="3846"/>
      <c r="H42" s="3770">
        <f>SUMIF(122:122,G42,123:123)-SUMIF(122:122,C42,123:123)+100</f>
        <v>100</v>
      </c>
      <c r="I42" s="3846"/>
      <c r="J42" s="3770">
        <f>SUMIF(122:122,I42,123:123)-SUMIF(122:122,C42,123:123)+100</f>
        <v>100</v>
      </c>
      <c r="K42" s="3756"/>
      <c r="L42" s="3771"/>
      <c r="M42" s="3690"/>
      <c r="N42" s="3690"/>
      <c r="O42" s="3690"/>
      <c r="P42" s="3837"/>
      <c r="Q42" s="3786" t="str">
        <f t="shared" si="11"/>
        <v>内部装修</v>
      </c>
      <c r="R42" s="3787" t="s">
        <v>3407</v>
      </c>
      <c r="S42" s="3788">
        <f t="shared" si="12"/>
        <v>100</v>
      </c>
      <c r="T42" s="3787" t="s">
        <v>3407</v>
      </c>
      <c r="U42" s="3788">
        <f t="shared" si="13"/>
        <v>100</v>
      </c>
      <c r="V42" s="3787" t="s">
        <v>3407</v>
      </c>
      <c r="W42" s="3788">
        <f t="shared" si="14"/>
        <v>100</v>
      </c>
      <c r="X42" s="3696"/>
      <c r="Y42" s="3831"/>
      <c r="Z42" s="3790" t="str">
        <f t="shared" si="15"/>
        <v>内部装修</v>
      </c>
      <c r="AA42" s="3791">
        <f t="shared" si="3"/>
        <v>1</v>
      </c>
      <c r="AB42" s="3791">
        <f t="shared" si="4"/>
        <v>1</v>
      </c>
      <c r="AC42" s="3791">
        <f t="shared" si="5"/>
        <v>1</v>
      </c>
    </row>
    <row r="43" spans="1:29" ht="15">
      <c r="A43" s="3844"/>
      <c r="B43" s="3751" t="s">
        <v>2156</v>
      </c>
      <c r="C43" s="3846"/>
      <c r="D43" s="3770">
        <v>100</v>
      </c>
      <c r="E43" s="3846"/>
      <c r="F43" s="3822">
        <f>SUMIF(124:124,E43,125:125)-SUMIF(124:124,C43,125:125)+100</f>
        <v>100</v>
      </c>
      <c r="G43" s="3846"/>
      <c r="H43" s="3770">
        <f>SUMIF(124:124,G43,125:125)-SUMIF(124:124,C43,125:125)+100</f>
        <v>100</v>
      </c>
      <c r="I43" s="3846"/>
      <c r="J43" s="3770">
        <f>SUMIF(124:124,I43,125:125)-SUMIF(124:124,C43,125:125)+100</f>
        <v>100</v>
      </c>
      <c r="K43" s="3756"/>
      <c r="L43" s="3771"/>
      <c r="M43" s="3690"/>
      <c r="N43" s="3690"/>
      <c r="O43" s="3690"/>
      <c r="P43" s="3837"/>
      <c r="Q43" s="3786" t="str">
        <f t="shared" si="11"/>
        <v>内部装修维护情况</v>
      </c>
      <c r="R43" s="3787" t="s">
        <v>3407</v>
      </c>
      <c r="S43" s="3788">
        <f t="shared" si="12"/>
        <v>100</v>
      </c>
      <c r="T43" s="3787" t="s">
        <v>3407</v>
      </c>
      <c r="U43" s="3788">
        <f t="shared" si="13"/>
        <v>100</v>
      </c>
      <c r="V43" s="3787" t="s">
        <v>3407</v>
      </c>
      <c r="W43" s="3788">
        <f t="shared" si="14"/>
        <v>100</v>
      </c>
      <c r="X43" s="3696"/>
      <c r="Y43" s="3831"/>
      <c r="Z43" s="3790" t="str">
        <f t="shared" si="15"/>
        <v>内部装修维护情况</v>
      </c>
      <c r="AA43" s="3791">
        <f t="shared" si="3"/>
        <v>1</v>
      </c>
      <c r="AB43" s="3791">
        <f t="shared" si="4"/>
        <v>1</v>
      </c>
      <c r="AC43" s="3791">
        <f t="shared" si="5"/>
        <v>1</v>
      </c>
    </row>
    <row r="44" spans="1:29" s="3737" customFormat="1" ht="15">
      <c r="A44" s="3848"/>
      <c r="B44" s="3853" t="s">
        <v>3451</v>
      </c>
      <c r="C44" s="3854" t="s">
        <v>3436</v>
      </c>
      <c r="D44" s="3753">
        <v>100</v>
      </c>
      <c r="E44" s="3855" t="s">
        <v>3452</v>
      </c>
      <c r="F44" s="3755">
        <f>SUMIF(126:126,E44,127:127)-SUMIF(126:126,C44,127:127)+100</f>
        <v>110</v>
      </c>
      <c r="G44" s="3855" t="s">
        <v>3436</v>
      </c>
      <c r="H44" s="3753">
        <f>SUMIF(126:126,G44,127:127)-SUMIF(126:126,C44,127:127)+100</f>
        <v>100</v>
      </c>
      <c r="I44" s="3855" t="s">
        <v>3452</v>
      </c>
      <c r="J44" s="3753">
        <f>SUMIF(126:126,I44,127:127)-SUMIF(126:126,C44,127:127)+100</f>
        <v>110</v>
      </c>
      <c r="K44" s="3769"/>
      <c r="L44" s="3728"/>
      <c r="M44" s="3729"/>
      <c r="N44" s="3729"/>
      <c r="O44" s="3729"/>
      <c r="P44" s="3837"/>
      <c r="Q44" s="3747" t="str">
        <f t="shared" si="11"/>
        <v>地下占比</v>
      </c>
      <c r="R44" s="3732" t="s">
        <v>3407</v>
      </c>
      <c r="S44" s="3733">
        <f t="shared" si="12"/>
        <v>110</v>
      </c>
      <c r="T44" s="3732" t="s">
        <v>3407</v>
      </c>
      <c r="U44" s="3733">
        <f t="shared" si="13"/>
        <v>100</v>
      </c>
      <c r="V44" s="3732" t="s">
        <v>3407</v>
      </c>
      <c r="W44" s="3733">
        <f t="shared" si="14"/>
        <v>110</v>
      </c>
      <c r="X44" s="3734"/>
      <c r="Y44" s="3831"/>
      <c r="Z44" s="3749" t="str">
        <f t="shared" si="15"/>
        <v>地下占比</v>
      </c>
      <c r="AA44" s="3736">
        <f t="shared" si="3"/>
        <v>0.90909090909090906</v>
      </c>
      <c r="AB44" s="3736">
        <f t="shared" si="4"/>
        <v>1</v>
      </c>
      <c r="AC44" s="3736">
        <f t="shared" si="5"/>
        <v>0.90909090909090906</v>
      </c>
    </row>
    <row r="45" spans="1:29" ht="15">
      <c r="A45" s="3844"/>
      <c r="B45" s="3823">
        <v>111</v>
      </c>
      <c r="C45" s="3768"/>
      <c r="D45" s="3770">
        <v>100</v>
      </c>
      <c r="E45" s="3768"/>
      <c r="F45" s="3822">
        <f>SUMIF(128:128,E45,129:129)-SUMIF(128:128,C45,129:129)+100</f>
        <v>100</v>
      </c>
      <c r="G45" s="3768"/>
      <c r="H45" s="3770">
        <f>SUMIF(128:128,G45,129:129)-SUMIF(128:128,C45,129:129)+100</f>
        <v>100</v>
      </c>
      <c r="I45" s="3768"/>
      <c r="J45" s="3770">
        <f>SUMIF(128:128,I45,129:129)-SUMIF(128:128,C45,129:129)+100</f>
        <v>100</v>
      </c>
      <c r="K45" s="3769"/>
      <c r="L45" s="3771"/>
      <c r="M45" s="3690"/>
      <c r="N45" s="3690"/>
      <c r="O45" s="3690"/>
      <c r="P45" s="3837"/>
      <c r="Q45" s="3786">
        <f t="shared" si="11"/>
        <v>111</v>
      </c>
      <c r="R45" s="3787" t="s">
        <v>3407</v>
      </c>
      <c r="S45" s="3788">
        <f t="shared" si="12"/>
        <v>100</v>
      </c>
      <c r="T45" s="3787" t="s">
        <v>3407</v>
      </c>
      <c r="U45" s="3788">
        <f t="shared" si="13"/>
        <v>100</v>
      </c>
      <c r="V45" s="3787" t="s">
        <v>3407</v>
      </c>
      <c r="W45" s="3788">
        <f t="shared" si="14"/>
        <v>100</v>
      </c>
      <c r="X45" s="3696"/>
      <c r="Y45" s="3831"/>
      <c r="Z45" s="3790">
        <f t="shared" si="15"/>
        <v>111</v>
      </c>
      <c r="AA45" s="3791">
        <f t="shared" si="3"/>
        <v>1</v>
      </c>
      <c r="AB45" s="3791">
        <f t="shared" si="4"/>
        <v>1</v>
      </c>
      <c r="AC45" s="3791">
        <f t="shared" si="5"/>
        <v>1</v>
      </c>
    </row>
    <row r="46" spans="1:29" ht="15.75" thickBot="1">
      <c r="A46" s="3856"/>
      <c r="B46" s="3773">
        <v>111</v>
      </c>
      <c r="C46" s="3774"/>
      <c r="D46" s="3775">
        <v>100</v>
      </c>
      <c r="E46" s="3768"/>
      <c r="F46" s="3776">
        <f>SUMIF(130:130,E46,131:131)-SUMIF(130:130,C46,131:131)+100</f>
        <v>100</v>
      </c>
      <c r="G46" s="3768"/>
      <c r="H46" s="3775">
        <f>SUMIF(130:130,G46,131:131)-SUMIF(130:130,C46,131:131)+100</f>
        <v>100</v>
      </c>
      <c r="I46" s="3768"/>
      <c r="J46" s="3775">
        <f>SUMIF(130:130,I46,131:131)-SUMIF(130:130,C46,131:131)+100</f>
        <v>100</v>
      </c>
      <c r="K46" s="3769"/>
      <c r="L46" s="3771"/>
      <c r="M46" s="3690"/>
      <c r="N46" s="3690"/>
      <c r="O46" s="3690"/>
      <c r="P46" s="3857"/>
      <c r="Q46" s="3786">
        <f t="shared" si="11"/>
        <v>111</v>
      </c>
      <c r="R46" s="3787" t="s">
        <v>3407</v>
      </c>
      <c r="S46" s="3788">
        <f t="shared" si="12"/>
        <v>100</v>
      </c>
      <c r="T46" s="3787" t="s">
        <v>3407</v>
      </c>
      <c r="U46" s="3788">
        <f t="shared" si="13"/>
        <v>100</v>
      </c>
      <c r="V46" s="3787" t="s">
        <v>3407</v>
      </c>
      <c r="W46" s="3788">
        <f t="shared" si="14"/>
        <v>100</v>
      </c>
      <c r="X46" s="3696"/>
      <c r="Y46" s="3858"/>
      <c r="Z46" s="3790">
        <f t="shared" si="15"/>
        <v>111</v>
      </c>
      <c r="AA46" s="3791">
        <f t="shared" si="3"/>
        <v>1</v>
      </c>
      <c r="AB46" s="3791">
        <f t="shared" si="4"/>
        <v>1</v>
      </c>
      <c r="AC46" s="3791">
        <f t="shared" si="5"/>
        <v>1</v>
      </c>
    </row>
    <row r="47" spans="1:29" ht="15">
      <c r="A47" s="3859" t="s">
        <v>3453</v>
      </c>
      <c r="B47" s="3860"/>
      <c r="C47" s="3861" t="s">
        <v>3454</v>
      </c>
      <c r="D47" s="3862"/>
      <c r="E47" s="3863">
        <f>[2]大宗案例!I74</f>
        <v>56777</v>
      </c>
      <c r="F47" s="3864"/>
      <c r="G47" s="3865">
        <f>[2]大宗案例!I77</f>
        <v>62177</v>
      </c>
      <c r="H47" s="3866"/>
      <c r="I47" s="3863">
        <f>[2]大宗案例!I85</f>
        <v>55732</v>
      </c>
      <c r="J47" s="3866"/>
      <c r="K47" s="3867"/>
      <c r="L47" s="3868"/>
      <c r="M47" s="3869"/>
      <c r="N47" s="3690"/>
      <c r="O47" s="3869"/>
      <c r="P47" s="3870" t="str">
        <f>A47</f>
        <v>成交单价（元/平方米）</v>
      </c>
      <c r="Q47" s="3870"/>
      <c r="R47" s="3695">
        <f>E47</f>
        <v>56777</v>
      </c>
      <c r="S47" s="3695"/>
      <c r="T47" s="3695">
        <f>G47</f>
        <v>62177</v>
      </c>
      <c r="U47" s="3695"/>
      <c r="V47" s="3695">
        <f>I47</f>
        <v>55732</v>
      </c>
      <c r="W47" s="3695"/>
      <c r="X47" s="3871"/>
      <c r="Y47" s="3872"/>
      <c r="Z47" s="3871"/>
      <c r="AA47" s="3871"/>
      <c r="AB47" s="3871"/>
      <c r="AC47" s="3871"/>
    </row>
    <row r="48" spans="1:29" ht="15.75" thickBot="1">
      <c r="A48" s="3873" t="s">
        <v>3455</v>
      </c>
      <c r="B48" s="3874"/>
      <c r="C48" s="3875">
        <f>R49</f>
        <v>62183</v>
      </c>
      <c r="D48" s="3876" t="s">
        <v>2638</v>
      </c>
      <c r="E48" s="3877">
        <f>R48</f>
        <v>59940</v>
      </c>
      <c r="F48" s="3878"/>
      <c r="G48" s="3875">
        <f>T48</f>
        <v>66188</v>
      </c>
      <c r="H48" s="3878"/>
      <c r="I48" s="3877">
        <f>V48</f>
        <v>60421</v>
      </c>
      <c r="J48" s="3878"/>
      <c r="K48" s="3879">
        <f>F48+H48+J48</f>
        <v>0</v>
      </c>
      <c r="L48" s="3868"/>
      <c r="M48" s="3869"/>
      <c r="N48" s="3690"/>
      <c r="O48" s="3869"/>
      <c r="P48" s="3870" t="str">
        <f>A48</f>
        <v>比较价值（元/平方米）</v>
      </c>
      <c r="Q48" s="3870"/>
      <c r="R48" s="3880">
        <f>IF(F1="售价",ROUND(PRODUCT(R47,AA7:AA46),0),ROUND(PRODUCT(R47,AA7:AA46),1))</f>
        <v>59940</v>
      </c>
      <c r="S48" s="3880"/>
      <c r="T48" s="3880">
        <f>IF(F1="售价",ROUND(PRODUCT(T47,AB7:AB46),0),ROUND(PRODUCT(T47,AB7:AB46),1))</f>
        <v>66188</v>
      </c>
      <c r="U48" s="3880"/>
      <c r="V48" s="3880">
        <f>IF(F1="售价",ROUND(PRODUCT(V47,AC7:AC46),0),ROUND(PRODUCT(V47,AC7:AC46),1))</f>
        <v>60421</v>
      </c>
      <c r="W48" s="3880"/>
      <c r="X48" s="3871"/>
      <c r="Y48" s="3871"/>
      <c r="Z48" s="3871"/>
      <c r="AA48" s="3871"/>
      <c r="AB48" s="3871"/>
      <c r="AC48" s="3871"/>
    </row>
    <row r="49" spans="1:29" ht="15.75" thickBot="1">
      <c r="A49" s="3881" t="s">
        <v>3456</v>
      </c>
      <c r="B49" s="3882"/>
      <c r="C49" s="3883">
        <f>R49</f>
        <v>62183</v>
      </c>
      <c r="D49" s="3883"/>
      <c r="E49" s="3883"/>
      <c r="F49" s="3883"/>
      <c r="G49" s="3883"/>
      <c r="H49" s="3883"/>
      <c r="I49" s="3883"/>
      <c r="J49" s="3883"/>
      <c r="K49" s="3884"/>
      <c r="L49" s="3868"/>
      <c r="M49" s="3869"/>
      <c r="N49" s="3690"/>
      <c r="O49" s="3869"/>
      <c r="P49" s="3885" t="str">
        <f>A49</f>
        <v>估价对象XX用房的比较价值（楼面单价，元/平方米）</v>
      </c>
      <c r="Q49" s="3886"/>
      <c r="R49" s="3887">
        <f>IF(F1="售价",ROUND(IF(D48="简单平均",AVERAGE(R48:V48),R48*F48+T48*H48+V48*J48),0),ROUND(IF(D48="简单平均",AVERAGE(R48:V48),R48*F48+T48*H48+V48*J48),1))</f>
        <v>62183</v>
      </c>
      <c r="S49" s="3887"/>
      <c r="T49" s="3887"/>
      <c r="U49" s="3887"/>
      <c r="V49" s="3887"/>
      <c r="W49" s="3887"/>
      <c r="X49" s="3871"/>
      <c r="Y49" s="3871"/>
      <c r="Z49" s="3871"/>
      <c r="AA49" s="3871"/>
      <c r="AB49" s="3871"/>
      <c r="AC49" s="3871"/>
    </row>
    <row r="50" spans="1:29">
      <c r="A50" s="3869"/>
      <c r="B50" s="3869"/>
      <c r="C50" s="3869"/>
      <c r="D50" s="3869"/>
      <c r="E50" s="3869"/>
      <c r="F50" s="3869"/>
      <c r="G50" s="3888"/>
      <c r="H50" s="3869"/>
      <c r="I50" s="3869"/>
      <c r="J50" s="3869"/>
      <c r="K50" s="3889"/>
      <c r="L50" s="3890"/>
      <c r="M50" s="3869"/>
      <c r="N50" s="3869"/>
      <c r="O50" s="3869"/>
      <c r="P50" s="3891"/>
      <c r="Q50" s="3869"/>
      <c r="R50" s="3869"/>
      <c r="S50" s="3869"/>
      <c r="T50" s="3869"/>
      <c r="U50" s="3869"/>
      <c r="V50" s="3869"/>
      <c r="W50" s="3869"/>
      <c r="X50" s="3869"/>
      <c r="Y50" s="3869"/>
      <c r="Z50" s="3869"/>
      <c r="AA50" s="3869"/>
      <c r="AB50" s="3869"/>
      <c r="AC50" s="3869"/>
    </row>
    <row r="51" spans="1:29">
      <c r="A51" s="3869"/>
      <c r="B51" s="3869"/>
      <c r="C51" s="3869"/>
      <c r="D51" s="3869"/>
      <c r="E51" s="3869"/>
      <c r="F51" s="3869"/>
      <c r="G51" s="3869"/>
      <c r="H51" s="3869"/>
      <c r="I51" s="3869"/>
      <c r="J51" s="3869"/>
      <c r="K51" s="3889"/>
      <c r="L51" s="3890"/>
      <c r="M51" s="3869"/>
      <c r="N51" s="3869"/>
      <c r="O51" s="3869"/>
      <c r="P51" s="3891"/>
      <c r="Q51" s="3869"/>
      <c r="R51" s="3869"/>
      <c r="S51" s="3869"/>
      <c r="T51" s="3869"/>
      <c r="U51" s="3869"/>
      <c r="V51" s="3869"/>
      <c r="W51" s="3869"/>
      <c r="X51" s="3869"/>
      <c r="Y51" s="3869"/>
      <c r="Z51" s="3869"/>
      <c r="AA51" s="3869"/>
      <c r="AB51" s="3869"/>
      <c r="AC51" s="3869"/>
    </row>
    <row r="52" spans="1:29" ht="13.5" customHeight="1">
      <c r="A52" s="3869"/>
      <c r="B52" s="3869"/>
      <c r="C52" s="3892" t="s">
        <v>3457</v>
      </c>
      <c r="D52" s="3893"/>
      <c r="E52" s="3894">
        <f>IF(E47&lt;E48,E48/E47-1,E47/E48-1)</f>
        <v>5.5709178012223193E-2</v>
      </c>
      <c r="F52" s="3895" t="str">
        <f>IF(OR(E52&gt;=0.3,E52&lt;=-0.3),"超过30%","")</f>
        <v/>
      </c>
      <c r="G52" s="3894">
        <f>IF(G47&lt;G48,G48/G47-1,G47/G48-1)</f>
        <v>6.4509384499091382E-2</v>
      </c>
      <c r="H52" s="3895" t="str">
        <f>IF(OR(G52&gt;=0.3,G52&lt;=-0.3),"超过30%","")</f>
        <v/>
      </c>
      <c r="I52" s="3894">
        <f>IF(I47&lt;I48,I48/I47-1,I47/I48-1)</f>
        <v>8.4134787913586528E-2</v>
      </c>
      <c r="J52" s="3895" t="str">
        <f>IF(OR(I52&gt;=0.3,I52&lt;=-0.3),"超过30%","")</f>
        <v/>
      </c>
      <c r="K52" s="3889"/>
      <c r="L52" s="3890"/>
      <c r="M52" s="3869"/>
      <c r="N52" s="3869"/>
      <c r="O52" s="3869"/>
      <c r="P52" s="3891"/>
      <c r="Q52" s="3869"/>
      <c r="R52" s="3869"/>
      <c r="S52" s="3869"/>
      <c r="T52" s="3869"/>
      <c r="U52" s="3869"/>
      <c r="V52" s="3869"/>
      <c r="W52" s="3869"/>
      <c r="X52" s="3869"/>
      <c r="Y52" s="3869"/>
      <c r="Z52" s="3869"/>
      <c r="AA52" s="3869"/>
      <c r="AB52" s="3869"/>
      <c r="AC52" s="3869"/>
    </row>
    <row r="53" spans="1:29" ht="13.5" customHeight="1">
      <c r="A53" s="3869"/>
      <c r="B53" s="3869"/>
      <c r="C53" s="3892" t="s">
        <v>3458</v>
      </c>
      <c r="D53" s="3896"/>
      <c r="E53" s="3894">
        <f>IF(E48&lt;G48,G48/E48-1,E48/G48-1)</f>
        <v>0.10423757090423758</v>
      </c>
      <c r="F53" s="3895" t="str">
        <f>IF(OR(E53&gt;=0.2,E53&lt;=-0.2),"超过20%","")</f>
        <v/>
      </c>
      <c r="G53" s="3894">
        <f>IF(G48&lt;I48,I48/G48-1,G48/I48-1)</f>
        <v>9.5446947253438275E-2</v>
      </c>
      <c r="H53" s="3895" t="str">
        <f>IF(OR(G53&gt;=0.2,G53&lt;=-0.2),"超过20%","")</f>
        <v/>
      </c>
      <c r="I53" s="3894">
        <f>IF(I48&lt;E48,E48/I48-1,I48/E48-1)</f>
        <v>8.0246913580246382E-3</v>
      </c>
      <c r="J53" s="3895" t="str">
        <f>IF(OR(I53&gt;=0.2,I53&lt;=-0.2),"超过20%","")</f>
        <v/>
      </c>
      <c r="K53" s="3889"/>
      <c r="L53" s="3890"/>
      <c r="M53" s="3869"/>
      <c r="N53" s="3869"/>
      <c r="O53" s="3869"/>
      <c r="P53" s="3891"/>
      <c r="Q53" s="3869"/>
      <c r="R53" s="3869"/>
      <c r="S53" s="3869"/>
      <c r="T53" s="3869"/>
      <c r="U53" s="3869"/>
      <c r="V53" s="3869"/>
      <c r="W53" s="3869"/>
      <c r="X53" s="3869"/>
      <c r="Y53" s="3869"/>
      <c r="Z53" s="3869"/>
      <c r="AA53" s="3869"/>
      <c r="AB53" s="3869"/>
      <c r="AC53" s="3869"/>
    </row>
    <row r="54" spans="1:29" s="3901" customFormat="1" ht="13.5" customHeight="1">
      <c r="A54" s="3897"/>
      <c r="B54" s="3897"/>
      <c r="C54" s="3892" t="s">
        <v>3459</v>
      </c>
      <c r="D54" s="3896"/>
      <c r="E54" s="3894">
        <f>IF(E47&lt;G47,G47/E47-1,E47/G47-1)</f>
        <v>9.5108934956056101E-2</v>
      </c>
      <c r="F54" s="3895" t="str">
        <f>IF(OR(E54&gt;=0.3,E54&lt;=-0.3),"超过30%","")</f>
        <v/>
      </c>
      <c r="G54" s="3894">
        <f>IF(G47&lt;I47,I47/G47-1,G47/I47-1)</f>
        <v>0.11564271872532839</v>
      </c>
      <c r="H54" s="3895" t="str">
        <f>IF(OR(G54&gt;=0.3,G54&lt;=-0.3),"超过30%","")</f>
        <v/>
      </c>
      <c r="I54" s="3894">
        <f>IF(I47&lt;E47,E47/I47-1,I47/E47-1)</f>
        <v>1.8750448575324707E-2</v>
      </c>
      <c r="J54" s="3895" t="str">
        <f>IF(OR(I54&gt;=0.3,I54&lt;=-0.3),"超过30%","")</f>
        <v/>
      </c>
      <c r="K54" s="3898"/>
      <c r="L54" s="3899"/>
      <c r="M54" s="3897"/>
      <c r="N54" s="3897"/>
      <c r="O54" s="3897"/>
      <c r="P54" s="3900"/>
      <c r="Q54" s="3897"/>
      <c r="R54" s="3897"/>
      <c r="S54" s="3897"/>
      <c r="T54" s="3897"/>
      <c r="U54" s="3897"/>
      <c r="V54" s="3897"/>
      <c r="W54" s="3897"/>
      <c r="X54" s="3897"/>
      <c r="Y54" s="3897"/>
      <c r="Z54" s="3897"/>
      <c r="AA54" s="3897"/>
      <c r="AB54" s="3897"/>
      <c r="AC54" s="3897"/>
    </row>
    <row r="55" spans="1:29" s="3901" customFormat="1">
      <c r="A55" s="3897"/>
      <c r="B55" s="3902"/>
      <c r="C55" s="3903"/>
      <c r="D55" s="3897"/>
      <c r="E55" s="3897"/>
      <c r="F55" s="3897"/>
      <c r="G55" s="3897"/>
      <c r="H55" s="3897"/>
      <c r="I55" s="3897"/>
      <c r="J55" s="3897"/>
      <c r="K55" s="3898"/>
      <c r="L55" s="3899"/>
      <c r="M55" s="3897"/>
      <c r="N55" s="3897"/>
      <c r="O55" s="3897"/>
      <c r="P55" s="3900"/>
      <c r="Q55" s="3897"/>
      <c r="R55" s="3897"/>
      <c r="S55" s="3897"/>
      <c r="T55" s="3897"/>
      <c r="U55" s="3897"/>
      <c r="V55" s="3897"/>
      <c r="W55" s="3897"/>
      <c r="X55" s="3897"/>
      <c r="Y55" s="3897"/>
      <c r="Z55" s="3897"/>
      <c r="AA55" s="3897"/>
      <c r="AB55" s="3897"/>
      <c r="AC55" s="3897"/>
    </row>
    <row r="56" spans="1:29">
      <c r="A56" s="3869"/>
      <c r="B56" s="3902"/>
      <c r="C56" s="3903"/>
      <c r="D56" s="3869"/>
      <c r="E56" s="3869"/>
      <c r="F56" s="3869"/>
      <c r="G56" s="3869"/>
      <c r="H56" s="3869"/>
      <c r="I56" s="3869"/>
      <c r="J56" s="3869"/>
      <c r="K56" s="3889"/>
      <c r="L56" s="3890"/>
      <c r="M56" s="3869"/>
      <c r="N56" s="3869"/>
      <c r="O56" s="3869"/>
      <c r="P56" s="3891"/>
      <c r="Q56" s="3869"/>
      <c r="R56" s="3869"/>
      <c r="S56" s="3869"/>
      <c r="T56" s="3869"/>
      <c r="U56" s="3869"/>
      <c r="V56" s="3869"/>
      <c r="W56" s="3869"/>
      <c r="X56" s="3869"/>
      <c r="Y56" s="3869"/>
      <c r="Z56" s="3869"/>
      <c r="AA56" s="3869"/>
      <c r="AB56" s="3869"/>
      <c r="AC56" s="3869"/>
    </row>
    <row r="57" spans="1:29" ht="21.75" thickBot="1">
      <c r="A57" s="3904" t="s">
        <v>3460</v>
      </c>
      <c r="B57" s="3871"/>
      <c r="C57" s="3905"/>
      <c r="D57" s="3905"/>
      <c r="E57" s="3905"/>
      <c r="F57" s="3906"/>
      <c r="G57" s="3906"/>
      <c r="H57" s="3905"/>
      <c r="I57" s="3905"/>
      <c r="J57" s="3905"/>
      <c r="K57" s="3907"/>
      <c r="L57" s="3908"/>
      <c r="M57" s="3909"/>
      <c r="N57" s="3909"/>
      <c r="O57" s="3909"/>
      <c r="P57" s="3910"/>
      <c r="Q57" s="3911"/>
      <c r="R57" s="3869"/>
      <c r="S57" s="3869"/>
      <c r="T57" s="3869"/>
      <c r="U57" s="3869"/>
      <c r="V57" s="3869"/>
      <c r="W57" s="3869"/>
      <c r="X57" s="3869"/>
      <c r="Y57" s="3869"/>
      <c r="Z57" s="3869"/>
      <c r="AA57" s="3869"/>
      <c r="AB57" s="3869"/>
      <c r="AC57" s="3869"/>
    </row>
    <row r="58" spans="1:29" s="3918" customFormat="1" ht="15">
      <c r="A58" s="3912" t="s">
        <v>3461</v>
      </c>
      <c r="B58" s="3913"/>
      <c r="C58" s="3914" t="str">
        <f>YEAR(C7)&amp;"-"&amp;MONTH(C7)</f>
        <v>2022-11</v>
      </c>
      <c r="D58" s="3915">
        <f>EDATE(C58,-1)</f>
        <v>44835</v>
      </c>
      <c r="E58" s="3915">
        <f t="shared" ref="E58:N58" si="16">EDATE(D58,-1)</f>
        <v>44805</v>
      </c>
      <c r="F58" s="3915">
        <f t="shared" si="16"/>
        <v>44774</v>
      </c>
      <c r="G58" s="3915">
        <f t="shared" si="16"/>
        <v>44743</v>
      </c>
      <c r="H58" s="3915">
        <f t="shared" si="16"/>
        <v>44713</v>
      </c>
      <c r="I58" s="3915">
        <f t="shared" si="16"/>
        <v>44682</v>
      </c>
      <c r="J58" s="3915">
        <f t="shared" si="16"/>
        <v>44652</v>
      </c>
      <c r="K58" s="3915">
        <f t="shared" si="16"/>
        <v>44621</v>
      </c>
      <c r="L58" s="3915">
        <f t="shared" si="16"/>
        <v>44593</v>
      </c>
      <c r="M58" s="3915">
        <f t="shared" si="16"/>
        <v>44562</v>
      </c>
      <c r="N58" s="3915">
        <f t="shared" si="16"/>
        <v>44531</v>
      </c>
      <c r="O58" s="3915">
        <f>EDATE(N58,-1)</f>
        <v>44501</v>
      </c>
      <c r="P58" s="3916">
        <f t="shared" ref="P58:AB58" si="17">EDATE(O58,-1)</f>
        <v>44470</v>
      </c>
      <c r="Q58" s="3916">
        <f t="shared" si="17"/>
        <v>44440</v>
      </c>
      <c r="R58" s="3916">
        <f t="shared" si="17"/>
        <v>44409</v>
      </c>
      <c r="S58" s="3916">
        <f t="shared" si="17"/>
        <v>44378</v>
      </c>
      <c r="T58" s="3916">
        <f t="shared" si="17"/>
        <v>44348</v>
      </c>
      <c r="U58" s="3916">
        <f t="shared" si="17"/>
        <v>44317</v>
      </c>
      <c r="V58" s="3916">
        <f t="shared" si="17"/>
        <v>44287</v>
      </c>
      <c r="W58" s="3916">
        <f t="shared" si="17"/>
        <v>44256</v>
      </c>
      <c r="X58" s="3916">
        <f t="shared" si="17"/>
        <v>44228</v>
      </c>
      <c r="Y58" s="3916">
        <f t="shared" si="17"/>
        <v>44197</v>
      </c>
      <c r="Z58" s="3916">
        <f t="shared" si="17"/>
        <v>44166</v>
      </c>
      <c r="AA58" s="3916">
        <f t="shared" si="17"/>
        <v>44136</v>
      </c>
      <c r="AB58" s="3916">
        <f t="shared" si="17"/>
        <v>44105</v>
      </c>
      <c r="AC58" s="3917"/>
    </row>
    <row r="59" spans="1:29" s="3737" customFormat="1" ht="15">
      <c r="A59" s="3919"/>
      <c r="B59" s="3920"/>
      <c r="C59" s="3921">
        <v>100</v>
      </c>
      <c r="D59" s="3922">
        <v>100</v>
      </c>
      <c r="E59" s="3922">
        <v>100</v>
      </c>
      <c r="F59" s="3922">
        <v>100</v>
      </c>
      <c r="G59" s="3922">
        <v>100</v>
      </c>
      <c r="H59" s="3922">
        <v>100</v>
      </c>
      <c r="I59" s="3922">
        <v>100</v>
      </c>
      <c r="J59" s="3922">
        <v>100</v>
      </c>
      <c r="K59" s="3922">
        <v>100</v>
      </c>
      <c r="L59" s="3922">
        <v>100</v>
      </c>
      <c r="M59" s="3923">
        <v>100</v>
      </c>
      <c r="N59" s="3922">
        <v>100</v>
      </c>
      <c r="O59" s="3923">
        <v>100</v>
      </c>
      <c r="P59" s="3924">
        <v>100</v>
      </c>
      <c r="Q59" s="3925">
        <v>100</v>
      </c>
      <c r="R59" s="3925">
        <v>100</v>
      </c>
      <c r="S59" s="3925">
        <v>100</v>
      </c>
      <c r="T59" s="3925">
        <v>100</v>
      </c>
      <c r="U59" s="3925">
        <v>100</v>
      </c>
      <c r="V59" s="3925">
        <v>100</v>
      </c>
      <c r="W59" s="3925">
        <v>100</v>
      </c>
      <c r="X59" s="3925">
        <v>100</v>
      </c>
      <c r="Y59" s="3925">
        <v>100</v>
      </c>
      <c r="Z59" s="3925">
        <v>100</v>
      </c>
      <c r="AA59" s="3925"/>
      <c r="AB59" s="3925"/>
      <c r="AC59" s="3925"/>
    </row>
    <row r="60" spans="1:29" s="3737" customFormat="1" ht="15.75" thickBot="1">
      <c r="A60" s="3926" t="s">
        <v>3462</v>
      </c>
      <c r="B60" s="3927"/>
      <c r="C60" s="3928"/>
      <c r="D60" s="3929"/>
      <c r="E60" s="3929"/>
      <c r="F60" s="3929"/>
      <c r="G60" s="3929"/>
      <c r="H60" s="3929"/>
      <c r="I60" s="3929"/>
      <c r="J60" s="3929"/>
      <c r="K60" s="3929"/>
      <c r="L60" s="3929"/>
      <c r="M60" s="3930"/>
      <c r="N60" s="3929"/>
      <c r="O60" s="3930"/>
      <c r="P60" s="3931"/>
      <c r="Q60" s="3911"/>
      <c r="R60" s="3925"/>
      <c r="S60" s="3925"/>
      <c r="T60" s="3925"/>
      <c r="U60" s="3925"/>
      <c r="V60" s="3925"/>
      <c r="W60" s="3925"/>
      <c r="X60" s="3925"/>
      <c r="Y60" s="3925"/>
      <c r="Z60" s="3925"/>
      <c r="AA60" s="3925"/>
      <c r="AB60" s="3925"/>
      <c r="AC60" s="3925"/>
    </row>
    <row r="61" spans="1:29" s="3737" customFormat="1" ht="15">
      <c r="A61" s="3932" t="s">
        <v>3463</v>
      </c>
      <c r="B61" s="3920"/>
      <c r="C61" s="3933" t="s">
        <v>3464</v>
      </c>
      <c r="D61" s="3934"/>
      <c r="E61" s="3934"/>
      <c r="F61" s="3934"/>
      <c r="G61" s="3934"/>
      <c r="H61" s="3934"/>
      <c r="I61" s="3934"/>
      <c r="J61" s="3934"/>
      <c r="K61" s="3934"/>
      <c r="L61" s="3935"/>
      <c r="M61" s="3936"/>
      <c r="N61" s="3937"/>
      <c r="O61" s="3937"/>
      <c r="P61" s="3938"/>
      <c r="Q61" s="3911"/>
      <c r="R61" s="3925"/>
      <c r="S61" s="3925"/>
      <c r="T61" s="3925"/>
      <c r="U61" s="3925"/>
      <c r="V61" s="3925"/>
      <c r="W61" s="3925"/>
      <c r="X61" s="3925"/>
      <c r="Y61" s="3925"/>
      <c r="Z61" s="3925"/>
      <c r="AA61" s="3925"/>
      <c r="AB61" s="3925"/>
      <c r="AC61" s="3925"/>
    </row>
    <row r="62" spans="1:29" s="3737" customFormat="1" ht="15.75" thickBot="1">
      <c r="A62" s="3932"/>
      <c r="B62" s="3920"/>
      <c r="C62" s="3939">
        <v>100</v>
      </c>
      <c r="D62" s="3922"/>
      <c r="E62" s="3922"/>
      <c r="F62" s="3922"/>
      <c r="G62" s="3922"/>
      <c r="H62" s="3922"/>
      <c r="I62" s="3922"/>
      <c r="J62" s="3922"/>
      <c r="K62" s="3922"/>
      <c r="L62" s="3922"/>
      <c r="M62" s="3940"/>
      <c r="N62" s="3937"/>
      <c r="O62" s="3937"/>
      <c r="P62" s="3931"/>
      <c r="Q62" s="3911"/>
      <c r="R62" s="3925"/>
      <c r="S62" s="3925"/>
      <c r="T62" s="3925"/>
      <c r="U62" s="3925"/>
      <c r="V62" s="3925"/>
      <c r="W62" s="3925"/>
      <c r="X62" s="3925"/>
      <c r="Y62" s="3925"/>
      <c r="Z62" s="3925"/>
      <c r="AA62" s="3925"/>
      <c r="AB62" s="3925"/>
      <c r="AC62" s="3925"/>
    </row>
    <row r="63" spans="1:29">
      <c r="A63" s="3941" t="s">
        <v>3465</v>
      </c>
      <c r="B63" s="3942" t="s">
        <v>3466</v>
      </c>
      <c r="C63" s="3943" t="str">
        <f>C9</f>
        <v>商业</v>
      </c>
      <c r="D63" s="3944" t="s">
        <v>3467</v>
      </c>
      <c r="E63" s="3944" t="s">
        <v>3468</v>
      </c>
      <c r="F63" s="3945"/>
      <c r="G63" s="3945"/>
      <c r="H63" s="3945"/>
      <c r="I63" s="3945"/>
      <c r="J63" s="3945"/>
      <c r="K63" s="3946"/>
      <c r="L63" s="3947"/>
      <c r="M63" s="3948"/>
      <c r="N63" s="3949"/>
      <c r="O63" s="3949"/>
      <c r="P63" s="3950"/>
      <c r="Q63" s="3911"/>
      <c r="R63" s="3869"/>
      <c r="S63" s="3869"/>
      <c r="T63" s="3869"/>
      <c r="U63" s="3869"/>
      <c r="V63" s="3869"/>
      <c r="W63" s="3869"/>
      <c r="X63" s="3869"/>
      <c r="Y63" s="3869"/>
      <c r="Z63" s="3869"/>
      <c r="AA63" s="3869"/>
      <c r="AB63" s="3869"/>
      <c r="AC63" s="3869"/>
    </row>
    <row r="64" spans="1:29" ht="15.75" thickBot="1">
      <c r="A64" s="3951"/>
      <c r="B64" s="3952"/>
      <c r="C64" s="3953">
        <v>100</v>
      </c>
      <c r="D64" s="3953">
        <v>95</v>
      </c>
      <c r="E64" s="3953">
        <v>90</v>
      </c>
      <c r="F64" s="3953"/>
      <c r="G64" s="3953"/>
      <c r="H64" s="3953"/>
      <c r="I64" s="3953"/>
      <c r="J64" s="3953"/>
      <c r="K64" s="3953"/>
      <c r="L64" s="3953"/>
      <c r="M64" s="3954"/>
      <c r="N64" s="3955"/>
      <c r="O64" s="3955"/>
      <c r="P64" s="3950"/>
      <c r="Q64" s="3911"/>
      <c r="R64" s="3869"/>
      <c r="S64" s="3869"/>
      <c r="T64" s="3869"/>
      <c r="U64" s="3869"/>
      <c r="V64" s="3869"/>
      <c r="W64" s="3869"/>
      <c r="X64" s="3869"/>
      <c r="Y64" s="3869"/>
      <c r="Z64" s="3869"/>
      <c r="AA64" s="3869"/>
      <c r="AB64" s="3869"/>
      <c r="AC64" s="3869"/>
    </row>
    <row r="65" spans="1:29" ht="27.75" thickTop="1">
      <c r="A65" s="3951"/>
      <c r="B65" s="3956" t="s">
        <v>3469</v>
      </c>
      <c r="C65" s="3957" t="s">
        <v>3470</v>
      </c>
      <c r="D65" s="3957" t="s">
        <v>3471</v>
      </c>
      <c r="E65" s="3957" t="s">
        <v>3472</v>
      </c>
      <c r="F65" s="3957" t="s">
        <v>3473</v>
      </c>
      <c r="G65" s="3957" t="s">
        <v>3474</v>
      </c>
      <c r="H65" s="3957" t="s">
        <v>3475</v>
      </c>
      <c r="I65" s="3957" t="s">
        <v>3476</v>
      </c>
      <c r="J65" s="3957"/>
      <c r="K65" s="3958"/>
      <c r="L65" s="3959"/>
      <c r="M65" s="3960"/>
      <c r="N65" s="3949"/>
      <c r="O65" s="3949"/>
      <c r="P65" s="3950"/>
      <c r="Q65" s="3911"/>
      <c r="R65" s="3869"/>
      <c r="S65" s="3869"/>
      <c r="T65" s="3869"/>
      <c r="U65" s="3869"/>
      <c r="V65" s="3869"/>
      <c r="W65" s="3869"/>
      <c r="X65" s="3869"/>
      <c r="Y65" s="3869"/>
      <c r="Z65" s="3869"/>
      <c r="AA65" s="3869"/>
      <c r="AB65" s="3869"/>
      <c r="AC65" s="3869"/>
    </row>
    <row r="66" spans="1:29" ht="15.75" thickBot="1">
      <c r="A66" s="3951"/>
      <c r="B66" s="3961"/>
      <c r="C66" s="3962" t="s">
        <v>3477</v>
      </c>
      <c r="D66" s="3962" t="s">
        <v>3477</v>
      </c>
      <c r="E66" s="3962" t="s">
        <v>3477</v>
      </c>
      <c r="F66" s="3962">
        <v>100</v>
      </c>
      <c r="G66" s="3962">
        <f>F66-$K10</f>
        <v>100</v>
      </c>
      <c r="H66" s="3962">
        <f>G66-$K10</f>
        <v>100</v>
      </c>
      <c r="I66" s="3962">
        <f>H66-$K10</f>
        <v>100</v>
      </c>
      <c r="J66" s="3962"/>
      <c r="K66" s="3962"/>
      <c r="L66" s="3962"/>
      <c r="M66" s="3963"/>
      <c r="N66" s="3955"/>
      <c r="O66" s="3955"/>
      <c r="P66" s="3950"/>
      <c r="Q66" s="3911"/>
      <c r="R66" s="3869"/>
      <c r="S66" s="3869"/>
      <c r="T66" s="3869"/>
      <c r="U66" s="3869"/>
      <c r="V66" s="3869"/>
      <c r="W66" s="3869"/>
      <c r="X66" s="3869"/>
      <c r="Y66" s="3869"/>
      <c r="Z66" s="3869"/>
      <c r="AA66" s="3869"/>
      <c r="AB66" s="3869"/>
      <c r="AC66" s="3869"/>
    </row>
    <row r="67" spans="1:29" ht="15.75" thickTop="1">
      <c r="A67" s="3951"/>
      <c r="B67" s="3964" t="s">
        <v>2138</v>
      </c>
      <c r="C67" s="3965" t="str">
        <f>C68&amp;"（含）"&amp;"-"&amp;D68</f>
        <v>0（含）-1</v>
      </c>
      <c r="D67" s="3965" t="str">
        <f t="shared" ref="D67:L67" si="18">D68&amp;"（含）"&amp;"-"&amp;E68</f>
        <v>1（含）-2</v>
      </c>
      <c r="E67" s="3965" t="str">
        <f t="shared" si="18"/>
        <v>2（含）-3</v>
      </c>
      <c r="F67" s="3965" t="str">
        <f t="shared" si="18"/>
        <v>3（含）-</v>
      </c>
      <c r="G67" s="3965" t="str">
        <f t="shared" si="18"/>
        <v>（含）-</v>
      </c>
      <c r="H67" s="3965" t="str">
        <f t="shared" si="18"/>
        <v>（含）-</v>
      </c>
      <c r="I67" s="3965" t="str">
        <f t="shared" si="18"/>
        <v>（含）-</v>
      </c>
      <c r="J67" s="3965" t="str">
        <f t="shared" si="18"/>
        <v>（含）-</v>
      </c>
      <c r="K67" s="3965" t="str">
        <f t="shared" si="18"/>
        <v>（含）-</v>
      </c>
      <c r="L67" s="3965" t="str">
        <f t="shared" si="18"/>
        <v>（含）-</v>
      </c>
      <c r="M67" s="3794" t="str">
        <f>M68&amp;"（含）"&amp;"-"&amp;P68</f>
        <v>（含）-</v>
      </c>
      <c r="N67" s="3955"/>
      <c r="O67" s="3955"/>
      <c r="P67" s="3950"/>
      <c r="Q67" s="3911"/>
      <c r="R67" s="3869"/>
      <c r="S67" s="3869"/>
      <c r="T67" s="3869"/>
      <c r="U67" s="3869"/>
      <c r="V67" s="3869"/>
      <c r="W67" s="3869"/>
      <c r="X67" s="3869"/>
      <c r="Y67" s="3869"/>
      <c r="Z67" s="3869"/>
      <c r="AA67" s="3869"/>
      <c r="AB67" s="3869"/>
      <c r="AC67" s="3869"/>
    </row>
    <row r="68" spans="1:29" ht="15">
      <c r="A68" s="3951"/>
      <c r="B68" s="3966"/>
      <c r="C68" s="3967">
        <v>0</v>
      </c>
      <c r="D68" s="3967">
        <v>1</v>
      </c>
      <c r="E68" s="3967">
        <v>2</v>
      </c>
      <c r="F68" s="3967">
        <v>3</v>
      </c>
      <c r="G68" s="3967"/>
      <c r="H68" s="3967"/>
      <c r="I68" s="3967"/>
      <c r="J68" s="3967"/>
      <c r="K68" s="3968"/>
      <c r="L68" s="3969"/>
      <c r="M68" s="3970"/>
      <c r="N68" s="3949"/>
      <c r="O68" s="3949"/>
      <c r="P68" s="3950"/>
      <c r="Q68" s="3911"/>
      <c r="R68" s="3869"/>
      <c r="S68" s="3869"/>
      <c r="T68" s="3869"/>
      <c r="U68" s="3869"/>
      <c r="V68" s="3869"/>
      <c r="W68" s="3869"/>
      <c r="X68" s="3869"/>
      <c r="Y68" s="3869"/>
      <c r="Z68" s="3869"/>
      <c r="AA68" s="3869"/>
      <c r="AB68" s="3869"/>
      <c r="AC68" s="3869"/>
    </row>
    <row r="69" spans="1:29" ht="15.75" thickBot="1">
      <c r="A69" s="3951"/>
      <c r="B69" s="3952"/>
      <c r="C69" s="3962">
        <v>100</v>
      </c>
      <c r="D69" s="3962">
        <f t="shared" ref="D69:M69" si="19">C69-$K11</f>
        <v>100</v>
      </c>
      <c r="E69" s="3962">
        <f t="shared" si="19"/>
        <v>100</v>
      </c>
      <c r="F69" s="3962">
        <f t="shared" si="19"/>
        <v>100</v>
      </c>
      <c r="G69" s="3962">
        <f t="shared" si="19"/>
        <v>100</v>
      </c>
      <c r="H69" s="3962">
        <f t="shared" si="19"/>
        <v>100</v>
      </c>
      <c r="I69" s="3962">
        <f t="shared" si="19"/>
        <v>100</v>
      </c>
      <c r="J69" s="3962">
        <f t="shared" si="19"/>
        <v>100</v>
      </c>
      <c r="K69" s="3962">
        <f t="shared" si="19"/>
        <v>100</v>
      </c>
      <c r="L69" s="3962">
        <f t="shared" si="19"/>
        <v>100</v>
      </c>
      <c r="M69" s="3963">
        <f t="shared" si="19"/>
        <v>100</v>
      </c>
      <c r="N69" s="3955"/>
      <c r="O69" s="3955"/>
      <c r="P69" s="3950"/>
      <c r="Q69" s="3911"/>
      <c r="R69" s="3869"/>
      <c r="S69" s="3869"/>
      <c r="T69" s="3869"/>
      <c r="U69" s="3869"/>
      <c r="V69" s="3869"/>
      <c r="W69" s="3869"/>
      <c r="X69" s="3869"/>
      <c r="Y69" s="3869"/>
      <c r="Z69" s="3869"/>
      <c r="AA69" s="3869"/>
      <c r="AB69" s="3869"/>
      <c r="AC69" s="3869"/>
    </row>
    <row r="70" spans="1:29" s="3843" customFormat="1" ht="15.75" thickTop="1">
      <c r="A70" s="3971"/>
      <c r="B70" s="3956">
        <f>B12</f>
        <v>111</v>
      </c>
      <c r="C70" s="3972"/>
      <c r="D70" s="3972"/>
      <c r="E70" s="3972"/>
      <c r="F70" s="3972"/>
      <c r="G70" s="3972"/>
      <c r="H70" s="3973"/>
      <c r="I70" s="3973"/>
      <c r="J70" s="3973"/>
      <c r="K70" s="3973"/>
      <c r="L70" s="3974"/>
      <c r="M70" s="3975"/>
      <c r="N70" s="3976"/>
      <c r="O70" s="3976"/>
      <c r="P70" s="3977"/>
      <c r="Q70" s="3978"/>
      <c r="R70" s="3979"/>
      <c r="S70" s="3979"/>
      <c r="T70" s="3979"/>
      <c r="U70" s="3979"/>
      <c r="V70" s="3979"/>
      <c r="W70" s="3979"/>
      <c r="X70" s="3979"/>
      <c r="Y70" s="3979"/>
      <c r="Z70" s="3979"/>
      <c r="AA70" s="3979"/>
      <c r="AB70" s="3979"/>
      <c r="AC70" s="3979"/>
    </row>
    <row r="71" spans="1:29" s="3843" customFormat="1" ht="15.75" thickBot="1">
      <c r="A71" s="3971"/>
      <c r="B71" s="3961"/>
      <c r="C71" s="3980"/>
      <c r="D71" s="3953"/>
      <c r="E71" s="3953"/>
      <c r="F71" s="3953"/>
      <c r="G71" s="3953"/>
      <c r="H71" s="3953"/>
      <c r="I71" s="3953"/>
      <c r="J71" s="3953"/>
      <c r="K71" s="3953"/>
      <c r="L71" s="3953"/>
      <c r="M71" s="3954"/>
      <c r="N71" s="3955"/>
      <c r="O71" s="3955"/>
      <c r="P71" s="3977"/>
      <c r="Q71" s="3978"/>
      <c r="R71" s="3979"/>
      <c r="S71" s="3979"/>
      <c r="T71" s="3979"/>
      <c r="U71" s="3979"/>
      <c r="V71" s="3979"/>
      <c r="W71" s="3979"/>
      <c r="X71" s="3979"/>
      <c r="Y71" s="3979"/>
      <c r="Z71" s="3979"/>
      <c r="AA71" s="3979"/>
      <c r="AB71" s="3979"/>
      <c r="AC71" s="3979"/>
    </row>
    <row r="72" spans="1:29" s="3843" customFormat="1" ht="15.75" thickTop="1">
      <c r="A72" s="3971"/>
      <c r="B72" s="3956">
        <f>B13</f>
        <v>111</v>
      </c>
      <c r="C72" s="3972"/>
      <c r="D72" s="3972"/>
      <c r="E72" s="3972"/>
      <c r="F72" s="3972"/>
      <c r="G72" s="3972"/>
      <c r="H72" s="3973"/>
      <c r="I72" s="3973"/>
      <c r="J72" s="3973"/>
      <c r="K72" s="3973"/>
      <c r="L72" s="3974"/>
      <c r="M72" s="3975"/>
      <c r="N72" s="3976"/>
      <c r="O72" s="3976"/>
      <c r="P72" s="3981"/>
      <c r="Q72" s="3982"/>
      <c r="R72" s="3979"/>
      <c r="S72" s="3979"/>
      <c r="T72" s="3979"/>
      <c r="U72" s="3979"/>
      <c r="V72" s="3979"/>
      <c r="W72" s="3979"/>
      <c r="X72" s="3979"/>
      <c r="Y72" s="3979"/>
      <c r="Z72" s="3979"/>
      <c r="AA72" s="3979"/>
      <c r="AB72" s="3979"/>
      <c r="AC72" s="3979"/>
    </row>
    <row r="73" spans="1:29" s="3843" customFormat="1" ht="15.75" thickBot="1">
      <c r="A73" s="3971"/>
      <c r="B73" s="3961"/>
      <c r="C73" s="3980"/>
      <c r="D73" s="3953"/>
      <c r="E73" s="3953"/>
      <c r="F73" s="3953"/>
      <c r="G73" s="3980"/>
      <c r="H73" s="3983"/>
      <c r="I73" s="3983"/>
      <c r="J73" s="3983"/>
      <c r="K73" s="3983"/>
      <c r="L73" s="3983"/>
      <c r="M73" s="3984"/>
      <c r="N73" s="3976"/>
      <c r="O73" s="3976"/>
      <c r="P73" s="3977"/>
      <c r="Q73" s="3978"/>
      <c r="R73" s="3979"/>
      <c r="S73" s="3979"/>
      <c r="T73" s="3979"/>
      <c r="U73" s="3979"/>
      <c r="V73" s="3979"/>
      <c r="W73" s="3979"/>
      <c r="X73" s="3979"/>
      <c r="Y73" s="3979"/>
      <c r="Z73" s="3979"/>
      <c r="AA73" s="3979"/>
      <c r="AB73" s="3979"/>
      <c r="AC73" s="3979"/>
    </row>
    <row r="74" spans="1:29" s="3843" customFormat="1" ht="15.75" thickTop="1">
      <c r="A74" s="3971"/>
      <c r="B74" s="3964">
        <f>B14</f>
        <v>111</v>
      </c>
      <c r="C74" s="3972"/>
      <c r="D74" s="3972"/>
      <c r="E74" s="3972"/>
      <c r="F74" s="3972"/>
      <c r="G74" s="3934"/>
      <c r="H74" s="3985"/>
      <c r="I74" s="3985"/>
      <c r="J74" s="3985"/>
      <c r="K74" s="3985"/>
      <c r="L74" s="3986"/>
      <c r="M74" s="3987"/>
      <c r="N74" s="3976"/>
      <c r="O74" s="3976"/>
      <c r="P74" s="3988"/>
      <c r="Q74" s="3978"/>
      <c r="R74" s="3979"/>
      <c r="S74" s="3979"/>
      <c r="T74" s="3979"/>
      <c r="U74" s="3979"/>
      <c r="V74" s="3979"/>
      <c r="W74" s="3979"/>
      <c r="X74" s="3979"/>
      <c r="Y74" s="3979"/>
      <c r="Z74" s="3979"/>
      <c r="AA74" s="3979"/>
      <c r="AB74" s="3979"/>
      <c r="AC74" s="3979"/>
    </row>
    <row r="75" spans="1:29" s="3843" customFormat="1" ht="15.75" thickBot="1">
      <c r="A75" s="3989"/>
      <c r="B75" s="3990"/>
      <c r="C75" s="3991"/>
      <c r="D75" s="3991"/>
      <c r="E75" s="3991"/>
      <c r="F75" s="3991"/>
      <c r="G75" s="3991"/>
      <c r="H75" s="3992"/>
      <c r="I75" s="3992"/>
      <c r="J75" s="3992"/>
      <c r="K75" s="3992"/>
      <c r="L75" s="3992"/>
      <c r="M75" s="3993"/>
      <c r="N75" s="3976"/>
      <c r="O75" s="3976"/>
      <c r="P75" s="3977"/>
      <c r="Q75" s="3978"/>
      <c r="R75" s="3979"/>
      <c r="S75" s="3979"/>
      <c r="T75" s="3979"/>
      <c r="U75" s="3979"/>
      <c r="V75" s="3979"/>
      <c r="W75" s="3979"/>
      <c r="X75" s="3979"/>
      <c r="Y75" s="3979"/>
      <c r="Z75" s="3979"/>
      <c r="AA75" s="3979"/>
      <c r="AB75" s="3979"/>
      <c r="AC75" s="3979"/>
    </row>
    <row r="76" spans="1:29">
      <c r="A76" s="3941" t="s">
        <v>3478</v>
      </c>
      <c r="B76" s="3942" t="s">
        <v>3479</v>
      </c>
      <c r="C76" s="3994" t="s">
        <v>3480</v>
      </c>
      <c r="D76" s="3994" t="s">
        <v>3481</v>
      </c>
      <c r="E76" s="3994" t="s">
        <v>3482</v>
      </c>
      <c r="F76" s="3994" t="s">
        <v>3483</v>
      </c>
      <c r="G76" s="3994" t="s">
        <v>3484</v>
      </c>
      <c r="H76" s="3943"/>
      <c r="I76" s="3943"/>
      <c r="J76" s="3943"/>
      <c r="K76" s="3995"/>
      <c r="L76" s="3996"/>
      <c r="M76" s="3997"/>
      <c r="N76" s="3949"/>
      <c r="O76" s="3949"/>
      <c r="P76" s="3998"/>
      <c r="Q76" s="3911"/>
      <c r="R76" s="3869"/>
      <c r="S76" s="3869"/>
      <c r="T76" s="3869"/>
      <c r="U76" s="3869"/>
      <c r="V76" s="3869"/>
      <c r="W76" s="3869"/>
      <c r="X76" s="3869"/>
      <c r="Y76" s="3869"/>
      <c r="Z76" s="3869"/>
      <c r="AA76" s="3869"/>
      <c r="AB76" s="3869"/>
      <c r="AC76" s="3869"/>
    </row>
    <row r="77" spans="1:29" ht="15.75" thickBot="1">
      <c r="A77" s="3951"/>
      <c r="B77" s="3961"/>
      <c r="C77" s="3962">
        <v>100</v>
      </c>
      <c r="D77" s="3962">
        <f>C77-$K15</f>
        <v>97</v>
      </c>
      <c r="E77" s="3962">
        <f>D77-$K15</f>
        <v>94</v>
      </c>
      <c r="F77" s="3962">
        <f>E77-$K15</f>
        <v>91</v>
      </c>
      <c r="G77" s="3962">
        <f>F77-$K15</f>
        <v>88</v>
      </c>
      <c r="H77" s="3962"/>
      <c r="I77" s="3962"/>
      <c r="J77" s="3962"/>
      <c r="K77" s="3962"/>
      <c r="L77" s="3962"/>
      <c r="M77" s="3963"/>
      <c r="N77" s="3955"/>
      <c r="O77" s="3955"/>
      <c r="P77" s="3950"/>
      <c r="Q77" s="3911"/>
      <c r="R77" s="3869"/>
      <c r="S77" s="3869"/>
      <c r="T77" s="3869"/>
      <c r="U77" s="3869"/>
      <c r="V77" s="3869"/>
      <c r="W77" s="3869"/>
      <c r="X77" s="3869"/>
      <c r="Y77" s="3869"/>
      <c r="Z77" s="3869"/>
      <c r="AA77" s="3869"/>
      <c r="AB77" s="3869"/>
      <c r="AC77" s="3869"/>
    </row>
    <row r="78" spans="1:29" ht="15.75" thickTop="1">
      <c r="A78" s="3951"/>
      <c r="B78" s="3956" t="s">
        <v>3485</v>
      </c>
      <c r="C78" s="3999" t="s">
        <v>3480</v>
      </c>
      <c r="D78" s="3999" t="s">
        <v>3481</v>
      </c>
      <c r="E78" s="3999" t="s">
        <v>3482</v>
      </c>
      <c r="F78" s="3999" t="s">
        <v>3483</v>
      </c>
      <c r="G78" s="3999" t="s">
        <v>3484</v>
      </c>
      <c r="H78" s="3957"/>
      <c r="I78" s="3957"/>
      <c r="J78" s="3957"/>
      <c r="K78" s="3958"/>
      <c r="L78" s="3959"/>
      <c r="M78" s="3960"/>
      <c r="N78" s="3949"/>
      <c r="O78" s="3949"/>
      <c r="P78" s="3950"/>
      <c r="Q78" s="3911"/>
      <c r="R78" s="3869"/>
      <c r="S78" s="3869"/>
      <c r="T78" s="3869"/>
      <c r="U78" s="3869"/>
      <c r="V78" s="3869"/>
      <c r="W78" s="3869"/>
      <c r="X78" s="3869"/>
      <c r="Y78" s="3869"/>
      <c r="Z78" s="3869"/>
      <c r="AA78" s="3869"/>
      <c r="AB78" s="3869"/>
      <c r="AC78" s="3869"/>
    </row>
    <row r="79" spans="1:29" ht="15.75" thickBot="1">
      <c r="A79" s="3951"/>
      <c r="B79" s="3961"/>
      <c r="C79" s="3962">
        <v>100</v>
      </c>
      <c r="D79" s="3962">
        <f>C79-$K17</f>
        <v>100</v>
      </c>
      <c r="E79" s="3962">
        <f>D79-$K17</f>
        <v>100</v>
      </c>
      <c r="F79" s="3962">
        <f>E79-$K17</f>
        <v>100</v>
      </c>
      <c r="G79" s="3962">
        <f>F79-$K17</f>
        <v>100</v>
      </c>
      <c r="H79" s="3962"/>
      <c r="I79" s="3962"/>
      <c r="J79" s="3962"/>
      <c r="K79" s="3962"/>
      <c r="L79" s="3962"/>
      <c r="M79" s="3963"/>
      <c r="N79" s="3955"/>
      <c r="O79" s="3955"/>
      <c r="P79" s="3950"/>
      <c r="Q79" s="3911"/>
      <c r="R79" s="3869"/>
      <c r="S79" s="3869"/>
      <c r="T79" s="3869"/>
      <c r="U79" s="3869"/>
      <c r="V79" s="3869"/>
      <c r="W79" s="3869"/>
      <c r="X79" s="3869"/>
      <c r="Y79" s="3869"/>
      <c r="Z79" s="3869"/>
      <c r="AA79" s="3869"/>
      <c r="AB79" s="3869"/>
      <c r="AC79" s="3869"/>
    </row>
    <row r="80" spans="1:29" ht="15.75" thickTop="1">
      <c r="A80" s="3951"/>
      <c r="B80" s="3956" t="s">
        <v>3486</v>
      </c>
      <c r="C80" s="3999" t="s">
        <v>3480</v>
      </c>
      <c r="D80" s="3999" t="s">
        <v>3481</v>
      </c>
      <c r="E80" s="3999" t="s">
        <v>3482</v>
      </c>
      <c r="F80" s="3999" t="s">
        <v>3483</v>
      </c>
      <c r="G80" s="3999" t="s">
        <v>3484</v>
      </c>
      <c r="H80" s="3957"/>
      <c r="I80" s="3957"/>
      <c r="J80" s="3957"/>
      <c r="K80" s="3958"/>
      <c r="L80" s="3959"/>
      <c r="M80" s="3960"/>
      <c r="N80" s="3949"/>
      <c r="O80" s="3949"/>
      <c r="P80" s="3950"/>
      <c r="Q80" s="3911"/>
      <c r="R80" s="3869"/>
      <c r="S80" s="3869"/>
      <c r="T80" s="3869"/>
      <c r="U80" s="3869"/>
      <c r="V80" s="3869"/>
      <c r="W80" s="3869"/>
      <c r="X80" s="3869"/>
      <c r="Y80" s="3869"/>
      <c r="Z80" s="3869"/>
      <c r="AA80" s="3869"/>
      <c r="AB80" s="3869"/>
      <c r="AC80" s="3869"/>
    </row>
    <row r="81" spans="1:29" ht="15.75" thickBot="1">
      <c r="A81" s="3951"/>
      <c r="B81" s="3961"/>
      <c r="C81" s="3962">
        <v>100</v>
      </c>
      <c r="D81" s="3962">
        <f>C81-$K19</f>
        <v>100</v>
      </c>
      <c r="E81" s="3962">
        <f>D81-$K19</f>
        <v>100</v>
      </c>
      <c r="F81" s="3962">
        <f>E81-$K19</f>
        <v>100</v>
      </c>
      <c r="G81" s="3962">
        <f>F81-$K19</f>
        <v>100</v>
      </c>
      <c r="H81" s="3962"/>
      <c r="I81" s="3962"/>
      <c r="J81" s="3962"/>
      <c r="K81" s="3962"/>
      <c r="L81" s="3962"/>
      <c r="M81" s="3963"/>
      <c r="N81" s="3955"/>
      <c r="O81" s="3955"/>
      <c r="P81" s="3950"/>
      <c r="Q81" s="3911"/>
      <c r="R81" s="3869"/>
      <c r="S81" s="3869"/>
      <c r="T81" s="3869"/>
      <c r="U81" s="3869"/>
      <c r="V81" s="3869"/>
      <c r="W81" s="3869"/>
      <c r="X81" s="3869"/>
      <c r="Y81" s="3869"/>
      <c r="Z81" s="3869"/>
      <c r="AA81" s="3869"/>
      <c r="AB81" s="3869"/>
      <c r="AC81" s="3869"/>
    </row>
    <row r="82" spans="1:29" ht="15.75" thickTop="1">
      <c r="A82" s="3951"/>
      <c r="B82" s="3964" t="s">
        <v>3487</v>
      </c>
      <c r="C82" s="4000" t="s">
        <v>3488</v>
      </c>
      <c r="D82" s="4000" t="s">
        <v>3489</v>
      </c>
      <c r="E82" s="4000" t="s">
        <v>3490</v>
      </c>
      <c r="F82" s="4000" t="s">
        <v>3491</v>
      </c>
      <c r="G82" s="4000" t="s">
        <v>3492</v>
      </c>
      <c r="H82" s="3957"/>
      <c r="I82" s="3957"/>
      <c r="J82" s="3957"/>
      <c r="K82" s="3957"/>
      <c r="L82" s="3957"/>
      <c r="M82" s="4001"/>
      <c r="N82" s="3955"/>
      <c r="O82" s="3955"/>
      <c r="P82" s="3950"/>
      <c r="Q82" s="3911"/>
      <c r="R82" s="3869"/>
      <c r="S82" s="3869"/>
      <c r="T82" s="3869"/>
      <c r="U82" s="3869"/>
      <c r="V82" s="3869"/>
      <c r="W82" s="3869"/>
      <c r="X82" s="3869"/>
      <c r="Y82" s="3869"/>
      <c r="Z82" s="3869"/>
      <c r="AA82" s="3869"/>
      <c r="AB82" s="3869"/>
      <c r="AC82" s="3869"/>
    </row>
    <row r="83" spans="1:29" ht="15.75" thickBot="1">
      <c r="A83" s="3951"/>
      <c r="B83" s="3964"/>
      <c r="C83" s="3962">
        <v>100</v>
      </c>
      <c r="D83" s="3962">
        <f>C83-$K21</f>
        <v>100</v>
      </c>
      <c r="E83" s="3962">
        <f t="shared" ref="E83:G83" si="20">D83-$K21</f>
        <v>100</v>
      </c>
      <c r="F83" s="3962">
        <f t="shared" si="20"/>
        <v>100</v>
      </c>
      <c r="G83" s="3962">
        <f t="shared" si="20"/>
        <v>100</v>
      </c>
      <c r="H83" s="4000"/>
      <c r="I83" s="4000"/>
      <c r="J83" s="4000"/>
      <c r="K83" s="4000"/>
      <c r="L83" s="4000"/>
      <c r="M83" s="3796"/>
      <c r="N83" s="3955"/>
      <c r="O83" s="3955"/>
      <c r="P83" s="3950"/>
      <c r="Q83" s="3911"/>
      <c r="R83" s="3869"/>
      <c r="S83" s="3869"/>
      <c r="T83" s="3869"/>
      <c r="U83" s="3869"/>
      <c r="V83" s="3869"/>
      <c r="W83" s="3869"/>
      <c r="X83" s="3869"/>
      <c r="Y83" s="3869"/>
      <c r="Z83" s="3869"/>
      <c r="AA83" s="3869"/>
      <c r="AB83" s="3869"/>
      <c r="AC83" s="3869"/>
    </row>
    <row r="84" spans="1:29" ht="15.75" thickTop="1">
      <c r="A84" s="3951"/>
      <c r="B84" s="3956" t="s">
        <v>3493</v>
      </c>
      <c r="C84" s="3999" t="s">
        <v>3480</v>
      </c>
      <c r="D84" s="3999" t="s">
        <v>3481</v>
      </c>
      <c r="E84" s="3999" t="s">
        <v>3482</v>
      </c>
      <c r="F84" s="3999" t="s">
        <v>3483</v>
      </c>
      <c r="G84" s="3999" t="s">
        <v>3484</v>
      </c>
      <c r="H84" s="3957"/>
      <c r="I84" s="3957"/>
      <c r="J84" s="3957"/>
      <c r="K84" s="3958"/>
      <c r="L84" s="3959"/>
      <c r="M84" s="3960"/>
      <c r="N84" s="3949"/>
      <c r="O84" s="3949"/>
      <c r="P84" s="3950"/>
      <c r="Q84" s="3911"/>
      <c r="R84" s="3869"/>
      <c r="S84" s="3869"/>
      <c r="T84" s="3869"/>
      <c r="U84" s="3869"/>
      <c r="V84" s="3869"/>
      <c r="W84" s="3869"/>
      <c r="X84" s="3869"/>
      <c r="Y84" s="3869"/>
      <c r="Z84" s="3869"/>
      <c r="AA84" s="3869"/>
      <c r="AB84" s="3869"/>
      <c r="AC84" s="3869"/>
    </row>
    <row r="85" spans="1:29" ht="15.75" thickBot="1">
      <c r="A85" s="3951"/>
      <c r="B85" s="3961"/>
      <c r="C85" s="3962">
        <v>100</v>
      </c>
      <c r="D85" s="3962">
        <f>C85-$K23</f>
        <v>100</v>
      </c>
      <c r="E85" s="3962">
        <f>D85-$K23</f>
        <v>100</v>
      </c>
      <c r="F85" s="3962">
        <f>E85-$K23</f>
        <v>100</v>
      </c>
      <c r="G85" s="3962">
        <f>F85-$K23</f>
        <v>100</v>
      </c>
      <c r="H85" s="3962"/>
      <c r="I85" s="3962"/>
      <c r="J85" s="3962"/>
      <c r="K85" s="3962"/>
      <c r="L85" s="3962"/>
      <c r="M85" s="3963"/>
      <c r="N85" s="3955"/>
      <c r="O85" s="3955"/>
      <c r="P85" s="3950"/>
      <c r="Q85" s="3911"/>
      <c r="R85" s="3869"/>
      <c r="S85" s="3869"/>
      <c r="T85" s="3869"/>
      <c r="U85" s="3869"/>
      <c r="V85" s="3869"/>
      <c r="W85" s="3869"/>
      <c r="X85" s="3869"/>
      <c r="Y85" s="3869"/>
      <c r="Z85" s="3869"/>
      <c r="AA85" s="3869"/>
      <c r="AB85" s="3869"/>
      <c r="AC85" s="3869"/>
    </row>
    <row r="86" spans="1:29" s="3737" customFormat="1" ht="15.75" thickTop="1">
      <c r="A86" s="4002"/>
      <c r="B86" s="3956" t="s">
        <v>3494</v>
      </c>
      <c r="C86" s="4003" t="s">
        <v>3495</v>
      </c>
      <c r="D86" s="4003" t="s">
        <v>3496</v>
      </c>
      <c r="E86" s="4003" t="s">
        <v>3497</v>
      </c>
      <c r="F86" s="3972"/>
      <c r="G86" s="3972"/>
      <c r="H86" s="3972"/>
      <c r="I86" s="3972"/>
      <c r="J86" s="3972"/>
      <c r="K86" s="3972"/>
      <c r="L86" s="4004"/>
      <c r="M86" s="4005"/>
      <c r="N86" s="3937"/>
      <c r="O86" s="3937"/>
      <c r="P86" s="3950"/>
      <c r="Q86" s="3911"/>
      <c r="R86" s="3925"/>
      <c r="S86" s="3925"/>
      <c r="T86" s="3925"/>
      <c r="U86" s="3925"/>
      <c r="V86" s="3925"/>
      <c r="W86" s="3925"/>
      <c r="X86" s="3925"/>
      <c r="Y86" s="3925"/>
      <c r="Z86" s="3925"/>
      <c r="AA86" s="3925"/>
      <c r="AB86" s="3925"/>
      <c r="AC86" s="3925"/>
    </row>
    <row r="87" spans="1:29" s="3737" customFormat="1" ht="15.75" thickBot="1">
      <c r="A87" s="4002"/>
      <c r="B87" s="3961"/>
      <c r="C87" s="4006">
        <v>100</v>
      </c>
      <c r="D87" s="3962">
        <f t="shared" ref="D87:M87" si="21">C87-$K25</f>
        <v>98</v>
      </c>
      <c r="E87" s="3962">
        <f t="shared" si="21"/>
        <v>96</v>
      </c>
      <c r="F87" s="3962">
        <f t="shared" si="21"/>
        <v>94</v>
      </c>
      <c r="G87" s="3962">
        <f t="shared" si="21"/>
        <v>92</v>
      </c>
      <c r="H87" s="3962">
        <f t="shared" si="21"/>
        <v>90</v>
      </c>
      <c r="I87" s="3962">
        <f t="shared" si="21"/>
        <v>88</v>
      </c>
      <c r="J87" s="3962">
        <f t="shared" si="21"/>
        <v>86</v>
      </c>
      <c r="K87" s="3962">
        <f t="shared" si="21"/>
        <v>84</v>
      </c>
      <c r="L87" s="3962">
        <f t="shared" si="21"/>
        <v>82</v>
      </c>
      <c r="M87" s="3962">
        <f t="shared" si="21"/>
        <v>80</v>
      </c>
      <c r="N87" s="3955"/>
      <c r="O87" s="3955"/>
      <c r="P87" s="3950"/>
      <c r="Q87" s="3911"/>
      <c r="R87" s="3925"/>
      <c r="S87" s="3925"/>
      <c r="T87" s="3925"/>
      <c r="U87" s="3925"/>
      <c r="V87" s="3925"/>
      <c r="W87" s="3925"/>
      <c r="X87" s="3925"/>
      <c r="Y87" s="3925"/>
      <c r="Z87" s="3925"/>
      <c r="AA87" s="3925"/>
      <c r="AB87" s="3925"/>
      <c r="AC87" s="3925"/>
    </row>
    <row r="88" spans="1:29" s="3737" customFormat="1" ht="15.75" thickTop="1">
      <c r="A88" s="4002"/>
      <c r="B88" s="3956" t="str">
        <f>B26</f>
        <v>平面位置/可视性</v>
      </c>
      <c r="C88" s="3972"/>
      <c r="D88" s="3972"/>
      <c r="E88" s="3972"/>
      <c r="F88" s="4007"/>
      <c r="G88" s="3972"/>
      <c r="H88" s="3972"/>
      <c r="I88" s="3972"/>
      <c r="J88" s="3972"/>
      <c r="K88" s="3972"/>
      <c r="L88" s="3972"/>
      <c r="M88" s="4005"/>
      <c r="N88" s="3937"/>
      <c r="O88" s="3937"/>
      <c r="P88" s="3950"/>
      <c r="Q88" s="3911"/>
      <c r="R88" s="3925"/>
      <c r="S88" s="3925"/>
      <c r="T88" s="3925"/>
      <c r="U88" s="3925"/>
      <c r="V88" s="3925"/>
      <c r="W88" s="3925"/>
      <c r="X88" s="3925"/>
      <c r="Y88" s="3925"/>
      <c r="Z88" s="3925"/>
      <c r="AA88" s="3925"/>
      <c r="AB88" s="3925"/>
      <c r="AC88" s="3925"/>
    </row>
    <row r="89" spans="1:29" s="3737" customFormat="1" ht="15.75" thickBot="1">
      <c r="A89" s="4002"/>
      <c r="B89" s="3961"/>
      <c r="C89" s="3980"/>
      <c r="D89" s="3953"/>
      <c r="E89" s="3953"/>
      <c r="F89" s="3953"/>
      <c r="G89" s="3953"/>
      <c r="H89" s="3953"/>
      <c r="I89" s="3953"/>
      <c r="J89" s="3953"/>
      <c r="K89" s="3953"/>
      <c r="L89" s="3953"/>
      <c r="M89" s="3953"/>
      <c r="N89" s="3955"/>
      <c r="O89" s="3955"/>
      <c r="P89" s="3950"/>
      <c r="Q89" s="3911"/>
      <c r="R89" s="3925"/>
      <c r="S89" s="3925"/>
      <c r="T89" s="3925"/>
      <c r="U89" s="3925"/>
      <c r="V89" s="3925"/>
      <c r="W89" s="3925"/>
      <c r="X89" s="3925"/>
      <c r="Y89" s="3925"/>
      <c r="Z89" s="3925"/>
      <c r="AA89" s="3925"/>
      <c r="AB89" s="3925"/>
      <c r="AC89" s="3925"/>
    </row>
    <row r="90" spans="1:29" s="3843" customFormat="1" ht="15.75" thickTop="1">
      <c r="A90" s="3971"/>
      <c r="B90" s="3956" t="str">
        <f>B27</f>
        <v>人流量</v>
      </c>
      <c r="C90" s="4003" t="s">
        <v>3498</v>
      </c>
      <c r="D90" s="4003" t="s">
        <v>3499</v>
      </c>
      <c r="E90" s="4003" t="s">
        <v>3500</v>
      </c>
      <c r="F90" s="3972"/>
      <c r="G90" s="3972"/>
      <c r="H90" s="3973"/>
      <c r="I90" s="3973"/>
      <c r="J90" s="3973"/>
      <c r="K90" s="3973"/>
      <c r="L90" s="3974"/>
      <c r="M90" s="3975"/>
      <c r="N90" s="3976"/>
      <c r="O90" s="3976"/>
      <c r="P90" s="3977"/>
      <c r="Q90" s="3978"/>
      <c r="R90" s="3979"/>
      <c r="S90" s="3979"/>
      <c r="T90" s="3979"/>
      <c r="U90" s="3979"/>
      <c r="V90" s="3979"/>
      <c r="W90" s="3979"/>
      <c r="X90" s="3979"/>
      <c r="Y90" s="3979"/>
      <c r="Z90" s="3979"/>
      <c r="AA90" s="3979"/>
      <c r="AB90" s="3979"/>
      <c r="AC90" s="3979"/>
    </row>
    <row r="91" spans="1:29" s="3843" customFormat="1" ht="15.75" thickBot="1">
      <c r="A91" s="3971"/>
      <c r="B91" s="3961"/>
      <c r="C91" s="4006">
        <v>100</v>
      </c>
      <c r="D91" s="3962">
        <f>C91-$K27</f>
        <v>97</v>
      </c>
      <c r="E91" s="3962">
        <f t="shared" ref="E91:M91" si="22">D91-$K27</f>
        <v>94</v>
      </c>
      <c r="F91" s="3962">
        <f t="shared" si="22"/>
        <v>91</v>
      </c>
      <c r="G91" s="3962">
        <f t="shared" si="22"/>
        <v>88</v>
      </c>
      <c r="H91" s="3962">
        <f t="shared" si="22"/>
        <v>85</v>
      </c>
      <c r="I91" s="3962">
        <f t="shared" si="22"/>
        <v>82</v>
      </c>
      <c r="J91" s="3962">
        <f t="shared" si="22"/>
        <v>79</v>
      </c>
      <c r="K91" s="3962">
        <f t="shared" si="22"/>
        <v>76</v>
      </c>
      <c r="L91" s="3962">
        <f t="shared" si="22"/>
        <v>73</v>
      </c>
      <c r="M91" s="3962">
        <f t="shared" si="22"/>
        <v>70</v>
      </c>
      <c r="N91" s="3976"/>
      <c r="O91" s="3976"/>
      <c r="P91" s="3977"/>
      <c r="Q91" s="3978"/>
      <c r="R91" s="3979"/>
      <c r="S91" s="3979"/>
      <c r="T91" s="3979"/>
      <c r="U91" s="3979"/>
      <c r="V91" s="3979"/>
      <c r="W91" s="3979"/>
      <c r="X91" s="3979"/>
      <c r="Y91" s="3979"/>
      <c r="Z91" s="3979"/>
      <c r="AA91" s="3979"/>
      <c r="AB91" s="3979"/>
      <c r="AC91" s="3979"/>
    </row>
    <row r="92" spans="1:29" ht="15.75" thickTop="1">
      <c r="A92" s="3951"/>
      <c r="B92" s="3956" t="str">
        <f>B28</f>
        <v>楼层</v>
      </c>
      <c r="C92" s="3972"/>
      <c r="D92" s="3972"/>
      <c r="E92" s="3972"/>
      <c r="F92" s="3972"/>
      <c r="G92" s="3972"/>
      <c r="H92" s="3972"/>
      <c r="I92" s="3972"/>
      <c r="J92" s="3972"/>
      <c r="K92" s="3972"/>
      <c r="L92" s="4004"/>
      <c r="M92" s="4005"/>
      <c r="N92" s="3949"/>
      <c r="O92" s="3949"/>
      <c r="P92" s="3950"/>
      <c r="Q92" s="3911"/>
      <c r="R92" s="3869"/>
      <c r="S92" s="3869"/>
      <c r="T92" s="3869"/>
      <c r="U92" s="3869"/>
      <c r="V92" s="3869"/>
      <c r="W92" s="3869"/>
      <c r="X92" s="3869"/>
      <c r="Y92" s="3869"/>
      <c r="Z92" s="3869"/>
      <c r="AA92" s="3869"/>
      <c r="AB92" s="3869"/>
      <c r="AC92" s="3869"/>
    </row>
    <row r="93" spans="1:29" ht="15.75" thickBot="1">
      <c r="A93" s="3951"/>
      <c r="B93" s="3961"/>
      <c r="C93" s="3953"/>
      <c r="D93" s="3953"/>
      <c r="E93" s="3953"/>
      <c r="F93" s="3953"/>
      <c r="G93" s="3953"/>
      <c r="H93" s="3953"/>
      <c r="I93" s="3953"/>
      <c r="J93" s="3953"/>
      <c r="K93" s="3953"/>
      <c r="L93" s="3953"/>
      <c r="M93" s="3954"/>
      <c r="N93" s="3955"/>
      <c r="O93" s="3955"/>
      <c r="P93" s="3950"/>
      <c r="Q93" s="3911"/>
      <c r="R93" s="3869"/>
      <c r="S93" s="3869"/>
      <c r="T93" s="3869"/>
      <c r="U93" s="3869"/>
      <c r="V93" s="3869"/>
      <c r="W93" s="3869"/>
      <c r="X93" s="3869"/>
      <c r="Y93" s="3869"/>
      <c r="Z93" s="3869"/>
      <c r="AA93" s="3869"/>
      <c r="AB93" s="3869"/>
      <c r="AC93" s="3869"/>
    </row>
    <row r="94" spans="1:29" ht="15.75" thickTop="1">
      <c r="A94" s="3951"/>
      <c r="B94" s="3956">
        <f>B29</f>
        <v>111</v>
      </c>
      <c r="C94" s="3972"/>
      <c r="D94" s="3972"/>
      <c r="E94" s="3972"/>
      <c r="F94" s="3972"/>
      <c r="G94" s="4008"/>
      <c r="H94" s="4008"/>
      <c r="I94" s="4008"/>
      <c r="J94" s="4008"/>
      <c r="K94" s="4009"/>
      <c r="L94" s="4010"/>
      <c r="M94" s="4011"/>
      <c r="N94" s="3949"/>
      <c r="O94" s="3949"/>
      <c r="P94" s="3950"/>
      <c r="Q94" s="3911"/>
      <c r="R94" s="3869"/>
      <c r="S94" s="3869"/>
      <c r="T94" s="3869"/>
      <c r="U94" s="3869"/>
      <c r="V94" s="3869"/>
      <c r="W94" s="3869"/>
      <c r="X94" s="3869"/>
      <c r="Y94" s="3869"/>
      <c r="Z94" s="3869"/>
      <c r="AA94" s="3869"/>
      <c r="AB94" s="3869"/>
      <c r="AC94" s="3869"/>
    </row>
    <row r="95" spans="1:29" ht="15.75" thickBot="1">
      <c r="A95" s="3951"/>
      <c r="B95" s="3961"/>
      <c r="C95" s="3980"/>
      <c r="D95" s="3953"/>
      <c r="E95" s="3953"/>
      <c r="F95" s="3953"/>
      <c r="G95" s="3953"/>
      <c r="H95" s="3953"/>
      <c r="I95" s="3953"/>
      <c r="J95" s="3953"/>
      <c r="K95" s="3953"/>
      <c r="L95" s="3953"/>
      <c r="M95" s="3954"/>
      <c r="N95" s="3955"/>
      <c r="O95" s="3955"/>
      <c r="P95" s="3950"/>
      <c r="Q95" s="3911"/>
      <c r="R95" s="3869"/>
      <c r="S95" s="3869"/>
      <c r="T95" s="3869"/>
      <c r="U95" s="3869"/>
      <c r="V95" s="3869"/>
      <c r="W95" s="3869"/>
      <c r="X95" s="3869"/>
      <c r="Y95" s="3869"/>
      <c r="Z95" s="3869"/>
      <c r="AA95" s="3869"/>
      <c r="AB95" s="3869"/>
      <c r="AC95" s="3869"/>
    </row>
    <row r="96" spans="1:29" ht="15.75" thickTop="1">
      <c r="A96" s="3951"/>
      <c r="B96" s="3956">
        <f>B30</f>
        <v>111</v>
      </c>
      <c r="C96" s="3972"/>
      <c r="D96" s="3972"/>
      <c r="E96" s="3972"/>
      <c r="F96" s="3972"/>
      <c r="G96" s="4008"/>
      <c r="H96" s="4008"/>
      <c r="I96" s="4008"/>
      <c r="J96" s="4008"/>
      <c r="K96" s="4009"/>
      <c r="L96" s="4010"/>
      <c r="M96" s="4011"/>
      <c r="N96" s="3949"/>
      <c r="O96" s="3949"/>
      <c r="P96" s="3950"/>
      <c r="Q96" s="3911"/>
      <c r="R96" s="3869"/>
      <c r="S96" s="3869"/>
      <c r="T96" s="3869"/>
      <c r="U96" s="3869"/>
      <c r="V96" s="3869"/>
      <c r="W96" s="3869"/>
      <c r="X96" s="3869"/>
      <c r="Y96" s="3869"/>
      <c r="Z96" s="3869"/>
      <c r="AA96" s="3869"/>
      <c r="AB96" s="3869"/>
      <c r="AC96" s="3869"/>
    </row>
    <row r="97" spans="1:29" ht="15.75" thickBot="1">
      <c r="A97" s="3951"/>
      <c r="B97" s="3961"/>
      <c r="C97" s="3980"/>
      <c r="D97" s="3953"/>
      <c r="E97" s="3953"/>
      <c r="F97" s="3953"/>
      <c r="G97" s="3953"/>
      <c r="H97" s="3953"/>
      <c r="I97" s="3953"/>
      <c r="J97" s="3953"/>
      <c r="K97" s="3953"/>
      <c r="L97" s="3953"/>
      <c r="M97" s="3954"/>
      <c r="N97" s="3955"/>
      <c r="O97" s="3955"/>
      <c r="P97" s="3950"/>
      <c r="Q97" s="3911"/>
      <c r="R97" s="3869"/>
      <c r="S97" s="3869"/>
      <c r="T97" s="3869"/>
      <c r="U97" s="3869"/>
      <c r="V97" s="3869"/>
      <c r="W97" s="3869"/>
      <c r="X97" s="3869"/>
      <c r="Y97" s="3869"/>
      <c r="Z97" s="3869"/>
      <c r="AA97" s="3869"/>
      <c r="AB97" s="3869"/>
      <c r="AC97" s="3869"/>
    </row>
    <row r="98" spans="1:29" ht="15.75" thickTop="1">
      <c r="A98" s="3951"/>
      <c r="B98" s="3964">
        <f>B31</f>
        <v>111</v>
      </c>
      <c r="C98" s="3972"/>
      <c r="D98" s="3972"/>
      <c r="E98" s="3972"/>
      <c r="F98" s="3972"/>
      <c r="G98" s="4012"/>
      <c r="H98" s="4012"/>
      <c r="I98" s="4012"/>
      <c r="J98" s="4012"/>
      <c r="K98" s="4013"/>
      <c r="L98" s="4014"/>
      <c r="M98" s="4015"/>
      <c r="N98" s="3949"/>
      <c r="O98" s="3949"/>
      <c r="P98" s="3950"/>
      <c r="Q98" s="3911"/>
      <c r="R98" s="3869"/>
      <c r="S98" s="3869"/>
      <c r="T98" s="3869"/>
      <c r="U98" s="3869"/>
      <c r="V98" s="3869"/>
      <c r="W98" s="3869"/>
      <c r="X98" s="3869"/>
      <c r="Y98" s="3869"/>
      <c r="Z98" s="3869"/>
      <c r="AA98" s="3869"/>
      <c r="AB98" s="3869"/>
      <c r="AC98" s="3869"/>
    </row>
    <row r="99" spans="1:29" ht="15.75" thickBot="1">
      <c r="A99" s="4016"/>
      <c r="B99" s="3990"/>
      <c r="C99" s="3991"/>
      <c r="D99" s="3991"/>
      <c r="E99" s="3991"/>
      <c r="F99" s="3991"/>
      <c r="G99" s="4017"/>
      <c r="H99" s="4017"/>
      <c r="I99" s="4017"/>
      <c r="J99" s="4017"/>
      <c r="K99" s="4017"/>
      <c r="L99" s="4017"/>
      <c r="M99" s="4018"/>
      <c r="N99" s="3955"/>
      <c r="O99" s="3955"/>
      <c r="P99" s="3950"/>
      <c r="Q99" s="3911"/>
      <c r="R99" s="3869"/>
      <c r="S99" s="3869"/>
      <c r="T99" s="3869"/>
      <c r="U99" s="3869"/>
      <c r="V99" s="3869"/>
      <c r="W99" s="3869"/>
      <c r="X99" s="3869"/>
      <c r="Y99" s="3869"/>
      <c r="Z99" s="3869"/>
      <c r="AA99" s="3869"/>
      <c r="AB99" s="3869"/>
      <c r="AC99" s="3869"/>
    </row>
    <row r="100" spans="1:29">
      <c r="A100" s="3941" t="s">
        <v>3438</v>
      </c>
      <c r="B100" s="3942" t="s">
        <v>3439</v>
      </c>
      <c r="C100" s="3945"/>
      <c r="D100" s="3945"/>
      <c r="E100" s="3945"/>
      <c r="F100" s="3945"/>
      <c r="G100" s="3945"/>
      <c r="H100" s="3945"/>
      <c r="I100" s="3945"/>
      <c r="J100" s="3945"/>
      <c r="K100" s="3946"/>
      <c r="L100" s="3947"/>
      <c r="M100" s="3948"/>
      <c r="N100" s="3949"/>
      <c r="O100" s="3949"/>
      <c r="P100" s="3950"/>
      <c r="Q100" s="3911"/>
      <c r="R100" s="3869"/>
      <c r="S100" s="3869"/>
      <c r="T100" s="3869"/>
      <c r="U100" s="3869"/>
      <c r="V100" s="3869"/>
      <c r="W100" s="3869"/>
      <c r="X100" s="3869"/>
      <c r="Y100" s="3869"/>
      <c r="Z100" s="3869"/>
      <c r="AA100" s="3869"/>
      <c r="AB100" s="3869"/>
      <c r="AC100" s="3869"/>
    </row>
    <row r="101" spans="1:29" ht="15.75" thickBot="1">
      <c r="A101" s="3951"/>
      <c r="B101" s="3961"/>
      <c r="C101" s="3962">
        <v>100</v>
      </c>
      <c r="D101" s="3962">
        <f t="shared" ref="D101:M101" si="23">C101-$K32</f>
        <v>100</v>
      </c>
      <c r="E101" s="3962">
        <f t="shared" si="23"/>
        <v>100</v>
      </c>
      <c r="F101" s="3962">
        <f t="shared" si="23"/>
        <v>100</v>
      </c>
      <c r="G101" s="3962">
        <f t="shared" si="23"/>
        <v>100</v>
      </c>
      <c r="H101" s="3962">
        <f t="shared" si="23"/>
        <v>100</v>
      </c>
      <c r="I101" s="3962">
        <f t="shared" si="23"/>
        <v>100</v>
      </c>
      <c r="J101" s="3962">
        <f t="shared" si="23"/>
        <v>100</v>
      </c>
      <c r="K101" s="3962">
        <f t="shared" si="23"/>
        <v>100</v>
      </c>
      <c r="L101" s="3962">
        <f t="shared" si="23"/>
        <v>100</v>
      </c>
      <c r="M101" s="3963">
        <f t="shared" si="23"/>
        <v>100</v>
      </c>
      <c r="N101" s="3955"/>
      <c r="O101" s="3955"/>
      <c r="P101" s="3950"/>
      <c r="Q101" s="3911"/>
      <c r="R101" s="3869"/>
      <c r="S101" s="3869"/>
      <c r="T101" s="3869"/>
      <c r="U101" s="3869"/>
      <c r="V101" s="3869"/>
      <c r="W101" s="3869"/>
      <c r="X101" s="3869"/>
      <c r="Y101" s="3869"/>
      <c r="Z101" s="3869"/>
      <c r="AA101" s="3869"/>
      <c r="AB101" s="3869"/>
      <c r="AC101" s="3869"/>
    </row>
    <row r="102" spans="1:29" ht="29.25" thickTop="1">
      <c r="A102" s="3951"/>
      <c r="B102" s="3956" t="s">
        <v>3501</v>
      </c>
      <c r="C102" s="3999" t="str">
        <f>C103&amp;"(含)"&amp;"-"&amp;D103</f>
        <v>0(含)-20000</v>
      </c>
      <c r="D102" s="3999" t="str">
        <f t="shared" ref="D102:L102" si="24">D103&amp;"(含)"&amp;"-"&amp;E103</f>
        <v>20000(含)-40000</v>
      </c>
      <c r="E102" s="3999" t="str">
        <f t="shared" si="24"/>
        <v>40000(含)-60000</v>
      </c>
      <c r="F102" s="3999" t="str">
        <f t="shared" si="24"/>
        <v>60000(含)-80000</v>
      </c>
      <c r="G102" s="3999" t="str">
        <f t="shared" si="24"/>
        <v>80000(含)-100000</v>
      </c>
      <c r="H102" s="3999" t="str">
        <f t="shared" si="24"/>
        <v>100000(含)-120000</v>
      </c>
      <c r="I102" s="3999" t="str">
        <f t="shared" si="24"/>
        <v>120000(含)-</v>
      </c>
      <c r="J102" s="3999" t="str">
        <f t="shared" si="24"/>
        <v>(含)-</v>
      </c>
      <c r="K102" s="3999" t="str">
        <f t="shared" si="24"/>
        <v>(含)-</v>
      </c>
      <c r="L102" s="3999" t="str">
        <f t="shared" si="24"/>
        <v>(含)-</v>
      </c>
      <c r="M102" s="4019" t="str">
        <f>M103&amp;"(含)"&amp;"-"&amp;P103</f>
        <v>(含)-</v>
      </c>
      <c r="N102" s="3937"/>
      <c r="O102" s="3937"/>
      <c r="P102" s="3950"/>
      <c r="Q102" s="3911"/>
      <c r="R102" s="3869"/>
      <c r="S102" s="3869"/>
      <c r="T102" s="3869"/>
      <c r="U102" s="3869"/>
      <c r="V102" s="3869"/>
      <c r="W102" s="3869"/>
      <c r="X102" s="3869"/>
      <c r="Y102" s="3869"/>
      <c r="Z102" s="3869"/>
      <c r="AA102" s="3869"/>
      <c r="AB102" s="3869"/>
      <c r="AC102" s="3869"/>
    </row>
    <row r="103" spans="1:29" s="3843" customFormat="1">
      <c r="A103" s="4020"/>
      <c r="B103" s="4021"/>
      <c r="C103" s="4022">
        <v>0</v>
      </c>
      <c r="D103" s="4022">
        <v>20000</v>
      </c>
      <c r="E103" s="4022">
        <v>40000</v>
      </c>
      <c r="F103" s="4022">
        <v>60000</v>
      </c>
      <c r="G103" s="4022">
        <v>80000</v>
      </c>
      <c r="H103" s="4022">
        <v>100000</v>
      </c>
      <c r="I103" s="4022">
        <v>120000</v>
      </c>
      <c r="J103" s="4023"/>
      <c r="K103" s="4023"/>
      <c r="L103" s="4024"/>
      <c r="M103" s="4025"/>
      <c r="N103" s="3976"/>
      <c r="O103" s="3976"/>
      <c r="P103" s="3977"/>
      <c r="Q103" s="3978"/>
      <c r="R103" s="3979"/>
      <c r="S103" s="3979"/>
      <c r="T103" s="3979"/>
      <c r="U103" s="3979"/>
      <c r="V103" s="3979"/>
      <c r="W103" s="3979"/>
      <c r="X103" s="3979"/>
      <c r="Y103" s="3979"/>
      <c r="Z103" s="3979"/>
      <c r="AA103" s="3979"/>
      <c r="AB103" s="3979"/>
      <c r="AC103" s="3979"/>
    </row>
    <row r="104" spans="1:29" s="3843" customFormat="1" ht="15.75" thickBot="1">
      <c r="A104" s="3971"/>
      <c r="B104" s="3961"/>
      <c r="C104" s="3980">
        <v>100</v>
      </c>
      <c r="D104" s="3953">
        <v>96</v>
      </c>
      <c r="E104" s="3953">
        <v>92</v>
      </c>
      <c r="F104" s="3953">
        <v>88</v>
      </c>
      <c r="G104" s="3953">
        <v>84</v>
      </c>
      <c r="H104" s="3953">
        <v>80</v>
      </c>
      <c r="I104" s="3953">
        <v>76</v>
      </c>
      <c r="J104" s="3953"/>
      <c r="K104" s="3953"/>
      <c r="L104" s="3953"/>
      <c r="M104" s="3954"/>
      <c r="N104" s="3955"/>
      <c r="O104" s="3955"/>
      <c r="P104" s="3977"/>
      <c r="Q104" s="3978"/>
      <c r="R104" s="3979"/>
      <c r="S104" s="3979"/>
      <c r="T104" s="3979"/>
      <c r="U104" s="3979"/>
      <c r="V104" s="3979"/>
      <c r="W104" s="3979"/>
      <c r="X104" s="3979"/>
      <c r="Y104" s="3979"/>
      <c r="Z104" s="3979"/>
      <c r="AA104" s="3979"/>
      <c r="AB104" s="3979"/>
      <c r="AC104" s="3979"/>
    </row>
    <row r="105" spans="1:29" ht="15" thickTop="1">
      <c r="A105" s="4026"/>
      <c r="B105" s="3956" t="s">
        <v>3502</v>
      </c>
      <c r="C105" s="3972"/>
      <c r="D105" s="3972"/>
      <c r="E105" s="4008"/>
      <c r="F105" s="4008"/>
      <c r="G105" s="4008"/>
      <c r="H105" s="4008"/>
      <c r="I105" s="4008"/>
      <c r="J105" s="4008"/>
      <c r="K105" s="4009"/>
      <c r="L105" s="4010"/>
      <c r="M105" s="4011"/>
      <c r="N105" s="3949"/>
      <c r="O105" s="3949"/>
      <c r="P105" s="3950"/>
      <c r="Q105" s="3911"/>
      <c r="R105" s="3869"/>
      <c r="S105" s="3869"/>
      <c r="T105" s="3869"/>
      <c r="U105" s="3869"/>
      <c r="V105" s="3869"/>
      <c r="W105" s="3869"/>
      <c r="X105" s="3869"/>
      <c r="Y105" s="3869"/>
      <c r="Z105" s="3869"/>
      <c r="AA105" s="3869"/>
      <c r="AB105" s="3869"/>
      <c r="AC105" s="3869"/>
    </row>
    <row r="106" spans="1:29" ht="15.75" thickBot="1">
      <c r="A106" s="3951"/>
      <c r="B106" s="3961"/>
      <c r="C106" s="3962">
        <v>100</v>
      </c>
      <c r="D106" s="3962">
        <f t="shared" ref="D106:M106" si="25">C106-$K34</f>
        <v>100</v>
      </c>
      <c r="E106" s="3962">
        <f t="shared" si="25"/>
        <v>100</v>
      </c>
      <c r="F106" s="3962">
        <f t="shared" si="25"/>
        <v>100</v>
      </c>
      <c r="G106" s="3962">
        <f t="shared" si="25"/>
        <v>100</v>
      </c>
      <c r="H106" s="3962">
        <f t="shared" si="25"/>
        <v>100</v>
      </c>
      <c r="I106" s="3962">
        <f t="shared" si="25"/>
        <v>100</v>
      </c>
      <c r="J106" s="3962">
        <f t="shared" si="25"/>
        <v>100</v>
      </c>
      <c r="K106" s="3962">
        <f t="shared" si="25"/>
        <v>100</v>
      </c>
      <c r="L106" s="3962">
        <f t="shared" si="25"/>
        <v>100</v>
      </c>
      <c r="M106" s="3963">
        <f t="shared" si="25"/>
        <v>100</v>
      </c>
      <c r="N106" s="3955"/>
      <c r="O106" s="3955"/>
      <c r="P106" s="3950"/>
      <c r="Q106" s="3911"/>
      <c r="R106" s="3869"/>
      <c r="S106" s="3869"/>
      <c r="T106" s="3869"/>
      <c r="U106" s="3869"/>
      <c r="V106" s="3869"/>
      <c r="W106" s="3869"/>
      <c r="X106" s="3869"/>
      <c r="Y106" s="3869"/>
      <c r="Z106" s="3869"/>
      <c r="AA106" s="3869"/>
      <c r="AB106" s="3869"/>
      <c r="AC106" s="3869"/>
    </row>
    <row r="107" spans="1:29" ht="15" thickTop="1">
      <c r="A107" s="4026"/>
      <c r="B107" s="3956" t="s">
        <v>3441</v>
      </c>
      <c r="C107" s="3972"/>
      <c r="D107" s="3972"/>
      <c r="E107" s="3972"/>
      <c r="F107" s="4008"/>
      <c r="G107" s="4008"/>
      <c r="H107" s="4008"/>
      <c r="I107" s="4008"/>
      <c r="J107" s="4008"/>
      <c r="K107" s="4009"/>
      <c r="L107" s="4010"/>
      <c r="M107" s="4011"/>
      <c r="N107" s="3949"/>
      <c r="O107" s="3949"/>
      <c r="P107" s="3950"/>
      <c r="Q107" s="3911"/>
      <c r="R107" s="3869"/>
      <c r="S107" s="3869"/>
      <c r="T107" s="3869"/>
      <c r="U107" s="3869"/>
      <c r="V107" s="3869"/>
      <c r="W107" s="3869"/>
      <c r="X107" s="3869"/>
      <c r="Y107" s="3869"/>
      <c r="Z107" s="3869"/>
      <c r="AA107" s="3869"/>
      <c r="AB107" s="3869"/>
      <c r="AC107" s="3869"/>
    </row>
    <row r="108" spans="1:29" ht="15.75" thickBot="1">
      <c r="A108" s="3951"/>
      <c r="B108" s="3961"/>
      <c r="C108" s="3962">
        <v>100</v>
      </c>
      <c r="D108" s="3962">
        <f t="shared" ref="D108:M108" si="26">C108-$K35</f>
        <v>100</v>
      </c>
      <c r="E108" s="3962">
        <f t="shared" si="26"/>
        <v>100</v>
      </c>
      <c r="F108" s="3962">
        <f t="shared" si="26"/>
        <v>100</v>
      </c>
      <c r="G108" s="3962">
        <f t="shared" si="26"/>
        <v>100</v>
      </c>
      <c r="H108" s="3962">
        <f t="shared" si="26"/>
        <v>100</v>
      </c>
      <c r="I108" s="3962">
        <f t="shared" si="26"/>
        <v>100</v>
      </c>
      <c r="J108" s="3962">
        <f t="shared" si="26"/>
        <v>100</v>
      </c>
      <c r="K108" s="3962">
        <f t="shared" si="26"/>
        <v>100</v>
      </c>
      <c r="L108" s="3962">
        <f t="shared" si="26"/>
        <v>100</v>
      </c>
      <c r="M108" s="3963">
        <f t="shared" si="26"/>
        <v>100</v>
      </c>
      <c r="N108" s="3955"/>
      <c r="O108" s="3955"/>
      <c r="P108" s="3950"/>
      <c r="Q108" s="3911"/>
      <c r="R108" s="3869"/>
      <c r="S108" s="3869"/>
      <c r="T108" s="3869"/>
      <c r="U108" s="3869"/>
      <c r="V108" s="3869"/>
      <c r="W108" s="3869"/>
      <c r="X108" s="3869"/>
      <c r="Y108" s="3869"/>
      <c r="Z108" s="3869"/>
      <c r="AA108" s="3869"/>
      <c r="AB108" s="3869"/>
      <c r="AC108" s="3869"/>
    </row>
    <row r="109" spans="1:29" ht="15" thickTop="1">
      <c r="A109" s="4026"/>
      <c r="B109" s="3956" t="s">
        <v>3442</v>
      </c>
      <c r="C109" s="3999" t="str">
        <f>C110&amp;"(含)"&amp;"-"&amp;D110</f>
        <v>0.5(含)-0.6</v>
      </c>
      <c r="D109" s="3999" t="str">
        <f>D110&amp;"(含)"&amp;"-"&amp;E110</f>
        <v>0.6(含)-0.7</v>
      </c>
      <c r="E109" s="3999" t="str">
        <f>E110&amp;"(含)"&amp;"-"&amp;F110</f>
        <v>0.7(含)-0.8</v>
      </c>
      <c r="F109" s="3999" t="str">
        <f>F110&amp;"(含)"&amp;"-"&amp;G110</f>
        <v>0.8(含)-0.9</v>
      </c>
      <c r="G109" s="3999" t="str">
        <f>G110&amp;"(含)"&amp;"-"&amp;ROUND(H110,0)&amp;"(含)"</f>
        <v>0.9(含)-1(含)</v>
      </c>
      <c r="H109" s="3999"/>
      <c r="I109" s="4008"/>
      <c r="J109" s="4008"/>
      <c r="K109" s="4009"/>
      <c r="L109" s="4010"/>
      <c r="M109" s="4011"/>
      <c r="N109" s="3949"/>
      <c r="O109" s="3949"/>
      <c r="P109" s="3950"/>
      <c r="Q109" s="3911"/>
      <c r="R109" s="3869"/>
      <c r="S109" s="3869"/>
      <c r="T109" s="3869"/>
      <c r="U109" s="3869"/>
      <c r="V109" s="3869"/>
      <c r="W109" s="3869"/>
      <c r="X109" s="3869"/>
      <c r="Y109" s="3869"/>
      <c r="Z109" s="3869"/>
      <c r="AA109" s="3869"/>
      <c r="AB109" s="3869"/>
      <c r="AC109" s="3869"/>
    </row>
    <row r="110" spans="1:29">
      <c r="A110" s="4026"/>
      <c r="B110" s="3964"/>
      <c r="C110" s="4027">
        <v>0.5</v>
      </c>
      <c r="D110" s="4027">
        <v>0.6</v>
      </c>
      <c r="E110" s="4027">
        <v>0.7</v>
      </c>
      <c r="F110" s="4027">
        <v>0.8</v>
      </c>
      <c r="G110" s="4027">
        <v>0.9</v>
      </c>
      <c r="H110" s="4027">
        <v>1.0001</v>
      </c>
      <c r="I110" s="4028"/>
      <c r="J110" s="4028"/>
      <c r="K110" s="4029"/>
      <c r="L110" s="4030"/>
      <c r="M110" s="4031"/>
      <c r="N110" s="3949"/>
      <c r="O110" s="3949"/>
      <c r="P110" s="3950"/>
      <c r="Q110" s="3911"/>
      <c r="R110" s="3869"/>
      <c r="S110" s="3869"/>
      <c r="T110" s="3869"/>
      <c r="U110" s="3869"/>
      <c r="V110" s="3869"/>
      <c r="W110" s="3869"/>
      <c r="X110" s="3869"/>
      <c r="Y110" s="3869"/>
      <c r="Z110" s="3869"/>
      <c r="AA110" s="3869"/>
      <c r="AB110" s="3869"/>
      <c r="AC110" s="3869"/>
    </row>
    <row r="111" spans="1:29" ht="15.75" thickBot="1">
      <c r="A111" s="3951"/>
      <c r="B111" s="3961"/>
      <c r="C111" s="4006">
        <v>100</v>
      </c>
      <c r="D111" s="3962">
        <f>C111+$K36</f>
        <v>100</v>
      </c>
      <c r="E111" s="3962">
        <f t="shared" ref="E111:M111" si="27">D111+$K36</f>
        <v>100</v>
      </c>
      <c r="F111" s="3962">
        <f t="shared" si="27"/>
        <v>100</v>
      </c>
      <c r="G111" s="3962">
        <f t="shared" si="27"/>
        <v>100</v>
      </c>
      <c r="H111" s="3962">
        <f t="shared" si="27"/>
        <v>100</v>
      </c>
      <c r="I111" s="3962">
        <f t="shared" si="27"/>
        <v>100</v>
      </c>
      <c r="J111" s="3962">
        <f t="shared" si="27"/>
        <v>100</v>
      </c>
      <c r="K111" s="3962">
        <f t="shared" si="27"/>
        <v>100</v>
      </c>
      <c r="L111" s="3962">
        <f t="shared" si="27"/>
        <v>100</v>
      </c>
      <c r="M111" s="3962">
        <f t="shared" si="27"/>
        <v>100</v>
      </c>
      <c r="N111" s="3955"/>
      <c r="O111" s="3955"/>
      <c r="P111" s="3950"/>
      <c r="Q111" s="3911"/>
      <c r="R111" s="3869"/>
      <c r="S111" s="3869"/>
      <c r="T111" s="3869"/>
      <c r="U111" s="3869"/>
      <c r="V111" s="3869"/>
      <c r="W111" s="3869"/>
      <c r="X111" s="3869"/>
      <c r="Y111" s="3869"/>
      <c r="Z111" s="3869"/>
      <c r="AA111" s="3869"/>
      <c r="AB111" s="3869"/>
      <c r="AC111" s="3869"/>
    </row>
    <row r="112" spans="1:29" s="3843" customFormat="1" ht="15" thickTop="1">
      <c r="A112" s="4020"/>
      <c r="B112" s="3956" t="s">
        <v>3443</v>
      </c>
      <c r="C112" s="3972"/>
      <c r="D112" s="3972"/>
      <c r="E112" s="3972"/>
      <c r="F112" s="3972"/>
      <c r="G112" s="3972"/>
      <c r="H112" s="4008"/>
      <c r="I112" s="4008"/>
      <c r="J112" s="4008"/>
      <c r="K112" s="4009"/>
      <c r="L112" s="4010"/>
      <c r="M112" s="4011"/>
      <c r="N112" s="3976"/>
      <c r="O112" s="3976"/>
      <c r="P112" s="3977"/>
      <c r="Q112" s="3978"/>
      <c r="R112" s="3979"/>
      <c r="S112" s="3979"/>
      <c r="T112" s="3979"/>
      <c r="U112" s="3979"/>
      <c r="V112" s="3979"/>
      <c r="W112" s="3979"/>
      <c r="X112" s="3979"/>
      <c r="Y112" s="3979"/>
      <c r="Z112" s="3979"/>
      <c r="AA112" s="3979"/>
      <c r="AB112" s="3979"/>
      <c r="AC112" s="3979"/>
    </row>
    <row r="113" spans="1:29" s="3843" customFormat="1" ht="15.75" thickBot="1">
      <c r="A113" s="3971"/>
      <c r="B113" s="3961"/>
      <c r="C113" s="3962">
        <v>100</v>
      </c>
      <c r="D113" s="3962">
        <f>C113-$K37</f>
        <v>100</v>
      </c>
      <c r="E113" s="3962">
        <f t="shared" ref="E113:M113" si="28">D113-$K37</f>
        <v>100</v>
      </c>
      <c r="F113" s="3962">
        <f t="shared" si="28"/>
        <v>100</v>
      </c>
      <c r="G113" s="3962">
        <f t="shared" si="28"/>
        <v>100</v>
      </c>
      <c r="H113" s="3962">
        <f t="shared" si="28"/>
        <v>100</v>
      </c>
      <c r="I113" s="3962">
        <f t="shared" si="28"/>
        <v>100</v>
      </c>
      <c r="J113" s="3962">
        <f t="shared" si="28"/>
        <v>100</v>
      </c>
      <c r="K113" s="3962">
        <f t="shared" si="28"/>
        <v>100</v>
      </c>
      <c r="L113" s="3962">
        <f t="shared" si="28"/>
        <v>100</v>
      </c>
      <c r="M113" s="3962">
        <f t="shared" si="28"/>
        <v>100</v>
      </c>
      <c r="N113" s="3976"/>
      <c r="O113" s="3976"/>
      <c r="P113" s="3977"/>
      <c r="Q113" s="3978"/>
      <c r="R113" s="3979"/>
      <c r="S113" s="3979"/>
      <c r="T113" s="3979"/>
      <c r="U113" s="3979"/>
      <c r="V113" s="3979"/>
      <c r="W113" s="3979"/>
      <c r="X113" s="3979"/>
      <c r="Y113" s="3979"/>
      <c r="Z113" s="3979"/>
      <c r="AA113" s="3979"/>
      <c r="AB113" s="3979"/>
      <c r="AC113" s="3979"/>
    </row>
    <row r="114" spans="1:29" ht="15" thickTop="1">
      <c r="A114" s="4026"/>
      <c r="B114" s="3956" t="s">
        <v>3444</v>
      </c>
      <c r="C114" s="3972"/>
      <c r="D114" s="3972"/>
      <c r="E114" s="4008"/>
      <c r="F114" s="4008"/>
      <c r="G114" s="4008"/>
      <c r="H114" s="4008"/>
      <c r="I114" s="4008"/>
      <c r="J114" s="4008"/>
      <c r="K114" s="4009"/>
      <c r="L114" s="4010"/>
      <c r="M114" s="4011"/>
      <c r="N114" s="3949"/>
      <c r="O114" s="3949"/>
      <c r="P114" s="3950"/>
      <c r="Q114" s="3911"/>
      <c r="R114" s="3869"/>
      <c r="S114" s="3869"/>
      <c r="T114" s="3869"/>
      <c r="U114" s="3869"/>
      <c r="V114" s="3869"/>
      <c r="W114" s="3869"/>
      <c r="X114" s="3869"/>
      <c r="Y114" s="3869"/>
      <c r="Z114" s="3869"/>
      <c r="AA114" s="3869"/>
      <c r="AB114" s="3869"/>
      <c r="AC114" s="3869"/>
    </row>
    <row r="115" spans="1:29" ht="15.75" thickBot="1">
      <c r="A115" s="3951"/>
      <c r="B115" s="3961"/>
      <c r="C115" s="3962">
        <v>100</v>
      </c>
      <c r="D115" s="3962">
        <f t="shared" ref="D115:M115" si="29">C115-$K38</f>
        <v>100</v>
      </c>
      <c r="E115" s="3962">
        <f t="shared" si="29"/>
        <v>100</v>
      </c>
      <c r="F115" s="3962">
        <f t="shared" si="29"/>
        <v>100</v>
      </c>
      <c r="G115" s="3962">
        <f t="shared" si="29"/>
        <v>100</v>
      </c>
      <c r="H115" s="3962">
        <f t="shared" si="29"/>
        <v>100</v>
      </c>
      <c r="I115" s="3962">
        <f t="shared" si="29"/>
        <v>100</v>
      </c>
      <c r="J115" s="3962">
        <f t="shared" si="29"/>
        <v>100</v>
      </c>
      <c r="K115" s="3962">
        <f t="shared" si="29"/>
        <v>100</v>
      </c>
      <c r="L115" s="3962">
        <f t="shared" si="29"/>
        <v>100</v>
      </c>
      <c r="M115" s="3963">
        <f t="shared" si="29"/>
        <v>100</v>
      </c>
      <c r="N115" s="3955"/>
      <c r="O115" s="3955"/>
      <c r="P115" s="3950"/>
      <c r="Q115" s="3911"/>
      <c r="R115" s="3869"/>
      <c r="S115" s="3869"/>
      <c r="T115" s="3869"/>
      <c r="U115" s="3869"/>
      <c r="V115" s="3869"/>
      <c r="W115" s="3869"/>
      <c r="X115" s="3869"/>
      <c r="Y115" s="3869"/>
      <c r="Z115" s="3869"/>
      <c r="AA115" s="3869"/>
      <c r="AB115" s="3869"/>
      <c r="AC115" s="3869"/>
    </row>
    <row r="116" spans="1:29" ht="15" thickTop="1">
      <c r="A116" s="4026"/>
      <c r="B116" s="3956" t="s">
        <v>3445</v>
      </c>
      <c r="C116" s="4003" t="s">
        <v>3447</v>
      </c>
      <c r="D116" s="4003" t="s">
        <v>3446</v>
      </c>
      <c r="E116" s="3972"/>
      <c r="F116" s="3972"/>
      <c r="G116" s="3972"/>
      <c r="H116" s="4008"/>
      <c r="I116" s="4008"/>
      <c r="J116" s="4008"/>
      <c r="K116" s="4009"/>
      <c r="L116" s="4010"/>
      <c r="M116" s="4011"/>
      <c r="N116" s="3949"/>
      <c r="O116" s="3949"/>
      <c r="P116" s="3950"/>
      <c r="Q116" s="3911"/>
      <c r="R116" s="3869"/>
      <c r="S116" s="3869"/>
      <c r="T116" s="3869"/>
      <c r="U116" s="3869"/>
      <c r="V116" s="3869"/>
      <c r="W116" s="3869"/>
      <c r="X116" s="3869"/>
      <c r="Y116" s="3869"/>
      <c r="Z116" s="3869"/>
      <c r="AA116" s="3869"/>
      <c r="AB116" s="3869"/>
      <c r="AC116" s="3869"/>
    </row>
    <row r="117" spans="1:29" ht="15.75" thickBot="1">
      <c r="A117" s="3951"/>
      <c r="B117" s="3961"/>
      <c r="C117" s="3962">
        <v>100</v>
      </c>
      <c r="D117" s="3962">
        <f>C117-$K39</f>
        <v>100</v>
      </c>
      <c r="E117" s="3962">
        <f>D117-$K39</f>
        <v>100</v>
      </c>
      <c r="F117" s="3962">
        <f>E117-$K39</f>
        <v>100</v>
      </c>
      <c r="G117" s="3962">
        <f>F117-$K39</f>
        <v>100</v>
      </c>
      <c r="H117" s="3962"/>
      <c r="I117" s="3962"/>
      <c r="J117" s="3962"/>
      <c r="K117" s="3962"/>
      <c r="L117" s="3962"/>
      <c r="M117" s="3963"/>
      <c r="N117" s="3955"/>
      <c r="O117" s="3955"/>
      <c r="P117" s="3950"/>
      <c r="Q117" s="3911"/>
      <c r="R117" s="3869"/>
      <c r="S117" s="3869"/>
      <c r="T117" s="3869"/>
      <c r="U117" s="3869"/>
      <c r="V117" s="3869"/>
      <c r="W117" s="3869"/>
      <c r="X117" s="3869"/>
      <c r="Y117" s="3869"/>
      <c r="Z117" s="3869"/>
      <c r="AA117" s="3869"/>
      <c r="AB117" s="3869"/>
      <c r="AC117" s="3869"/>
    </row>
    <row r="118" spans="1:29" ht="15" thickTop="1">
      <c r="A118" s="4026"/>
      <c r="B118" s="3956" t="s">
        <v>3448</v>
      </c>
      <c r="C118" s="4032"/>
      <c r="D118" s="4032"/>
      <c r="E118" s="4032"/>
      <c r="F118" s="4032"/>
      <c r="G118" s="4032"/>
      <c r="H118" s="3973"/>
      <c r="I118" s="3973"/>
      <c r="J118" s="3973"/>
      <c r="K118" s="3973"/>
      <c r="L118" s="3974"/>
      <c r="M118" s="3975"/>
      <c r="N118" s="3949"/>
      <c r="O118" s="3949"/>
      <c r="P118" s="3950"/>
      <c r="Q118" s="3911"/>
      <c r="R118" s="3869"/>
      <c r="S118" s="3869"/>
      <c r="T118" s="3869"/>
      <c r="U118" s="3869"/>
      <c r="V118" s="3869"/>
      <c r="W118" s="3869"/>
      <c r="X118" s="3869"/>
      <c r="Y118" s="3869"/>
      <c r="Z118" s="3869"/>
      <c r="AA118" s="3869"/>
      <c r="AB118" s="3869"/>
      <c r="AC118" s="3869"/>
    </row>
    <row r="119" spans="1:29" ht="15.75" thickBot="1">
      <c r="A119" s="3951"/>
      <c r="B119" s="3961"/>
      <c r="C119" s="3980"/>
      <c r="D119" s="3953"/>
      <c r="E119" s="3953"/>
      <c r="F119" s="3953"/>
      <c r="G119" s="3953"/>
      <c r="H119" s="3953"/>
      <c r="I119" s="3953"/>
      <c r="J119" s="3953"/>
      <c r="K119" s="3953"/>
      <c r="L119" s="3953"/>
      <c r="M119" s="3954"/>
      <c r="N119" s="3955"/>
      <c r="O119" s="3955"/>
      <c r="P119" s="3950"/>
      <c r="Q119" s="3911"/>
      <c r="R119" s="3869"/>
      <c r="S119" s="3869"/>
      <c r="T119" s="3869"/>
      <c r="U119" s="3869"/>
      <c r="V119" s="3869"/>
      <c r="W119" s="3869"/>
      <c r="X119" s="3869"/>
      <c r="Y119" s="3869"/>
      <c r="Z119" s="3869"/>
      <c r="AA119" s="3869"/>
      <c r="AB119" s="3869"/>
      <c r="AC119" s="3869"/>
    </row>
    <row r="120" spans="1:29" s="3843" customFormat="1" ht="15" thickTop="1">
      <c r="A120" s="4020"/>
      <c r="B120" s="3956" t="s">
        <v>3503</v>
      </c>
      <c r="C120" s="4008"/>
      <c r="D120" s="4008"/>
      <c r="E120" s="4008"/>
      <c r="F120" s="4008"/>
      <c r="G120" s="3973"/>
      <c r="H120" s="3973"/>
      <c r="I120" s="3973"/>
      <c r="J120" s="3973"/>
      <c r="K120" s="3973"/>
      <c r="L120" s="3974"/>
      <c r="M120" s="3975"/>
      <c r="N120" s="3976"/>
      <c r="O120" s="3976"/>
      <c r="P120" s="3977"/>
      <c r="Q120" s="3978"/>
      <c r="R120" s="3979"/>
      <c r="S120" s="3979"/>
      <c r="T120" s="3979"/>
      <c r="U120" s="3979"/>
      <c r="V120" s="3979"/>
      <c r="W120" s="3979"/>
      <c r="X120" s="3979"/>
      <c r="Y120" s="3979"/>
      <c r="Z120" s="3979"/>
      <c r="AA120" s="3979"/>
      <c r="AB120" s="3979"/>
      <c r="AC120" s="3979"/>
    </row>
    <row r="121" spans="1:29" s="3843" customFormat="1" ht="15.75" thickBot="1">
      <c r="A121" s="3971"/>
      <c r="B121" s="3952"/>
      <c r="C121" s="4006">
        <v>100</v>
      </c>
      <c r="D121" s="3962">
        <f>C121-$K41</f>
        <v>100</v>
      </c>
      <c r="E121" s="3962">
        <f t="shared" ref="E121:M121" si="30">D121-$K41</f>
        <v>100</v>
      </c>
      <c r="F121" s="3962">
        <f t="shared" si="30"/>
        <v>100</v>
      </c>
      <c r="G121" s="3962">
        <f t="shared" si="30"/>
        <v>100</v>
      </c>
      <c r="H121" s="3962">
        <f t="shared" si="30"/>
        <v>100</v>
      </c>
      <c r="I121" s="3962">
        <f t="shared" si="30"/>
        <v>100</v>
      </c>
      <c r="J121" s="3962">
        <f t="shared" si="30"/>
        <v>100</v>
      </c>
      <c r="K121" s="3962">
        <f t="shared" si="30"/>
        <v>100</v>
      </c>
      <c r="L121" s="3962">
        <f t="shared" si="30"/>
        <v>100</v>
      </c>
      <c r="M121" s="3963">
        <f t="shared" si="30"/>
        <v>100</v>
      </c>
      <c r="N121" s="3976"/>
      <c r="O121" s="3976"/>
      <c r="P121" s="3977"/>
      <c r="Q121" s="3978"/>
      <c r="R121" s="3979"/>
      <c r="S121" s="3979"/>
      <c r="T121" s="3979"/>
      <c r="U121" s="3979"/>
      <c r="V121" s="3979"/>
      <c r="W121" s="3979"/>
      <c r="X121" s="3979"/>
      <c r="Y121" s="3979"/>
      <c r="Z121" s="3979"/>
      <c r="AA121" s="3979"/>
      <c r="AB121" s="3979"/>
      <c r="AC121" s="3979"/>
    </row>
    <row r="122" spans="1:29" ht="15" thickTop="1">
      <c r="A122" s="4026"/>
      <c r="B122" s="3956" t="s">
        <v>3450</v>
      </c>
      <c r="C122" s="3972"/>
      <c r="D122" s="3972"/>
      <c r="E122" s="3972"/>
      <c r="F122" s="4008"/>
      <c r="G122" s="4008"/>
      <c r="H122" s="4008"/>
      <c r="I122" s="4008"/>
      <c r="J122" s="4008"/>
      <c r="K122" s="4009"/>
      <c r="L122" s="4010"/>
      <c r="M122" s="4011"/>
      <c r="N122" s="3949"/>
      <c r="O122" s="3949"/>
      <c r="P122" s="3950"/>
      <c r="Q122" s="3911"/>
      <c r="R122" s="3869"/>
      <c r="S122" s="3869"/>
      <c r="T122" s="3869"/>
      <c r="U122" s="3869"/>
      <c r="V122" s="3869"/>
      <c r="W122" s="3869"/>
      <c r="X122" s="3869"/>
      <c r="Y122" s="3869"/>
      <c r="Z122" s="3869"/>
      <c r="AA122" s="3869"/>
      <c r="AB122" s="3869"/>
      <c r="AC122" s="3869"/>
    </row>
    <row r="123" spans="1:29" ht="15.75" thickBot="1">
      <c r="A123" s="3951"/>
      <c r="B123" s="3961"/>
      <c r="C123" s="3962">
        <v>100</v>
      </c>
      <c r="D123" s="3962">
        <f t="shared" ref="D123:M123" si="31">C123-$K42</f>
        <v>100</v>
      </c>
      <c r="E123" s="3962">
        <f t="shared" si="31"/>
        <v>100</v>
      </c>
      <c r="F123" s="3962">
        <f t="shared" si="31"/>
        <v>100</v>
      </c>
      <c r="G123" s="3962">
        <f t="shared" si="31"/>
        <v>100</v>
      </c>
      <c r="H123" s="3962">
        <f t="shared" si="31"/>
        <v>100</v>
      </c>
      <c r="I123" s="3962">
        <f t="shared" si="31"/>
        <v>100</v>
      </c>
      <c r="J123" s="3962">
        <f t="shared" si="31"/>
        <v>100</v>
      </c>
      <c r="K123" s="3962">
        <f t="shared" si="31"/>
        <v>100</v>
      </c>
      <c r="L123" s="3962">
        <f t="shared" si="31"/>
        <v>100</v>
      </c>
      <c r="M123" s="3963">
        <f t="shared" si="31"/>
        <v>100</v>
      </c>
      <c r="N123" s="3955"/>
      <c r="O123" s="3955"/>
      <c r="P123" s="3950"/>
      <c r="Q123" s="3911"/>
      <c r="R123" s="3869"/>
      <c r="S123" s="3869"/>
      <c r="T123" s="3869"/>
      <c r="U123" s="3869"/>
      <c r="V123" s="3869"/>
      <c r="W123" s="3869"/>
      <c r="X123" s="3869"/>
      <c r="Y123" s="3869"/>
      <c r="Z123" s="3869"/>
      <c r="AA123" s="3869"/>
      <c r="AB123" s="3869"/>
      <c r="AC123" s="3869"/>
    </row>
    <row r="124" spans="1:29" ht="15" thickTop="1">
      <c r="A124" s="4026"/>
      <c r="B124" s="3956" t="s">
        <v>3504</v>
      </c>
      <c r="C124" s="3999" t="s">
        <v>3505</v>
      </c>
      <c r="D124" s="3999" t="s">
        <v>3506</v>
      </c>
      <c r="E124" s="3999" t="s">
        <v>3507</v>
      </c>
      <c r="F124" s="3999" t="s">
        <v>3508</v>
      </c>
      <c r="G124" s="3999" t="s">
        <v>3509</v>
      </c>
      <c r="H124" s="3957"/>
      <c r="I124" s="3957"/>
      <c r="J124" s="3957"/>
      <c r="K124" s="3958"/>
      <c r="L124" s="3959"/>
      <c r="M124" s="3960"/>
      <c r="N124" s="3949"/>
      <c r="O124" s="3949"/>
      <c r="P124" s="3977"/>
      <c r="Q124" s="3911"/>
      <c r="R124" s="3869"/>
      <c r="S124" s="3869"/>
      <c r="T124" s="3869"/>
      <c r="U124" s="3869"/>
      <c r="V124" s="3869"/>
      <c r="W124" s="3869"/>
      <c r="X124" s="3869"/>
      <c r="Y124" s="3869"/>
      <c r="Z124" s="3869"/>
      <c r="AA124" s="3869"/>
      <c r="AB124" s="3869"/>
      <c r="AC124" s="3869"/>
    </row>
    <row r="125" spans="1:29" ht="15.75" thickBot="1">
      <c r="A125" s="3951"/>
      <c r="B125" s="3961"/>
      <c r="C125" s="3962">
        <v>100</v>
      </c>
      <c r="D125" s="3962">
        <f>C125-$K43</f>
        <v>100</v>
      </c>
      <c r="E125" s="3962">
        <f>D125-$K43</f>
        <v>100</v>
      </c>
      <c r="F125" s="3962">
        <f>E125-$K43</f>
        <v>100</v>
      </c>
      <c r="G125" s="3962">
        <f>F125-$K43</f>
        <v>100</v>
      </c>
      <c r="H125" s="3962"/>
      <c r="I125" s="3962"/>
      <c r="J125" s="3962"/>
      <c r="K125" s="3962"/>
      <c r="L125" s="3962"/>
      <c r="M125" s="3963"/>
      <c r="N125" s="3955"/>
      <c r="O125" s="3955"/>
      <c r="P125" s="3950"/>
      <c r="Q125" s="3911"/>
      <c r="R125" s="3869"/>
      <c r="S125" s="3869"/>
      <c r="T125" s="3869"/>
      <c r="U125" s="3869"/>
      <c r="V125" s="3869"/>
      <c r="W125" s="3869"/>
      <c r="X125" s="3869"/>
      <c r="Y125" s="3869"/>
      <c r="Z125" s="3869"/>
      <c r="AA125" s="3869"/>
      <c r="AB125" s="3869"/>
      <c r="AC125" s="3869"/>
    </row>
    <row r="126" spans="1:29" s="3843" customFormat="1" ht="15" thickTop="1">
      <c r="A126" s="4020"/>
      <c r="B126" s="3956" t="str">
        <f>B44</f>
        <v>地下占比</v>
      </c>
      <c r="C126" s="4003" t="s">
        <v>3436</v>
      </c>
      <c r="D126" s="4003" t="s">
        <v>3452</v>
      </c>
      <c r="E126" s="3972"/>
      <c r="F126" s="3972"/>
      <c r="G126" s="3972"/>
      <c r="H126" s="3973"/>
      <c r="I126" s="3973"/>
      <c r="J126" s="3973"/>
      <c r="K126" s="3973"/>
      <c r="L126" s="3974"/>
      <c r="M126" s="3975"/>
      <c r="N126" s="3976"/>
      <c r="O126" s="3976"/>
      <c r="P126" s="3977"/>
      <c r="Q126" s="3978"/>
      <c r="R126" s="3979"/>
      <c r="S126" s="3979"/>
      <c r="T126" s="3979"/>
      <c r="U126" s="3979"/>
      <c r="V126" s="3979"/>
      <c r="W126" s="3979"/>
      <c r="X126" s="3979"/>
      <c r="Y126" s="3979"/>
      <c r="Z126" s="3979"/>
      <c r="AA126" s="3979"/>
      <c r="AB126" s="3979"/>
      <c r="AC126" s="3979"/>
    </row>
    <row r="127" spans="1:29" s="3843" customFormat="1" ht="15.75" thickBot="1">
      <c r="A127" s="3971"/>
      <c r="B127" s="3961"/>
      <c r="C127" s="3980">
        <v>100</v>
      </c>
      <c r="D127" s="3953">
        <v>110</v>
      </c>
      <c r="E127" s="3953"/>
      <c r="F127" s="3953"/>
      <c r="G127" s="3980"/>
      <c r="H127" s="3983"/>
      <c r="I127" s="3983"/>
      <c r="J127" s="3983"/>
      <c r="K127" s="3983"/>
      <c r="L127" s="3983"/>
      <c r="M127" s="3984"/>
      <c r="N127" s="3976"/>
      <c r="O127" s="3976"/>
      <c r="P127" s="3977"/>
      <c r="Q127" s="3978"/>
      <c r="R127" s="3979"/>
      <c r="S127" s="3979"/>
      <c r="T127" s="3979"/>
      <c r="U127" s="3979"/>
      <c r="V127" s="3979"/>
      <c r="W127" s="3979"/>
      <c r="X127" s="3979"/>
      <c r="Y127" s="3979"/>
      <c r="Z127" s="3979"/>
      <c r="AA127" s="3979"/>
      <c r="AB127" s="3979"/>
      <c r="AC127" s="3979"/>
    </row>
    <row r="128" spans="1:29" ht="15" thickTop="1">
      <c r="A128" s="4026"/>
      <c r="B128" s="3956">
        <f>B45</f>
        <v>111</v>
      </c>
      <c r="C128" s="3972"/>
      <c r="D128" s="3972"/>
      <c r="E128" s="3972"/>
      <c r="F128" s="3972"/>
      <c r="G128" s="4008"/>
      <c r="H128" s="4008"/>
      <c r="I128" s="4008"/>
      <c r="J128" s="4008"/>
      <c r="K128" s="4009"/>
      <c r="L128" s="4010"/>
      <c r="M128" s="4011"/>
      <c r="N128" s="3949"/>
      <c r="O128" s="3949"/>
      <c r="P128" s="3950"/>
      <c r="Q128" s="3911"/>
      <c r="R128" s="3869"/>
      <c r="S128" s="3869"/>
      <c r="T128" s="3869"/>
      <c r="U128" s="3869"/>
      <c r="V128" s="3869"/>
      <c r="W128" s="3869"/>
      <c r="X128" s="3869"/>
      <c r="Y128" s="3869"/>
      <c r="Z128" s="3869"/>
      <c r="AA128" s="3869"/>
      <c r="AB128" s="3869"/>
      <c r="AC128" s="3869"/>
    </row>
    <row r="129" spans="1:29" ht="15.75" thickBot="1">
      <c r="A129" s="3951"/>
      <c r="B129" s="3961"/>
      <c r="C129" s="3980"/>
      <c r="D129" s="3953"/>
      <c r="E129" s="3953"/>
      <c r="F129" s="3953"/>
      <c r="G129" s="3953"/>
      <c r="H129" s="3953"/>
      <c r="I129" s="3953"/>
      <c r="J129" s="3953"/>
      <c r="K129" s="3953"/>
      <c r="L129" s="3953"/>
      <c r="M129" s="3954"/>
      <c r="N129" s="3955"/>
      <c r="O129" s="3955"/>
      <c r="P129" s="3950"/>
      <c r="Q129" s="3911"/>
      <c r="R129" s="3869"/>
      <c r="S129" s="3869"/>
      <c r="T129" s="3869"/>
      <c r="U129" s="3869"/>
      <c r="V129" s="3869"/>
      <c r="W129" s="3869"/>
      <c r="X129" s="3869"/>
      <c r="Y129" s="3869"/>
      <c r="Z129" s="3869"/>
      <c r="AA129" s="3869"/>
      <c r="AB129" s="3869"/>
      <c r="AC129" s="3869"/>
    </row>
    <row r="130" spans="1:29" ht="15" thickTop="1">
      <c r="A130" s="4026"/>
      <c r="B130" s="3964">
        <f>B46</f>
        <v>111</v>
      </c>
      <c r="C130" s="3972"/>
      <c r="D130" s="3972"/>
      <c r="E130" s="3972"/>
      <c r="F130" s="3972"/>
      <c r="G130" s="4012"/>
      <c r="H130" s="4012"/>
      <c r="I130" s="4012"/>
      <c r="J130" s="4012"/>
      <c r="K130" s="3934"/>
      <c r="L130" s="3935"/>
      <c r="M130" s="4015"/>
      <c r="N130" s="3949"/>
      <c r="O130" s="3949"/>
      <c r="P130" s="3950"/>
      <c r="Q130" s="3911"/>
      <c r="R130" s="3869"/>
      <c r="S130" s="3869"/>
      <c r="T130" s="3869"/>
      <c r="U130" s="3869"/>
      <c r="V130" s="3869"/>
      <c r="W130" s="3869"/>
      <c r="X130" s="3869"/>
      <c r="Y130" s="3869"/>
      <c r="Z130" s="3869"/>
      <c r="AA130" s="3869"/>
      <c r="AB130" s="3869"/>
      <c r="AC130" s="3869"/>
    </row>
    <row r="131" spans="1:29" ht="15.75" thickBot="1">
      <c r="A131" s="4016"/>
      <c r="B131" s="3990"/>
      <c r="C131" s="3991"/>
      <c r="D131" s="3991"/>
      <c r="E131" s="3991"/>
      <c r="F131" s="3991"/>
      <c r="G131" s="4017"/>
      <c r="H131" s="4017"/>
      <c r="I131" s="4017"/>
      <c r="J131" s="4017"/>
      <c r="K131" s="4017"/>
      <c r="L131" s="4017"/>
      <c r="M131" s="4018"/>
      <c r="N131" s="3955"/>
      <c r="O131" s="3955"/>
      <c r="P131" s="3950"/>
      <c r="Q131" s="3911"/>
      <c r="R131" s="3869"/>
      <c r="S131" s="3869"/>
      <c r="T131" s="3869"/>
      <c r="U131" s="3869"/>
      <c r="V131" s="3869"/>
      <c r="W131" s="3869"/>
      <c r="X131" s="3869"/>
      <c r="Y131" s="3869"/>
      <c r="Z131" s="3869"/>
      <c r="AA131" s="3869"/>
      <c r="AB131" s="3869"/>
      <c r="AC131" s="386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N41" sqref="N4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1102</v>
      </c>
      <c r="E1" s="2493"/>
      <c r="F1" s="2015" t="s">
        <v>3225</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59230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62275</v>
      </c>
      <c r="C3" s="360" t="s">
        <v>2224</v>
      </c>
      <c r="D3" s="359">
        <f>IF(D1="",'数据-汇总表'!E3,SUMIF('数据-汇总表'!$C19:$C33,D1,'数据-汇总表'!$E19:$E33))</f>
        <v>9511.0600000000013</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501" t="s">
        <v>2226</v>
      </c>
      <c r="D4" s="3502"/>
      <c r="E4" s="3503" t="s">
        <v>2227</v>
      </c>
      <c r="F4" s="3504"/>
      <c r="G4" s="3501" t="s">
        <v>2228</v>
      </c>
      <c r="H4" s="3502"/>
      <c r="I4" s="3501" t="s">
        <v>2229</v>
      </c>
      <c r="J4" s="3502"/>
      <c r="K4" s="567" t="s">
        <v>2230</v>
      </c>
      <c r="L4" s="2893"/>
      <c r="M4" s="2894"/>
      <c r="N4" s="2894"/>
      <c r="O4" s="2894"/>
      <c r="P4" s="3505" t="s">
        <v>2231</v>
      </c>
      <c r="Q4" s="3506"/>
      <c r="R4" s="3488" t="s">
        <v>2227</v>
      </c>
      <c r="S4" s="3489"/>
      <c r="T4" s="3488" t="s">
        <v>2228</v>
      </c>
      <c r="U4" s="3489"/>
      <c r="V4" s="3513" t="s">
        <v>2229</v>
      </c>
      <c r="W4" s="3513"/>
      <c r="X4" s="1489"/>
      <c r="Y4" s="3488" t="s">
        <v>2231</v>
      </c>
      <c r="Z4" s="3489"/>
      <c r="AA4" s="3483" t="s">
        <v>2227</v>
      </c>
      <c r="AB4" s="3513" t="s">
        <v>2228</v>
      </c>
      <c r="AC4" s="3483" t="s">
        <v>2229</v>
      </c>
    </row>
    <row r="5" spans="1:29" ht="15">
      <c r="A5" s="364"/>
      <c r="B5" s="365"/>
      <c r="C5" s="3494" t="s">
        <v>2122</v>
      </c>
      <c r="D5" s="3495"/>
      <c r="E5" s="3492" t="str">
        <f>Sheet2!F155</f>
        <v>西坝河</v>
      </c>
      <c r="F5" s="3493"/>
      <c r="G5" s="3494" t="str">
        <f>Sheet2!F156</f>
        <v>和平里北街</v>
      </c>
      <c r="H5" s="3495"/>
      <c r="I5" s="3494" t="str">
        <f>Sheet2!F157</f>
        <v>柳芳北街</v>
      </c>
      <c r="J5" s="3495"/>
      <c r="K5" s="567"/>
      <c r="L5" s="2893"/>
      <c r="M5" s="2894"/>
      <c r="N5" s="2894"/>
      <c r="O5" s="2894"/>
      <c r="P5" s="3507"/>
      <c r="Q5" s="3508"/>
      <c r="R5" s="3490"/>
      <c r="S5" s="3491"/>
      <c r="T5" s="3490"/>
      <c r="U5" s="3491"/>
      <c r="V5" s="3513"/>
      <c r="W5" s="3513"/>
      <c r="X5" s="1489"/>
      <c r="Y5" s="3490"/>
      <c r="Z5" s="3491"/>
      <c r="AA5" s="3484"/>
      <c r="AB5" s="3513"/>
      <c r="AC5" s="3484"/>
    </row>
    <row r="6" spans="1:29" ht="15.75" thickBot="1">
      <c r="A6" s="366"/>
      <c r="B6" s="367"/>
      <c r="C6" s="3496" t="s">
        <v>2126</v>
      </c>
      <c r="D6" s="3497"/>
      <c r="E6" s="3498" t="s">
        <v>2126</v>
      </c>
      <c r="F6" s="3499"/>
      <c r="G6" s="3496" t="s">
        <v>2126</v>
      </c>
      <c r="H6" s="3497"/>
      <c r="I6" s="3496" t="s">
        <v>2126</v>
      </c>
      <c r="J6" s="3497"/>
      <c r="K6" s="567" t="s">
        <v>2127</v>
      </c>
      <c r="L6" s="2893"/>
      <c r="M6" s="2894"/>
      <c r="N6" s="2894"/>
      <c r="O6" s="2894"/>
      <c r="P6" s="3509"/>
      <c r="Q6" s="3510"/>
      <c r="R6" s="3490"/>
      <c r="S6" s="3491"/>
      <c r="T6" s="3511"/>
      <c r="U6" s="3512"/>
      <c r="V6" s="3513"/>
      <c r="W6" s="3513"/>
      <c r="X6" s="1489"/>
      <c r="Y6" s="3511"/>
      <c r="Z6" s="3512"/>
      <c r="AA6" s="3485"/>
      <c r="AB6" s="3513"/>
      <c r="AC6" s="3485"/>
    </row>
    <row r="7" spans="1:29" s="113" customFormat="1" ht="15.75" thickBot="1">
      <c r="A7" s="368" t="s">
        <v>2128</v>
      </c>
      <c r="B7" s="369"/>
      <c r="C7" s="370">
        <f>'数据-取费表'!B2</f>
        <v>44873</v>
      </c>
      <c r="D7" s="371">
        <v>100</v>
      </c>
      <c r="E7" s="372">
        <f>C7</f>
        <v>44873</v>
      </c>
      <c r="F7" s="373">
        <f>SUMIF(58:58,YEAR(E7)&amp;"-"&amp;MONTH(E7),59:59)</f>
        <v>100</v>
      </c>
      <c r="G7" s="372">
        <f>C7</f>
        <v>44873</v>
      </c>
      <c r="H7" s="371">
        <f>SUMIF(58:58,YEAR(G7)&amp;"-"&amp;MONTH(G7),59:59)</f>
        <v>100</v>
      </c>
      <c r="I7" s="372">
        <f>C7</f>
        <v>44873</v>
      </c>
      <c r="J7" s="371">
        <f>SUMIF(58:58,YEAR(I7)&amp;"-"&amp;MONTH(I7),59:59)</f>
        <v>100</v>
      </c>
      <c r="K7" s="568"/>
      <c r="L7" s="2895"/>
      <c r="M7" s="2896"/>
      <c r="N7" s="2896"/>
      <c r="O7" s="2896"/>
      <c r="P7" s="3486" t="s">
        <v>2129</v>
      </c>
      <c r="Q7" s="3514"/>
      <c r="R7" s="709" t="s">
        <v>17</v>
      </c>
      <c r="S7" s="710">
        <f t="shared" ref="S7:S15" si="0">F7</f>
        <v>100</v>
      </c>
      <c r="T7" s="709" t="s">
        <v>17</v>
      </c>
      <c r="U7" s="710">
        <f t="shared" ref="U7:U15" si="1">H7</f>
        <v>100</v>
      </c>
      <c r="V7" s="709" t="s">
        <v>17</v>
      </c>
      <c r="W7" s="710">
        <f t="shared" ref="W7:W15" si="2">J7</f>
        <v>100</v>
      </c>
      <c r="X7" s="711"/>
      <c r="Y7" s="3486" t="s">
        <v>2129</v>
      </c>
      <c r="Z7" s="3487"/>
      <c r="AA7" s="712">
        <f>D7/F7</f>
        <v>1</v>
      </c>
      <c r="AB7" s="712">
        <f>D7/H7</f>
        <v>1</v>
      </c>
      <c r="AC7" s="712">
        <f>D7/J7</f>
        <v>1</v>
      </c>
    </row>
    <row r="8" spans="1:29" s="113" customFormat="1" ht="15.75" thickBot="1">
      <c r="A8" s="368" t="s">
        <v>2130</v>
      </c>
      <c r="B8" s="369"/>
      <c r="C8" s="374" t="s">
        <v>2232</v>
      </c>
      <c r="D8" s="371">
        <v>100</v>
      </c>
      <c r="E8" s="3249" t="s">
        <v>3226</v>
      </c>
      <c r="F8" s="373">
        <f>SUMIF(61:61,E8,62:62)-SUMIF(61:61,C8,62:62)+100</f>
        <v>100</v>
      </c>
      <c r="G8" s="3249" t="s">
        <v>3226</v>
      </c>
      <c r="H8" s="371">
        <f>SUMIF(61:61,G8,62:62)-SUMIF(61:61,C8,62:62)+100</f>
        <v>100</v>
      </c>
      <c r="I8" s="3249" t="s">
        <v>3226</v>
      </c>
      <c r="J8" s="371">
        <f>SUMIF(61:61,I8,62:62)-SUMIF(61:61,C8,62:62)+100</f>
        <v>100</v>
      </c>
      <c r="K8" s="568"/>
      <c r="L8" s="2895"/>
      <c r="M8" s="2896"/>
      <c r="N8" s="2896"/>
      <c r="O8" s="2896"/>
      <c r="P8" s="3486" t="s">
        <v>2132</v>
      </c>
      <c r="Q8" s="3487"/>
      <c r="R8" s="709" t="s">
        <v>17</v>
      </c>
      <c r="S8" s="710">
        <f t="shared" si="0"/>
        <v>100</v>
      </c>
      <c r="T8" s="709" t="s">
        <v>17</v>
      </c>
      <c r="U8" s="710">
        <f t="shared" si="1"/>
        <v>100</v>
      </c>
      <c r="V8" s="709" t="s">
        <v>17</v>
      </c>
      <c r="W8" s="710">
        <f t="shared" si="2"/>
        <v>100</v>
      </c>
      <c r="X8" s="711"/>
      <c r="Y8" s="3486" t="s">
        <v>2132</v>
      </c>
      <c r="Z8" s="3487"/>
      <c r="AA8" s="712">
        <f t="shared" ref="AA8:AA46" si="3">D8/F8</f>
        <v>1</v>
      </c>
      <c r="AB8" s="712">
        <f t="shared" ref="AB8:AB46" si="4">D8/H8</f>
        <v>1</v>
      </c>
      <c r="AC8" s="712">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00"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00"/>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712">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500"/>
      <c r="Q11" s="1477" t="str">
        <f t="shared" si="6"/>
        <v>容积率</v>
      </c>
      <c r="R11" s="709" t="s">
        <v>17</v>
      </c>
      <c r="S11" s="710">
        <f t="shared" si="0"/>
        <v>100</v>
      </c>
      <c r="T11" s="709" t="s">
        <v>17</v>
      </c>
      <c r="U11" s="710">
        <f t="shared" si="1"/>
        <v>100</v>
      </c>
      <c r="V11" s="709" t="s">
        <v>17</v>
      </c>
      <c r="W11" s="710">
        <f t="shared" si="2"/>
        <v>100</v>
      </c>
      <c r="X11" s="711"/>
      <c r="Y11" s="3430"/>
      <c r="Z11" s="55" t="str">
        <f t="shared" si="7"/>
        <v>容积率</v>
      </c>
      <c r="AA11" s="712">
        <f t="shared" si="3"/>
        <v>1</v>
      </c>
      <c r="AB11" s="712">
        <f t="shared" si="4"/>
        <v>1</v>
      </c>
      <c r="AC11" s="712">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00"/>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00"/>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00"/>
      <c r="Q14" s="1477">
        <f t="shared" si="6"/>
        <v>111</v>
      </c>
      <c r="R14" s="709" t="s">
        <v>17</v>
      </c>
      <c r="S14" s="710">
        <f t="shared" si="0"/>
        <v>100</v>
      </c>
      <c r="T14" s="709" t="s">
        <v>17</v>
      </c>
      <c r="U14" s="710">
        <f t="shared" si="1"/>
        <v>100</v>
      </c>
      <c r="V14" s="709" t="s">
        <v>17</v>
      </c>
      <c r="W14" s="710">
        <f t="shared" si="2"/>
        <v>100</v>
      </c>
      <c r="X14" s="711"/>
      <c r="Y14" s="3430"/>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7" t="s">
        <v>2140</v>
      </c>
      <c r="Q15" s="1486" t="str">
        <f t="shared" si="6"/>
        <v>商业繁华度</v>
      </c>
      <c r="R15" s="713" t="s">
        <v>17</v>
      </c>
      <c r="S15" s="714">
        <f t="shared" si="0"/>
        <v>100</v>
      </c>
      <c r="T15" s="713" t="s">
        <v>17</v>
      </c>
      <c r="U15" s="714">
        <f t="shared" si="1"/>
        <v>100</v>
      </c>
      <c r="V15" s="713" t="s">
        <v>17</v>
      </c>
      <c r="W15" s="714">
        <f t="shared" si="2"/>
        <v>100</v>
      </c>
      <c r="X15" s="1489"/>
      <c r="Y15" s="3520"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28"/>
      <c r="Q16" s="1486"/>
      <c r="R16" s="713"/>
      <c r="S16" s="714"/>
      <c r="T16" s="713"/>
      <c r="U16" s="714"/>
      <c r="V16" s="713"/>
      <c r="W16" s="714"/>
      <c r="X16" s="1489"/>
      <c r="Y16" s="3521"/>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8"/>
      <c r="Q17" s="1486" t="str">
        <f>B17</f>
        <v>交通便捷度</v>
      </c>
      <c r="R17" s="713" t="s">
        <v>17</v>
      </c>
      <c r="S17" s="714">
        <f>F17</f>
        <v>100</v>
      </c>
      <c r="T17" s="713" t="s">
        <v>17</v>
      </c>
      <c r="U17" s="714">
        <f>H17</f>
        <v>100</v>
      </c>
      <c r="V17" s="713" t="s">
        <v>17</v>
      </c>
      <c r="W17" s="714">
        <f>J17</f>
        <v>100</v>
      </c>
      <c r="X17" s="1489"/>
      <c r="Y17" s="352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28"/>
      <c r="Q18" s="1486"/>
      <c r="R18" s="713"/>
      <c r="S18" s="714"/>
      <c r="T18" s="713"/>
      <c r="U18" s="714"/>
      <c r="V18" s="713"/>
      <c r="W18" s="714"/>
      <c r="X18" s="1489"/>
      <c r="Y18" s="3521"/>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8"/>
      <c r="Q19" s="1486" t="str">
        <f>B19</f>
        <v>公共配套设施</v>
      </c>
      <c r="R19" s="713" t="s">
        <v>17</v>
      </c>
      <c r="S19" s="714">
        <f>F19</f>
        <v>100</v>
      </c>
      <c r="T19" s="713" t="s">
        <v>17</v>
      </c>
      <c r="U19" s="714">
        <f>H19</f>
        <v>100</v>
      </c>
      <c r="V19" s="713" t="s">
        <v>17</v>
      </c>
      <c r="W19" s="714">
        <f>J19</f>
        <v>100</v>
      </c>
      <c r="X19" s="1489"/>
      <c r="Y19" s="352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28"/>
      <c r="Q20" s="1486"/>
      <c r="R20" s="713"/>
      <c r="S20" s="714"/>
      <c r="T20" s="713"/>
      <c r="U20" s="714"/>
      <c r="V20" s="713"/>
      <c r="W20" s="714"/>
      <c r="X20" s="1489"/>
      <c r="Y20" s="3521"/>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8"/>
      <c r="Q21" s="1486" t="str">
        <f>B21</f>
        <v>基础设施水平</v>
      </c>
      <c r="R21" s="713" t="s">
        <v>17</v>
      </c>
      <c r="S21" s="714">
        <f>F21</f>
        <v>100</v>
      </c>
      <c r="T21" s="713" t="s">
        <v>17</v>
      </c>
      <c r="U21" s="714">
        <f>H21</f>
        <v>100</v>
      </c>
      <c r="V21" s="713" t="s">
        <v>17</v>
      </c>
      <c r="W21" s="714">
        <f>J21</f>
        <v>100</v>
      </c>
      <c r="X21" s="1489"/>
      <c r="Y21" s="352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528"/>
      <c r="Q22" s="1486"/>
      <c r="R22" s="713"/>
      <c r="S22" s="714"/>
      <c r="T22" s="713"/>
      <c r="U22" s="714"/>
      <c r="V22" s="713"/>
      <c r="W22" s="714"/>
      <c r="X22" s="1489"/>
      <c r="Y22" s="3521"/>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8"/>
      <c r="Q23" s="1486" t="str">
        <f>B23</f>
        <v>自然及人文环境</v>
      </c>
      <c r="R23" s="713" t="s">
        <v>17</v>
      </c>
      <c r="S23" s="714">
        <f>F23</f>
        <v>100</v>
      </c>
      <c r="T23" s="713" t="s">
        <v>17</v>
      </c>
      <c r="U23" s="714">
        <f>H23</f>
        <v>100</v>
      </c>
      <c r="V23" s="713" t="s">
        <v>17</v>
      </c>
      <c r="W23" s="714">
        <f>J23</f>
        <v>100</v>
      </c>
      <c r="X23" s="1489"/>
      <c r="Y23" s="3521"/>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28"/>
      <c r="Q24" s="1486"/>
      <c r="R24" s="713"/>
      <c r="S24" s="714"/>
      <c r="T24" s="713"/>
      <c r="U24" s="714"/>
      <c r="V24" s="713"/>
      <c r="W24" s="714"/>
      <c r="X24" s="1489"/>
      <c r="Y24" s="3521"/>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8"/>
      <c r="Q25" s="1486" t="str">
        <f t="shared" ref="Q25:Q46" si="11">B25</f>
        <v>临街状况</v>
      </c>
      <c r="R25" s="713" t="s">
        <v>17</v>
      </c>
      <c r="S25" s="714">
        <f>F25</f>
        <v>100</v>
      </c>
      <c r="T25" s="713" t="s">
        <v>17</v>
      </c>
      <c r="U25" s="714">
        <f>H25</f>
        <v>100</v>
      </c>
      <c r="V25" s="713" t="s">
        <v>17</v>
      </c>
      <c r="W25" s="714">
        <f>J25</f>
        <v>100</v>
      </c>
      <c r="X25" s="1489"/>
      <c r="Y25" s="3521"/>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8"/>
      <c r="Q26" s="1486" t="str">
        <f t="shared" si="11"/>
        <v>平面位置/可视性</v>
      </c>
      <c r="R26" s="713" t="s">
        <v>17</v>
      </c>
      <c r="S26" s="714">
        <f>F26</f>
        <v>100</v>
      </c>
      <c r="T26" s="713" t="s">
        <v>17</v>
      </c>
      <c r="U26" s="714">
        <f>H26</f>
        <v>100</v>
      </c>
      <c r="V26" s="713" t="s">
        <v>17</v>
      </c>
      <c r="W26" s="714">
        <f>J26</f>
        <v>100</v>
      </c>
      <c r="X26" s="1489"/>
      <c r="Y26" s="3521"/>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28"/>
      <c r="Q27" s="1477" t="str">
        <f t="shared" si="11"/>
        <v>人流量</v>
      </c>
      <c r="R27" s="709" t="s">
        <v>17</v>
      </c>
      <c r="S27" s="710">
        <f>F27</f>
        <v>100</v>
      </c>
      <c r="T27" s="709" t="s">
        <v>17</v>
      </c>
      <c r="U27" s="710">
        <f>H27</f>
        <v>100</v>
      </c>
      <c r="V27" s="709" t="s">
        <v>17</v>
      </c>
      <c r="W27" s="710">
        <f>J27</f>
        <v>100</v>
      </c>
      <c r="X27" s="711"/>
      <c r="Y27" s="3521"/>
      <c r="Z27" s="55" t="str">
        <f>Q27</f>
        <v>人流量</v>
      </c>
      <c r="AA27" s="1487">
        <f>D27/F27</f>
        <v>1</v>
      </c>
      <c r="AB27" s="1487">
        <f>D27/H27</f>
        <v>1</v>
      </c>
      <c r="AC27" s="1487">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28"/>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21"/>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8"/>
      <c r="Q29" s="1486">
        <f t="shared" si="11"/>
        <v>111</v>
      </c>
      <c r="R29" s="713" t="s">
        <v>17</v>
      </c>
      <c r="S29" s="714">
        <f t="shared" si="12"/>
        <v>100</v>
      </c>
      <c r="T29" s="713" t="s">
        <v>17</v>
      </c>
      <c r="U29" s="714">
        <f t="shared" si="13"/>
        <v>100</v>
      </c>
      <c r="V29" s="713" t="s">
        <v>17</v>
      </c>
      <c r="W29" s="714">
        <f t="shared" si="14"/>
        <v>100</v>
      </c>
      <c r="X29" s="1489"/>
      <c r="Y29" s="3521"/>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8"/>
      <c r="Q30" s="1486">
        <f t="shared" si="11"/>
        <v>111</v>
      </c>
      <c r="R30" s="713" t="s">
        <v>17</v>
      </c>
      <c r="S30" s="714">
        <f t="shared" si="12"/>
        <v>100</v>
      </c>
      <c r="T30" s="713" t="s">
        <v>17</v>
      </c>
      <c r="U30" s="714">
        <f t="shared" si="13"/>
        <v>100</v>
      </c>
      <c r="V30" s="713" t="s">
        <v>17</v>
      </c>
      <c r="W30" s="714">
        <f t="shared" si="14"/>
        <v>100</v>
      </c>
      <c r="X30" s="1489"/>
      <c r="Y30" s="3521"/>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8"/>
      <c r="Q31" s="1486">
        <f t="shared" si="11"/>
        <v>111</v>
      </c>
      <c r="R31" s="713" t="s">
        <v>17</v>
      </c>
      <c r="S31" s="714">
        <f t="shared" si="12"/>
        <v>100</v>
      </c>
      <c r="T31" s="713" t="s">
        <v>17</v>
      </c>
      <c r="U31" s="714">
        <f t="shared" si="13"/>
        <v>100</v>
      </c>
      <c r="V31" s="713" t="s">
        <v>17</v>
      </c>
      <c r="W31" s="714">
        <f t="shared" si="14"/>
        <v>100</v>
      </c>
      <c r="X31" s="1489"/>
      <c r="Y31" s="3521"/>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22" t="s">
        <v>2145</v>
      </c>
      <c r="Q32" s="1486" t="str">
        <f t="shared" si="11"/>
        <v>商业类型</v>
      </c>
      <c r="R32" s="713" t="s">
        <v>17</v>
      </c>
      <c r="S32" s="714">
        <f t="shared" si="12"/>
        <v>100</v>
      </c>
      <c r="T32" s="713" t="s">
        <v>17</v>
      </c>
      <c r="U32" s="714">
        <f t="shared" si="13"/>
        <v>100</v>
      </c>
      <c r="V32" s="713" t="s">
        <v>17</v>
      </c>
      <c r="W32" s="714">
        <f t="shared" si="14"/>
        <v>100</v>
      </c>
      <c r="X32" s="1489"/>
      <c r="Y32" s="3525" t="s">
        <v>2145</v>
      </c>
      <c r="Z32" s="1490" t="str">
        <f t="shared" si="15"/>
        <v>商业类型</v>
      </c>
      <c r="AA32" s="1487">
        <f t="shared" si="3"/>
        <v>1</v>
      </c>
      <c r="AB32" s="1487">
        <f t="shared" si="4"/>
        <v>1</v>
      </c>
      <c r="AC32" s="1487">
        <f t="shared" si="5"/>
        <v>1</v>
      </c>
    </row>
    <row r="33" spans="1:29" s="430" customFormat="1" ht="15">
      <c r="A33" s="427"/>
      <c r="B33" s="381" t="s">
        <v>2146</v>
      </c>
      <c r="C33" s="428">
        <f>典型户型修正!B24</f>
        <v>2143.5700000000002</v>
      </c>
      <c r="D33" s="132">
        <v>100</v>
      </c>
      <c r="E33" s="389">
        <f>Sheet2!G155</f>
        <v>356</v>
      </c>
      <c r="F33" s="384">
        <f>LOOKUP(E33,103:103,104:104)-LOOKUP(C33,103:103,104:104)+100</f>
        <v>106</v>
      </c>
      <c r="G33" s="388">
        <f>Sheet2!G156</f>
        <v>78.599999999999994</v>
      </c>
      <c r="H33" s="132">
        <f>LOOKUP(G33,103:103,104:104)-LOOKUP(C33,103:103,104:104)+100</f>
        <v>110</v>
      </c>
      <c r="I33" s="388">
        <f>Sheet2!G157</f>
        <v>212</v>
      </c>
      <c r="J33" s="132">
        <f>LOOKUP(I33,103:103,104:104)-LOOKUP(C33,103:103,104:104)+100</f>
        <v>106</v>
      </c>
      <c r="K33" s="570"/>
      <c r="L33" s="2899"/>
      <c r="M33" s="2901"/>
      <c r="N33" s="2901"/>
      <c r="O33" s="2901"/>
      <c r="P33" s="3523"/>
      <c r="Q33" s="715" t="str">
        <f t="shared" si="11"/>
        <v>项目建筑规模</v>
      </c>
      <c r="R33" s="716" t="s">
        <v>17</v>
      </c>
      <c r="S33" s="717">
        <f t="shared" si="12"/>
        <v>106</v>
      </c>
      <c r="T33" s="716" t="s">
        <v>17</v>
      </c>
      <c r="U33" s="717">
        <f t="shared" si="13"/>
        <v>110</v>
      </c>
      <c r="V33" s="716" t="s">
        <v>17</v>
      </c>
      <c r="W33" s="717">
        <f t="shared" si="14"/>
        <v>106</v>
      </c>
      <c r="X33" s="718"/>
      <c r="Y33" s="3525"/>
      <c r="Z33" s="719" t="str">
        <f t="shared" si="15"/>
        <v>项目建筑规模</v>
      </c>
      <c r="AA33" s="1487">
        <f t="shared" si="3"/>
        <v>0.94339622641509435</v>
      </c>
      <c r="AB33" s="1487">
        <f t="shared" si="4"/>
        <v>0.90909090909090906</v>
      </c>
      <c r="AC33" s="1487">
        <f t="shared" si="5"/>
        <v>0.94339622641509435</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23"/>
      <c r="Q34" s="1486" t="str">
        <f t="shared" si="11"/>
        <v>建筑结构</v>
      </c>
      <c r="R34" s="713" t="s">
        <v>17</v>
      </c>
      <c r="S34" s="714">
        <f t="shared" si="12"/>
        <v>100</v>
      </c>
      <c r="T34" s="713" t="s">
        <v>17</v>
      </c>
      <c r="U34" s="714">
        <f t="shared" si="13"/>
        <v>100</v>
      </c>
      <c r="V34" s="713" t="s">
        <v>17</v>
      </c>
      <c r="W34" s="714">
        <f t="shared" si="14"/>
        <v>100</v>
      </c>
      <c r="X34" s="1489"/>
      <c r="Y34" s="3525"/>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23"/>
      <c r="Q35" s="1486" t="str">
        <f t="shared" si="11"/>
        <v>公共部分装修</v>
      </c>
      <c r="R35" s="713" t="s">
        <v>17</v>
      </c>
      <c r="S35" s="714">
        <f t="shared" si="12"/>
        <v>100</v>
      </c>
      <c r="T35" s="713" t="s">
        <v>17</v>
      </c>
      <c r="U35" s="714">
        <f t="shared" si="13"/>
        <v>100</v>
      </c>
      <c r="V35" s="713" t="s">
        <v>17</v>
      </c>
      <c r="W35" s="714">
        <f t="shared" si="14"/>
        <v>100</v>
      </c>
      <c r="X35" s="1489"/>
      <c r="Y35" s="3525"/>
      <c r="Z35" s="1490" t="str">
        <f t="shared" si="15"/>
        <v>公共部分装修</v>
      </c>
      <c r="AA35" s="1487">
        <f t="shared" si="3"/>
        <v>1</v>
      </c>
      <c r="AB35" s="1487">
        <f t="shared" si="4"/>
        <v>1</v>
      </c>
      <c r="AC35" s="1487">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c r="L36" s="2900"/>
      <c r="M36" s="2894"/>
      <c r="N36" s="2894"/>
      <c r="O36" s="2894"/>
      <c r="P36" s="3523"/>
      <c r="Q36" s="1486" t="str">
        <f t="shared" si="11"/>
        <v>成新度</v>
      </c>
      <c r="R36" s="713" t="s">
        <v>17</v>
      </c>
      <c r="S36" s="714">
        <f t="shared" si="12"/>
        <v>100</v>
      </c>
      <c r="T36" s="713" t="s">
        <v>17</v>
      </c>
      <c r="U36" s="714">
        <f t="shared" si="13"/>
        <v>100</v>
      </c>
      <c r="V36" s="713" t="s">
        <v>17</v>
      </c>
      <c r="W36" s="714">
        <f t="shared" si="14"/>
        <v>100</v>
      </c>
      <c r="X36" s="1489"/>
      <c r="Y36" s="3525"/>
      <c r="Z36" s="1490" t="str">
        <f t="shared" si="15"/>
        <v>成新度</v>
      </c>
      <c r="AA36" s="1487">
        <f t="shared" si="3"/>
        <v>1</v>
      </c>
      <c r="AB36" s="1487">
        <f t="shared" si="4"/>
        <v>1</v>
      </c>
      <c r="AC36" s="1487">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23"/>
      <c r="Q37" s="1477" t="str">
        <f t="shared" si="11"/>
        <v>市政基础设施</v>
      </c>
      <c r="R37" s="709" t="s">
        <v>17</v>
      </c>
      <c r="S37" s="710">
        <f t="shared" si="12"/>
        <v>100</v>
      </c>
      <c r="T37" s="709" t="s">
        <v>17</v>
      </c>
      <c r="U37" s="710">
        <f t="shared" si="13"/>
        <v>100</v>
      </c>
      <c r="V37" s="709" t="s">
        <v>17</v>
      </c>
      <c r="W37" s="710">
        <f t="shared" si="14"/>
        <v>100</v>
      </c>
      <c r="X37" s="711"/>
      <c r="Y37" s="3525"/>
      <c r="Z37" s="55" t="str">
        <f t="shared" si="15"/>
        <v>市政基础设施</v>
      </c>
      <c r="AA37" s="712">
        <f t="shared" si="3"/>
        <v>1</v>
      </c>
      <c r="AB37" s="712">
        <f t="shared" si="4"/>
        <v>1</v>
      </c>
      <c r="AC37" s="712">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23" t="s">
        <v>2145</v>
      </c>
      <c r="Q38" s="1486" t="str">
        <f t="shared" si="11"/>
        <v>业态</v>
      </c>
      <c r="R38" s="713" t="s">
        <v>17</v>
      </c>
      <c r="S38" s="714">
        <f t="shared" si="12"/>
        <v>100</v>
      </c>
      <c r="T38" s="713" t="s">
        <v>17</v>
      </c>
      <c r="U38" s="714">
        <f t="shared" si="13"/>
        <v>100</v>
      </c>
      <c r="V38" s="713" t="s">
        <v>17</v>
      </c>
      <c r="W38" s="714">
        <f t="shared" si="14"/>
        <v>100</v>
      </c>
      <c r="X38" s="1489"/>
      <c r="Y38" s="3525" t="s">
        <v>2145</v>
      </c>
      <c r="Z38" s="1490" t="str">
        <f t="shared" si="15"/>
        <v>业态</v>
      </c>
      <c r="AA38" s="1487">
        <f t="shared" si="3"/>
        <v>1</v>
      </c>
      <c r="AB38" s="1487">
        <f t="shared" si="4"/>
        <v>1</v>
      </c>
      <c r="AC38" s="1487">
        <f t="shared" si="5"/>
        <v>1</v>
      </c>
    </row>
    <row r="39" spans="1:29" ht="15">
      <c r="A39" s="431"/>
      <c r="B39" s="381" t="s">
        <v>2245</v>
      </c>
      <c r="C39" s="3252" t="s">
        <v>3239</v>
      </c>
      <c r="D39" s="394">
        <v>100</v>
      </c>
      <c r="E39" s="3252" t="s">
        <v>3241</v>
      </c>
      <c r="F39" s="420">
        <f>SUMIF(116:116,E39,117:117)-SUMIF(116:116,C39,117:117)+100</f>
        <v>105</v>
      </c>
      <c r="G39" s="3252" t="s">
        <v>3240</v>
      </c>
      <c r="H39" s="394">
        <f>SUMIF(116:116,G39,117:117)-SUMIF(116:116,C39,117:117)+100</f>
        <v>105</v>
      </c>
      <c r="I39" s="3252" t="s">
        <v>3241</v>
      </c>
      <c r="J39" s="394">
        <f>SUMIF(116:116,I39,117:117)-SUMIF(116:116,C39,117:117)+100</f>
        <v>105</v>
      </c>
      <c r="K39" s="569">
        <v>5</v>
      </c>
      <c r="L39" s="2900"/>
      <c r="M39" s="2894"/>
      <c r="N39" s="2894"/>
      <c r="O39" s="2894"/>
      <c r="P39" s="3523"/>
      <c r="Q39" s="1486" t="str">
        <f t="shared" si="11"/>
        <v>层高</v>
      </c>
      <c r="R39" s="713" t="s">
        <v>17</v>
      </c>
      <c r="S39" s="714">
        <f t="shared" si="12"/>
        <v>105</v>
      </c>
      <c r="T39" s="713" t="s">
        <v>17</v>
      </c>
      <c r="U39" s="714">
        <f t="shared" si="13"/>
        <v>105</v>
      </c>
      <c r="V39" s="713" t="s">
        <v>17</v>
      </c>
      <c r="W39" s="714">
        <f t="shared" si="14"/>
        <v>105</v>
      </c>
      <c r="X39" s="1489"/>
      <c r="Y39" s="3525"/>
      <c r="Z39" s="1490" t="str">
        <f t="shared" si="15"/>
        <v>层高</v>
      </c>
      <c r="AA39" s="1487">
        <f t="shared" si="3"/>
        <v>0.95238095238095233</v>
      </c>
      <c r="AB39" s="1487">
        <f t="shared" si="4"/>
        <v>0.95238095238095233</v>
      </c>
      <c r="AC39" s="1487">
        <f t="shared" si="5"/>
        <v>0.95238095238095233</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23"/>
      <c r="Q40" s="1486" t="str">
        <f t="shared" si="11"/>
        <v>单套建筑面积</v>
      </c>
      <c r="R40" s="713" t="s">
        <v>17</v>
      </c>
      <c r="S40" s="714">
        <f t="shared" si="12"/>
        <v>100</v>
      </c>
      <c r="T40" s="713" t="s">
        <v>17</v>
      </c>
      <c r="U40" s="714">
        <f t="shared" si="13"/>
        <v>100</v>
      </c>
      <c r="V40" s="713" t="s">
        <v>17</v>
      </c>
      <c r="W40" s="714">
        <f t="shared" si="14"/>
        <v>100</v>
      </c>
      <c r="X40" s="1489"/>
      <c r="Y40" s="3525"/>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23"/>
      <c r="Q41" s="715" t="str">
        <f t="shared" si="11"/>
        <v>进深比</v>
      </c>
      <c r="R41" s="716" t="s">
        <v>17</v>
      </c>
      <c r="S41" s="717">
        <f t="shared" si="12"/>
        <v>100</v>
      </c>
      <c r="T41" s="716" t="s">
        <v>17</v>
      </c>
      <c r="U41" s="717">
        <f t="shared" si="13"/>
        <v>100</v>
      </c>
      <c r="V41" s="716" t="s">
        <v>17</v>
      </c>
      <c r="W41" s="717">
        <f t="shared" si="14"/>
        <v>100</v>
      </c>
      <c r="X41" s="718"/>
      <c r="Y41" s="3525"/>
      <c r="Z41" s="719"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23"/>
      <c r="Q42" s="1486" t="str">
        <f t="shared" si="11"/>
        <v>内部装修</v>
      </c>
      <c r="R42" s="713" t="s">
        <v>17</v>
      </c>
      <c r="S42" s="714">
        <f t="shared" si="12"/>
        <v>100</v>
      </c>
      <c r="T42" s="713" t="s">
        <v>17</v>
      </c>
      <c r="U42" s="714">
        <f t="shared" si="13"/>
        <v>100</v>
      </c>
      <c r="V42" s="713" t="s">
        <v>17</v>
      </c>
      <c r="W42" s="714">
        <f t="shared" si="14"/>
        <v>100</v>
      </c>
      <c r="X42" s="1489"/>
      <c r="Y42" s="3525"/>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23"/>
      <c r="Q43" s="1486" t="str">
        <f t="shared" si="11"/>
        <v>内部装修维护情况</v>
      </c>
      <c r="R43" s="713" t="s">
        <v>17</v>
      </c>
      <c r="S43" s="714">
        <f t="shared" si="12"/>
        <v>100</v>
      </c>
      <c r="T43" s="713" t="s">
        <v>17</v>
      </c>
      <c r="U43" s="714">
        <f t="shared" si="13"/>
        <v>100</v>
      </c>
      <c r="V43" s="713" t="s">
        <v>17</v>
      </c>
      <c r="W43" s="714">
        <f t="shared" si="14"/>
        <v>100</v>
      </c>
      <c r="X43" s="1489"/>
      <c r="Y43" s="3525"/>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23"/>
      <c r="Q44" s="1477">
        <f t="shared" si="11"/>
        <v>111</v>
      </c>
      <c r="R44" s="709" t="s">
        <v>17</v>
      </c>
      <c r="S44" s="710">
        <f t="shared" si="12"/>
        <v>100</v>
      </c>
      <c r="T44" s="709" t="s">
        <v>17</v>
      </c>
      <c r="U44" s="710">
        <f t="shared" si="13"/>
        <v>100</v>
      </c>
      <c r="V44" s="709" t="s">
        <v>17</v>
      </c>
      <c r="W44" s="710">
        <f t="shared" si="14"/>
        <v>100</v>
      </c>
      <c r="X44" s="711"/>
      <c r="Y44" s="3525"/>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23"/>
      <c r="Q45" s="1486">
        <f t="shared" si="11"/>
        <v>111</v>
      </c>
      <c r="R45" s="713" t="s">
        <v>17</v>
      </c>
      <c r="S45" s="714">
        <f t="shared" si="12"/>
        <v>100</v>
      </c>
      <c r="T45" s="713" t="s">
        <v>17</v>
      </c>
      <c r="U45" s="714">
        <f t="shared" si="13"/>
        <v>100</v>
      </c>
      <c r="V45" s="713" t="s">
        <v>17</v>
      </c>
      <c r="W45" s="714">
        <f t="shared" si="14"/>
        <v>100</v>
      </c>
      <c r="X45" s="1489"/>
      <c r="Y45" s="3525"/>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24"/>
      <c r="Q46" s="1486">
        <f t="shared" si="11"/>
        <v>111</v>
      </c>
      <c r="R46" s="713" t="s">
        <v>17</v>
      </c>
      <c r="S46" s="714">
        <f t="shared" si="12"/>
        <v>100</v>
      </c>
      <c r="T46" s="713" t="s">
        <v>17</v>
      </c>
      <c r="U46" s="714">
        <f t="shared" si="13"/>
        <v>100</v>
      </c>
      <c r="V46" s="713" t="s">
        <v>17</v>
      </c>
      <c r="W46" s="714">
        <f t="shared" si="14"/>
        <v>100</v>
      </c>
      <c r="X46" s="1489"/>
      <c r="Y46" s="3526"/>
      <c r="Z46" s="1490">
        <f t="shared" si="15"/>
        <v>111</v>
      </c>
      <c r="AA46" s="1487">
        <f t="shared" si="3"/>
        <v>1</v>
      </c>
      <c r="AB46" s="1487">
        <f t="shared" si="4"/>
        <v>1</v>
      </c>
      <c r="AC46" s="1487">
        <f t="shared" si="5"/>
        <v>1</v>
      </c>
    </row>
    <row r="47" spans="1:29" ht="15">
      <c r="A47" s="438" t="s">
        <v>2157</v>
      </c>
      <c r="B47" s="439"/>
      <c r="C47" s="1268" t="s">
        <v>1</v>
      </c>
      <c r="D47" s="1269"/>
      <c r="E47" s="1270">
        <f>Sheet2!H155</f>
        <v>70000</v>
      </c>
      <c r="F47" s="1271"/>
      <c r="G47" s="1272">
        <f>Sheet2!H156</f>
        <v>70500</v>
      </c>
      <c r="H47" s="1273"/>
      <c r="I47" s="1270">
        <f>Sheet2!H157</f>
        <v>70000</v>
      </c>
      <c r="J47" s="1273"/>
      <c r="K47" s="722"/>
      <c r="L47" s="2902"/>
      <c r="M47" s="2903"/>
      <c r="N47" s="2894"/>
      <c r="O47" s="2903"/>
      <c r="P47" s="3518" t="str">
        <f>A47</f>
        <v>成交单价（元/平方米）</v>
      </c>
      <c r="Q47" s="3518"/>
      <c r="R47" s="3513">
        <f>E47</f>
        <v>70000</v>
      </c>
      <c r="S47" s="3513"/>
      <c r="T47" s="3513">
        <f>G47</f>
        <v>70500</v>
      </c>
      <c r="U47" s="3513"/>
      <c r="V47" s="3513">
        <f>I47</f>
        <v>70000</v>
      </c>
      <c r="W47" s="3513"/>
      <c r="X47" s="698"/>
      <c r="Y47" s="720"/>
      <c r="Z47" s="698"/>
      <c r="AA47" s="698"/>
      <c r="AB47" s="698"/>
      <c r="AC47" s="698"/>
    </row>
    <row r="48" spans="1:29" ht="15.75" thickBot="1">
      <c r="A48" s="445" t="s">
        <v>2249</v>
      </c>
      <c r="B48" s="446"/>
      <c r="C48" s="1274">
        <f>R49</f>
        <v>62275</v>
      </c>
      <c r="D48" s="2488" t="s">
        <v>2638</v>
      </c>
      <c r="E48" s="1275">
        <f>R48</f>
        <v>62893</v>
      </c>
      <c r="F48" s="2489"/>
      <c r="G48" s="1274">
        <f>T48</f>
        <v>61039</v>
      </c>
      <c r="H48" s="2489"/>
      <c r="I48" s="1275">
        <f>V48</f>
        <v>62893</v>
      </c>
      <c r="J48" s="2489"/>
      <c r="K48" s="2491">
        <f>F48+H48+J48</f>
        <v>0</v>
      </c>
      <c r="L48" s="2902"/>
      <c r="M48" s="2903"/>
      <c r="N48" s="2894"/>
      <c r="O48" s="2903"/>
      <c r="P48" s="3518" t="str">
        <f>A48</f>
        <v>比较价值（元/平方米）</v>
      </c>
      <c r="Q48" s="3518"/>
      <c r="R48" s="3519">
        <f>IF(F1="售价",ROUND(PRODUCT(R47,AA7:AA46),0),ROUND(PRODUCT(R47,AA7:AA46),1))</f>
        <v>62893</v>
      </c>
      <c r="S48" s="3519"/>
      <c r="T48" s="3519">
        <f>IF(F1="售价",ROUND(PRODUCT(T47,AB7:AB46),0),ROUND(PRODUCT(T47,AB7:AB46),1))</f>
        <v>61039</v>
      </c>
      <c r="U48" s="3519"/>
      <c r="V48" s="3519">
        <f>IF(F1="售价",ROUND(PRODUCT(V47,AC7:AC46),0),ROUND(PRODUCT(V47,AC7:AC46),1))</f>
        <v>62893</v>
      </c>
      <c r="W48" s="3519"/>
      <c r="X48" s="698"/>
      <c r="Y48" s="698"/>
      <c r="Z48" s="698"/>
      <c r="AA48" s="698"/>
      <c r="AB48" s="698"/>
      <c r="AC48" s="698"/>
    </row>
    <row r="49" spans="1:29" ht="15.75" thickBot="1">
      <c r="A49" s="449" t="s">
        <v>2250</v>
      </c>
      <c r="B49" s="450"/>
      <c r="C49" s="1277">
        <f>R49</f>
        <v>62275</v>
      </c>
      <c r="D49" s="1277"/>
      <c r="E49" s="1277"/>
      <c r="F49" s="1277"/>
      <c r="G49" s="1277"/>
      <c r="H49" s="1277"/>
      <c r="I49" s="1277"/>
      <c r="J49" s="1277"/>
      <c r="K49" s="723"/>
      <c r="L49" s="2902"/>
      <c r="M49" s="2903"/>
      <c r="N49" s="2894"/>
      <c r="O49" s="2903"/>
      <c r="P49" s="3515" t="str">
        <f>A49</f>
        <v>估价对象XX用房的比较价值（楼面单价，元/平方米）</v>
      </c>
      <c r="Q49" s="3516"/>
      <c r="R49" s="3517">
        <f>IF(F1="售价",ROUND(IF(D48="简单平均",AVERAGE(R48:V48),R48*F48+T48*H48+V48*J48),0),ROUND(IF(D48="简单平均",AVERAGE(R48:V48),R48*F48+T48*H48+V48*J48),1))</f>
        <v>62275</v>
      </c>
      <c r="S49" s="3517"/>
      <c r="T49" s="3517"/>
      <c r="U49" s="3517"/>
      <c r="V49" s="3517"/>
      <c r="W49" s="3517"/>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0.11300144690188096</v>
      </c>
      <c r="F52" s="457" t="str">
        <f>IF(OR(E52&gt;=0.3,E52&lt;=-0.3),"超过30%","")</f>
        <v/>
      </c>
      <c r="G52" s="456">
        <f>IF(G47&lt;G48,G48/G47-1,G47/G48-1)</f>
        <v>0.15499926276642806</v>
      </c>
      <c r="H52" s="457" t="str">
        <f>IF(OR(G52&gt;=0.3,G52&lt;=-0.3),"超过30%","")</f>
        <v/>
      </c>
      <c r="I52" s="456">
        <f>IF(I47&lt;I48,I48/I47-1,I47/I48-1)</f>
        <v>0.11300144690188096</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3.0374023165517183E-2</v>
      </c>
      <c r="F53" s="457" t="str">
        <f>IF(OR(E53&gt;=0.2,E53&lt;=-0.2),"超过20%","")</f>
        <v/>
      </c>
      <c r="G53" s="456">
        <f>IF(G48&lt;I48,I48/G48-1,G48/I48-1)</f>
        <v>3.0374023165517183E-2</v>
      </c>
      <c r="H53" s="457" t="str">
        <f>IF(OR(G53&gt;=0.2,G53&lt;=-0.2),"超过20%","")</f>
        <v/>
      </c>
      <c r="I53" s="456">
        <f>IF(I48&lt;E48,E48/I48-1,I48/E48-1)</f>
        <v>0</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7.1428571428571175E-3</v>
      </c>
      <c r="F54" s="457" t="str">
        <f>IF(OR(E54&gt;=0.3,E54&lt;=-0.3),"超过30%","")</f>
        <v/>
      </c>
      <c r="G54" s="456">
        <f>IF(G47&lt;I47,I47/G47-1,G47/I47-1)</f>
        <v>7.1428571428571175E-3</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v>2</v>
      </c>
      <c r="F68" s="506">
        <v>3</v>
      </c>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29.25" thickTop="1">
      <c r="A102" s="491"/>
      <c r="B102" s="495" t="s">
        <v>2193</v>
      </c>
      <c r="C102" s="535" t="str">
        <f>C103&amp;"(含)"&amp;"-"&amp;D103</f>
        <v>0(含)-100</v>
      </c>
      <c r="D102" s="535" t="str">
        <f t="shared" ref="D102:L102" si="23">D103&amp;"(含)"&amp;"-"&amp;E103</f>
        <v>100(含)-200</v>
      </c>
      <c r="E102" s="535" t="str">
        <f t="shared" si="23"/>
        <v>200(含)-500</v>
      </c>
      <c r="F102" s="535" t="str">
        <f t="shared" si="23"/>
        <v>500(含)-1000</v>
      </c>
      <c r="G102" s="535" t="str">
        <f t="shared" si="23"/>
        <v>1000(含)-2000</v>
      </c>
      <c r="H102" s="535" t="str">
        <f t="shared" si="23"/>
        <v>2000(含)-3000</v>
      </c>
      <c r="I102" s="535" t="str">
        <f t="shared" si="23"/>
        <v>3000(含)-4000</v>
      </c>
      <c r="J102" s="535" t="str">
        <f t="shared" si="23"/>
        <v>4000(含)-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100</v>
      </c>
      <c r="E103" s="552">
        <v>200</v>
      </c>
      <c r="F103" s="552">
        <v>500</v>
      </c>
      <c r="G103" s="552">
        <v>1000</v>
      </c>
      <c r="H103" s="552">
        <v>2000</v>
      </c>
      <c r="I103" s="552">
        <v>3000</v>
      </c>
      <c r="J103" s="553">
        <v>4000</v>
      </c>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v>96</v>
      </c>
      <c r="F104" s="493">
        <v>94</v>
      </c>
      <c r="G104" s="493">
        <v>92</v>
      </c>
      <c r="H104" s="493">
        <v>90</v>
      </c>
      <c r="I104" s="493">
        <v>88</v>
      </c>
      <c r="J104" s="493">
        <v>86</v>
      </c>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3253" t="s">
        <v>3240</v>
      </c>
      <c r="D116" s="3253" t="s">
        <v>3239</v>
      </c>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7" priority="21" stopIfTrue="1" operator="containsText" text="超过">
      <formula>NOT(ISERROR(SEARCH("超过",F52)))</formula>
    </cfRule>
  </conditionalFormatting>
  <conditionalFormatting sqref="H54">
    <cfRule type="containsText" dxfId="166" priority="19" stopIfTrue="1" operator="containsText" text="超过">
      <formula>NOT(ISERROR(SEARCH("超过",H54)))</formula>
    </cfRule>
  </conditionalFormatting>
  <conditionalFormatting sqref="F54">
    <cfRule type="containsText" dxfId="165" priority="18" stopIfTrue="1" operator="containsText" text="超过">
      <formula>NOT(ISERROR(SEARCH("超过",F54)))</formula>
    </cfRule>
  </conditionalFormatting>
  <conditionalFormatting sqref="F53 H53">
    <cfRule type="containsText" dxfId="164" priority="17" stopIfTrue="1" operator="containsText" text="超过">
      <formula>NOT(ISERROR(SEARCH("超过",F53)))</formula>
    </cfRule>
  </conditionalFormatting>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G54">
    <cfRule type="expression" dxfId="160" priority="13" stopIfTrue="1">
      <formula>$H$54="超过30%"</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J52">
    <cfRule type="containsText" dxfId="157" priority="10" stopIfTrue="1" operator="containsText" text="超过">
      <formula>NOT(ISERROR(SEARCH("超过",J52)))</formula>
    </cfRule>
  </conditionalFormatting>
  <conditionalFormatting sqref="J54">
    <cfRule type="containsText" dxfId="156" priority="9" stopIfTrue="1" operator="containsText" text="超过">
      <formula>NOT(ISERROR(SEARCH("超过",J54)))</formula>
    </cfRule>
  </conditionalFormatting>
  <conditionalFormatting sqref="J53">
    <cfRule type="containsText" dxfId="155" priority="8" stopIfTrue="1" operator="containsText" text="超过">
      <formula>NOT(ISERROR(SEARCH("超过",J53)))</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9511.0600000000031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501" t="s">
        <v>2226</v>
      </c>
      <c r="D4" s="3502"/>
      <c r="E4" s="3503" t="s">
        <v>2227</v>
      </c>
      <c r="F4" s="3504"/>
      <c r="G4" s="3501" t="s">
        <v>2228</v>
      </c>
      <c r="H4" s="3502"/>
      <c r="I4" s="3501" t="s">
        <v>2229</v>
      </c>
      <c r="J4" s="3502"/>
      <c r="K4" s="567" t="s">
        <v>2230</v>
      </c>
      <c r="L4" s="2893"/>
      <c r="M4" s="2894"/>
      <c r="N4" s="2894"/>
      <c r="O4" s="2894"/>
      <c r="P4" s="3535" t="s">
        <v>2231</v>
      </c>
      <c r="Q4" s="3536"/>
      <c r="R4" s="3530" t="s">
        <v>2227</v>
      </c>
      <c r="S4" s="3531"/>
      <c r="T4" s="3530" t="s">
        <v>2228</v>
      </c>
      <c r="U4" s="3531"/>
      <c r="V4" s="3539" t="s">
        <v>2229</v>
      </c>
      <c r="W4" s="3539"/>
      <c r="X4" s="2094"/>
      <c r="Y4" s="3530" t="s">
        <v>2231</v>
      </c>
      <c r="Z4" s="3531"/>
      <c r="AA4" s="3529" t="s">
        <v>2227</v>
      </c>
      <c r="AB4" s="3529" t="s">
        <v>2228</v>
      </c>
      <c r="AC4" s="3532" t="s">
        <v>2229</v>
      </c>
    </row>
    <row r="5" spans="1:29" ht="15">
      <c r="A5" s="364"/>
      <c r="B5" s="365"/>
      <c r="C5" s="3494" t="s">
        <v>2122</v>
      </c>
      <c r="D5" s="3495"/>
      <c r="E5" s="3492" t="s">
        <v>2123</v>
      </c>
      <c r="F5" s="3493"/>
      <c r="G5" s="3494" t="s">
        <v>2124</v>
      </c>
      <c r="H5" s="3495"/>
      <c r="I5" s="3494" t="s">
        <v>2125</v>
      </c>
      <c r="J5" s="3495"/>
      <c r="K5" s="567"/>
      <c r="L5" s="2893"/>
      <c r="M5" s="2894"/>
      <c r="N5" s="2894"/>
      <c r="O5" s="2894"/>
      <c r="P5" s="3537"/>
      <c r="Q5" s="3508"/>
      <c r="R5" s="3490"/>
      <c r="S5" s="3491"/>
      <c r="T5" s="3490"/>
      <c r="U5" s="3491"/>
      <c r="V5" s="3513"/>
      <c r="W5" s="3513"/>
      <c r="X5" s="1489"/>
      <c r="Y5" s="3490"/>
      <c r="Z5" s="3491"/>
      <c r="AA5" s="3484"/>
      <c r="AB5" s="3484"/>
      <c r="AC5" s="3533"/>
    </row>
    <row r="6" spans="1:29" ht="15.75" thickBot="1">
      <c r="A6" s="366"/>
      <c r="B6" s="367"/>
      <c r="C6" s="3496" t="s">
        <v>2126</v>
      </c>
      <c r="D6" s="3497"/>
      <c r="E6" s="3498" t="s">
        <v>2126</v>
      </c>
      <c r="F6" s="3499"/>
      <c r="G6" s="3496" t="s">
        <v>2126</v>
      </c>
      <c r="H6" s="3497"/>
      <c r="I6" s="3496" t="s">
        <v>2126</v>
      </c>
      <c r="J6" s="3497"/>
      <c r="K6" s="567" t="s">
        <v>2127</v>
      </c>
      <c r="L6" s="2893"/>
      <c r="M6" s="2894"/>
      <c r="N6" s="2894"/>
      <c r="O6" s="2894"/>
      <c r="P6" s="3538"/>
      <c r="Q6" s="3510"/>
      <c r="R6" s="3490"/>
      <c r="S6" s="3491"/>
      <c r="T6" s="3511"/>
      <c r="U6" s="3512"/>
      <c r="V6" s="3513"/>
      <c r="W6" s="3513"/>
      <c r="X6" s="1489"/>
      <c r="Y6" s="3511"/>
      <c r="Z6" s="3512"/>
      <c r="AA6" s="3485"/>
      <c r="AB6" s="3485"/>
      <c r="AC6" s="3534"/>
    </row>
    <row r="7" spans="1:29" s="113" customFormat="1" ht="15.75" thickBot="1">
      <c r="A7" s="368" t="s">
        <v>2128</v>
      </c>
      <c r="B7" s="369"/>
      <c r="C7" s="370">
        <f>'数据-取费表'!B2</f>
        <v>44873</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0" t="s">
        <v>2129</v>
      </c>
      <c r="Q7" s="3514"/>
      <c r="R7" s="709" t="s">
        <v>17</v>
      </c>
      <c r="S7" s="710">
        <f t="shared" ref="S7:S15" si="0">F7</f>
        <v>0</v>
      </c>
      <c r="T7" s="709" t="s">
        <v>17</v>
      </c>
      <c r="U7" s="710">
        <f t="shared" ref="U7:U15" si="1">H7</f>
        <v>0</v>
      </c>
      <c r="V7" s="709" t="s">
        <v>17</v>
      </c>
      <c r="W7" s="710">
        <f t="shared" ref="W7:W15" si="2">J7</f>
        <v>0</v>
      </c>
      <c r="X7" s="711"/>
      <c r="Y7" s="3486" t="s">
        <v>2129</v>
      </c>
      <c r="Z7" s="3487"/>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0" t="s">
        <v>2132</v>
      </c>
      <c r="Q8" s="3487"/>
      <c r="R8" s="709" t="s">
        <v>17</v>
      </c>
      <c r="S8" s="710">
        <f t="shared" si="0"/>
        <v>0</v>
      </c>
      <c r="T8" s="709" t="s">
        <v>17</v>
      </c>
      <c r="U8" s="710">
        <f t="shared" si="1"/>
        <v>0</v>
      </c>
      <c r="V8" s="709" t="s">
        <v>17</v>
      </c>
      <c r="W8" s="710">
        <f t="shared" si="2"/>
        <v>0</v>
      </c>
      <c r="X8" s="711"/>
      <c r="Y8" s="3486" t="s">
        <v>2132</v>
      </c>
      <c r="Z8" s="3487"/>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00"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00"/>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00"/>
      <c r="Q11" s="1477" t="str">
        <f t="shared" si="6"/>
        <v>容积率</v>
      </c>
      <c r="R11" s="709" t="s">
        <v>17</v>
      </c>
      <c r="S11" s="710" t="e">
        <f t="shared" si="0"/>
        <v>#N/A</v>
      </c>
      <c r="T11" s="709" t="s">
        <v>17</v>
      </c>
      <c r="U11" s="710" t="e">
        <f t="shared" si="1"/>
        <v>#N/A</v>
      </c>
      <c r="V11" s="709" t="s">
        <v>17</v>
      </c>
      <c r="W11" s="710" t="e">
        <f t="shared" si="2"/>
        <v>#N/A</v>
      </c>
      <c r="X11" s="711"/>
      <c r="Y11" s="3430"/>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00"/>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00"/>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00"/>
      <c r="Q14" s="1477">
        <f t="shared" si="6"/>
        <v>111</v>
      </c>
      <c r="R14" s="709" t="s">
        <v>17</v>
      </c>
      <c r="S14" s="710">
        <f t="shared" si="0"/>
        <v>100</v>
      </c>
      <c r="T14" s="709" t="s">
        <v>17</v>
      </c>
      <c r="U14" s="710">
        <f t="shared" si="1"/>
        <v>100</v>
      </c>
      <c r="V14" s="709" t="s">
        <v>17</v>
      </c>
      <c r="W14" s="710">
        <f t="shared" si="2"/>
        <v>100</v>
      </c>
      <c r="X14" s="711"/>
      <c r="Y14" s="3430"/>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7" t="s">
        <v>2140</v>
      </c>
      <c r="Q15" s="1486" t="str">
        <f t="shared" si="6"/>
        <v>办公集聚程度</v>
      </c>
      <c r="R15" s="713" t="s">
        <v>17</v>
      </c>
      <c r="S15" s="714">
        <f t="shared" si="0"/>
        <v>100</v>
      </c>
      <c r="T15" s="713" t="s">
        <v>17</v>
      </c>
      <c r="U15" s="714">
        <f t="shared" si="1"/>
        <v>100</v>
      </c>
      <c r="V15" s="713" t="s">
        <v>17</v>
      </c>
      <c r="W15" s="714">
        <f t="shared" si="2"/>
        <v>100</v>
      </c>
      <c r="X15" s="1489"/>
      <c r="Y15" s="3520"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28"/>
      <c r="Q16" s="1486"/>
      <c r="R16" s="713"/>
      <c r="S16" s="714"/>
      <c r="T16" s="713"/>
      <c r="U16" s="714"/>
      <c r="V16" s="713"/>
      <c r="W16" s="714"/>
      <c r="X16" s="1489"/>
      <c r="Y16" s="3521"/>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8"/>
      <c r="Q17" s="1486" t="str">
        <f>B17</f>
        <v>交通便捷度</v>
      </c>
      <c r="R17" s="713" t="s">
        <v>17</v>
      </c>
      <c r="S17" s="714">
        <f>F17</f>
        <v>100</v>
      </c>
      <c r="T17" s="713" t="s">
        <v>17</v>
      </c>
      <c r="U17" s="714">
        <f>H17</f>
        <v>100</v>
      </c>
      <c r="V17" s="713" t="s">
        <v>17</v>
      </c>
      <c r="W17" s="714">
        <f>J17</f>
        <v>100</v>
      </c>
      <c r="X17" s="1489"/>
      <c r="Y17" s="3521"/>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28"/>
      <c r="Q18" s="1486"/>
      <c r="R18" s="713"/>
      <c r="S18" s="714"/>
      <c r="T18" s="713"/>
      <c r="U18" s="714"/>
      <c r="V18" s="713"/>
      <c r="W18" s="714"/>
      <c r="X18" s="1489"/>
      <c r="Y18" s="3521"/>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8"/>
      <c r="Q19" s="1486" t="str">
        <f>B19</f>
        <v>公共配套设施</v>
      </c>
      <c r="R19" s="713" t="s">
        <v>17</v>
      </c>
      <c r="S19" s="714">
        <f>F19</f>
        <v>100</v>
      </c>
      <c r="T19" s="713" t="s">
        <v>17</v>
      </c>
      <c r="U19" s="714">
        <f>H19</f>
        <v>100</v>
      </c>
      <c r="V19" s="713" t="s">
        <v>17</v>
      </c>
      <c r="W19" s="714">
        <f>J19</f>
        <v>100</v>
      </c>
      <c r="X19" s="1489"/>
      <c r="Y19" s="3521"/>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28"/>
      <c r="Q20" s="1486"/>
      <c r="R20" s="713"/>
      <c r="S20" s="714"/>
      <c r="T20" s="713"/>
      <c r="U20" s="714"/>
      <c r="V20" s="713"/>
      <c r="W20" s="714"/>
      <c r="X20" s="1489"/>
      <c r="Y20" s="3521"/>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8"/>
      <c r="Q21" s="1486" t="str">
        <f>B21</f>
        <v>基础设施水平</v>
      </c>
      <c r="R21" s="713" t="s">
        <v>17</v>
      </c>
      <c r="S21" s="714">
        <f>F21</f>
        <v>100</v>
      </c>
      <c r="T21" s="713" t="s">
        <v>17</v>
      </c>
      <c r="U21" s="714">
        <f>H21</f>
        <v>100</v>
      </c>
      <c r="V21" s="713" t="s">
        <v>17</v>
      </c>
      <c r="W21" s="714">
        <f>J21</f>
        <v>100</v>
      </c>
      <c r="X21" s="1489"/>
      <c r="Y21" s="3521"/>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28"/>
      <c r="Q22" s="1486"/>
      <c r="R22" s="713"/>
      <c r="S22" s="714"/>
      <c r="T22" s="713"/>
      <c r="U22" s="714"/>
      <c r="V22" s="713"/>
      <c r="W22" s="714"/>
      <c r="X22" s="1489"/>
      <c r="Y22" s="3521"/>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8"/>
      <c r="Q23" s="1486" t="str">
        <f>B23</f>
        <v>环境质量</v>
      </c>
      <c r="R23" s="713" t="s">
        <v>17</v>
      </c>
      <c r="S23" s="714">
        <f>F23</f>
        <v>100</v>
      </c>
      <c r="T23" s="713" t="s">
        <v>17</v>
      </c>
      <c r="U23" s="714">
        <f>H23</f>
        <v>100</v>
      </c>
      <c r="V23" s="713" t="s">
        <v>17</v>
      </c>
      <c r="W23" s="714">
        <f>J23</f>
        <v>100</v>
      </c>
      <c r="X23" s="1489"/>
      <c r="Y23" s="3521"/>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28"/>
      <c r="Q24" s="1486"/>
      <c r="R24" s="713"/>
      <c r="S24" s="714"/>
      <c r="T24" s="713"/>
      <c r="U24" s="714"/>
      <c r="V24" s="713"/>
      <c r="W24" s="714"/>
      <c r="X24" s="1489"/>
      <c r="Y24" s="3521"/>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28"/>
      <c r="Q25" s="1486" t="str">
        <f>B25</f>
        <v>毗邻道路的类型与等级</v>
      </c>
      <c r="R25" s="713" t="s">
        <v>17</v>
      </c>
      <c r="S25" s="714">
        <f>F25</f>
        <v>100</v>
      </c>
      <c r="T25" s="713" t="s">
        <v>17</v>
      </c>
      <c r="U25" s="714">
        <f>H25</f>
        <v>100</v>
      </c>
      <c r="V25" s="713" t="s">
        <v>17</v>
      </c>
      <c r="W25" s="714">
        <f>J25</f>
        <v>100</v>
      </c>
      <c r="X25" s="1489"/>
      <c r="Y25" s="3521"/>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28"/>
      <c r="Q26" s="1486"/>
      <c r="R26" s="713"/>
      <c r="S26" s="714"/>
      <c r="T26" s="713"/>
      <c r="U26" s="714"/>
      <c r="V26" s="713"/>
      <c r="W26" s="714"/>
      <c r="X26" s="1489"/>
      <c r="Y26" s="3521"/>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8"/>
      <c r="Q27" s="1486" t="str">
        <f t="shared" ref="Q27:Q47" si="11">B27</f>
        <v>楼层</v>
      </c>
      <c r="R27" s="713" t="s">
        <v>17</v>
      </c>
      <c r="S27" s="714">
        <f>F27</f>
        <v>100</v>
      </c>
      <c r="T27" s="713" t="s">
        <v>17</v>
      </c>
      <c r="U27" s="714">
        <f>H27</f>
        <v>100</v>
      </c>
      <c r="V27" s="713" t="s">
        <v>17</v>
      </c>
      <c r="W27" s="714">
        <f>J27</f>
        <v>100</v>
      </c>
      <c r="X27" s="1489"/>
      <c r="Y27" s="3521"/>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28"/>
      <c r="Q28" s="1477" t="str">
        <f t="shared" si="11"/>
        <v>朝向</v>
      </c>
      <c r="R28" s="709" t="s">
        <v>17</v>
      </c>
      <c r="S28" s="710">
        <f>F28</f>
        <v>100</v>
      </c>
      <c r="T28" s="709" t="s">
        <v>17</v>
      </c>
      <c r="U28" s="710">
        <f>H28</f>
        <v>100</v>
      </c>
      <c r="V28" s="709" t="s">
        <v>17</v>
      </c>
      <c r="W28" s="710">
        <f>J28</f>
        <v>100</v>
      </c>
      <c r="X28" s="711"/>
      <c r="Y28" s="3521"/>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28"/>
      <c r="Q29" s="1486">
        <f t="shared" si="11"/>
        <v>111</v>
      </c>
      <c r="R29" s="713" t="s">
        <v>17</v>
      </c>
      <c r="S29" s="714">
        <f t="shared" ref="S29:S47" si="12">F29</f>
        <v>100</v>
      </c>
      <c r="T29" s="713" t="s">
        <v>17</v>
      </c>
      <c r="U29" s="714">
        <f t="shared" ref="U29:U47" si="13">H29</f>
        <v>100</v>
      </c>
      <c r="V29" s="713" t="s">
        <v>17</v>
      </c>
      <c r="W29" s="714">
        <f t="shared" ref="W29:W47" si="14">J29</f>
        <v>100</v>
      </c>
      <c r="X29" s="1489"/>
      <c r="Y29" s="3521"/>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28"/>
      <c r="Q30" s="1486">
        <f t="shared" si="11"/>
        <v>111</v>
      </c>
      <c r="R30" s="713" t="s">
        <v>17</v>
      </c>
      <c r="S30" s="714">
        <f t="shared" si="12"/>
        <v>100</v>
      </c>
      <c r="T30" s="713" t="s">
        <v>17</v>
      </c>
      <c r="U30" s="714">
        <f t="shared" si="13"/>
        <v>100</v>
      </c>
      <c r="V30" s="713" t="s">
        <v>17</v>
      </c>
      <c r="W30" s="714">
        <f t="shared" si="14"/>
        <v>100</v>
      </c>
      <c r="X30" s="1489"/>
      <c r="Y30" s="3521"/>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28"/>
      <c r="Q31" s="1486">
        <f t="shared" si="11"/>
        <v>111</v>
      </c>
      <c r="R31" s="713" t="s">
        <v>17</v>
      </c>
      <c r="S31" s="714">
        <f t="shared" si="12"/>
        <v>100</v>
      </c>
      <c r="T31" s="713" t="s">
        <v>17</v>
      </c>
      <c r="U31" s="714">
        <f t="shared" si="13"/>
        <v>100</v>
      </c>
      <c r="V31" s="713" t="s">
        <v>17</v>
      </c>
      <c r="W31" s="714">
        <f t="shared" si="14"/>
        <v>100</v>
      </c>
      <c r="X31" s="1489"/>
      <c r="Y31" s="3521"/>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28"/>
      <c r="Q32" s="1486">
        <f t="shared" si="11"/>
        <v>111</v>
      </c>
      <c r="R32" s="713" t="s">
        <v>17</v>
      </c>
      <c r="S32" s="714">
        <f t="shared" si="12"/>
        <v>100</v>
      </c>
      <c r="T32" s="713" t="s">
        <v>17</v>
      </c>
      <c r="U32" s="714">
        <f t="shared" si="13"/>
        <v>100</v>
      </c>
      <c r="V32" s="713" t="s">
        <v>17</v>
      </c>
      <c r="W32" s="714">
        <f t="shared" si="14"/>
        <v>100</v>
      </c>
      <c r="X32" s="1489"/>
      <c r="Y32" s="3521"/>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22" t="s">
        <v>2145</v>
      </c>
      <c r="Q33" s="1486" t="str">
        <f t="shared" si="11"/>
        <v>建筑类型</v>
      </c>
      <c r="R33" s="713" t="s">
        <v>17</v>
      </c>
      <c r="S33" s="714">
        <f t="shared" si="12"/>
        <v>100</v>
      </c>
      <c r="T33" s="713" t="s">
        <v>17</v>
      </c>
      <c r="U33" s="714">
        <f t="shared" si="13"/>
        <v>100</v>
      </c>
      <c r="V33" s="713" t="s">
        <v>17</v>
      </c>
      <c r="W33" s="714">
        <f t="shared" si="14"/>
        <v>100</v>
      </c>
      <c r="X33" s="1489"/>
      <c r="Y33" s="3525"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23"/>
      <c r="Q34" s="715" t="str">
        <f t="shared" si="11"/>
        <v>项目建筑规模</v>
      </c>
      <c r="R34" s="716" t="s">
        <v>17</v>
      </c>
      <c r="S34" s="717" t="e">
        <f t="shared" si="12"/>
        <v>#N/A</v>
      </c>
      <c r="T34" s="716" t="s">
        <v>17</v>
      </c>
      <c r="U34" s="717" t="e">
        <f t="shared" si="13"/>
        <v>#N/A</v>
      </c>
      <c r="V34" s="716" t="s">
        <v>17</v>
      </c>
      <c r="W34" s="717" t="e">
        <f t="shared" si="14"/>
        <v>#N/A</v>
      </c>
      <c r="X34" s="718"/>
      <c r="Y34" s="3525"/>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23"/>
      <c r="Q35" s="1486" t="str">
        <f t="shared" si="11"/>
        <v>建筑结构</v>
      </c>
      <c r="R35" s="713" t="s">
        <v>17</v>
      </c>
      <c r="S35" s="714">
        <f t="shared" si="12"/>
        <v>100</v>
      </c>
      <c r="T35" s="713" t="s">
        <v>17</v>
      </c>
      <c r="U35" s="714">
        <f t="shared" si="13"/>
        <v>100</v>
      </c>
      <c r="V35" s="713" t="s">
        <v>17</v>
      </c>
      <c r="W35" s="714">
        <f t="shared" si="14"/>
        <v>100</v>
      </c>
      <c r="X35" s="1489"/>
      <c r="Y35" s="3525"/>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23"/>
      <c r="Q36" s="1486" t="str">
        <f t="shared" si="11"/>
        <v>公共部分装修</v>
      </c>
      <c r="R36" s="713" t="s">
        <v>17</v>
      </c>
      <c r="S36" s="714">
        <f t="shared" si="12"/>
        <v>100</v>
      </c>
      <c r="T36" s="713" t="s">
        <v>17</v>
      </c>
      <c r="U36" s="714">
        <f t="shared" si="13"/>
        <v>100</v>
      </c>
      <c r="V36" s="713" t="s">
        <v>17</v>
      </c>
      <c r="W36" s="714">
        <f t="shared" si="14"/>
        <v>100</v>
      </c>
      <c r="X36" s="1489"/>
      <c r="Y36" s="3525"/>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23"/>
      <c r="Q37" s="1486" t="str">
        <f t="shared" si="11"/>
        <v>成新度</v>
      </c>
      <c r="R37" s="713" t="s">
        <v>17</v>
      </c>
      <c r="S37" s="714" t="e">
        <f t="shared" si="12"/>
        <v>#N/A</v>
      </c>
      <c r="T37" s="713" t="s">
        <v>17</v>
      </c>
      <c r="U37" s="714" t="e">
        <f t="shared" si="13"/>
        <v>#N/A</v>
      </c>
      <c r="V37" s="713" t="s">
        <v>17</v>
      </c>
      <c r="W37" s="714" t="e">
        <f t="shared" si="14"/>
        <v>#N/A</v>
      </c>
      <c r="X37" s="1489"/>
      <c r="Y37" s="3525"/>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23"/>
      <c r="Q38" s="1477" t="str">
        <f t="shared" si="11"/>
        <v>写字楼等级</v>
      </c>
      <c r="R38" s="709" t="s">
        <v>17</v>
      </c>
      <c r="S38" s="710">
        <f t="shared" si="12"/>
        <v>100</v>
      </c>
      <c r="T38" s="709" t="s">
        <v>17</v>
      </c>
      <c r="U38" s="710">
        <f t="shared" si="13"/>
        <v>100</v>
      </c>
      <c r="V38" s="709" t="s">
        <v>17</v>
      </c>
      <c r="W38" s="710">
        <f t="shared" si="14"/>
        <v>100</v>
      </c>
      <c r="X38" s="711"/>
      <c r="Y38" s="3525"/>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23" t="s">
        <v>2145</v>
      </c>
      <c r="Q39" s="1486" t="str">
        <f t="shared" si="11"/>
        <v>物业管理</v>
      </c>
      <c r="R39" s="713" t="s">
        <v>17</v>
      </c>
      <c r="S39" s="714">
        <f t="shared" si="12"/>
        <v>100</v>
      </c>
      <c r="T39" s="713" t="s">
        <v>17</v>
      </c>
      <c r="U39" s="714">
        <f t="shared" si="13"/>
        <v>100</v>
      </c>
      <c r="V39" s="713" t="s">
        <v>17</v>
      </c>
      <c r="W39" s="714">
        <f t="shared" si="14"/>
        <v>100</v>
      </c>
      <c r="X39" s="1489"/>
      <c r="Y39" s="3525"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23"/>
      <c r="Q40" s="1486" t="str">
        <f t="shared" si="11"/>
        <v>市政基础设施</v>
      </c>
      <c r="R40" s="713" t="s">
        <v>17</v>
      </c>
      <c r="S40" s="714">
        <f t="shared" si="12"/>
        <v>100</v>
      </c>
      <c r="T40" s="713" t="s">
        <v>17</v>
      </c>
      <c r="U40" s="714">
        <f t="shared" si="13"/>
        <v>100</v>
      </c>
      <c r="V40" s="713" t="s">
        <v>17</v>
      </c>
      <c r="W40" s="714">
        <f t="shared" si="14"/>
        <v>100</v>
      </c>
      <c r="X40" s="1489"/>
      <c r="Y40" s="3525"/>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23"/>
      <c r="Q41" s="1486" t="str">
        <f t="shared" si="11"/>
        <v>层高</v>
      </c>
      <c r="R41" s="713" t="s">
        <v>17</v>
      </c>
      <c r="S41" s="714">
        <f t="shared" si="12"/>
        <v>100</v>
      </c>
      <c r="T41" s="713" t="s">
        <v>17</v>
      </c>
      <c r="U41" s="714">
        <f t="shared" si="13"/>
        <v>100</v>
      </c>
      <c r="V41" s="713" t="s">
        <v>17</v>
      </c>
      <c r="W41" s="714">
        <f t="shared" si="14"/>
        <v>100</v>
      </c>
      <c r="X41" s="1489"/>
      <c r="Y41" s="3525"/>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23"/>
      <c r="Q42" s="715" t="str">
        <f t="shared" si="11"/>
        <v>单套建筑面积</v>
      </c>
      <c r="R42" s="716" t="s">
        <v>17</v>
      </c>
      <c r="S42" s="717">
        <f t="shared" si="12"/>
        <v>100</v>
      </c>
      <c r="T42" s="716" t="s">
        <v>17</v>
      </c>
      <c r="U42" s="717">
        <f t="shared" si="13"/>
        <v>100</v>
      </c>
      <c r="V42" s="716" t="s">
        <v>17</v>
      </c>
      <c r="W42" s="717">
        <f t="shared" si="14"/>
        <v>100</v>
      </c>
      <c r="X42" s="718"/>
      <c r="Y42" s="3525"/>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23"/>
      <c r="Q43" s="1486" t="str">
        <f t="shared" si="11"/>
        <v>内部装修</v>
      </c>
      <c r="R43" s="713" t="s">
        <v>17</v>
      </c>
      <c r="S43" s="714">
        <f t="shared" si="12"/>
        <v>100</v>
      </c>
      <c r="T43" s="713" t="s">
        <v>17</v>
      </c>
      <c r="U43" s="714">
        <f t="shared" si="13"/>
        <v>100</v>
      </c>
      <c r="V43" s="713" t="s">
        <v>17</v>
      </c>
      <c r="W43" s="714">
        <f t="shared" si="14"/>
        <v>100</v>
      </c>
      <c r="X43" s="1489"/>
      <c r="Y43" s="3525"/>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23"/>
      <c r="Q44" s="1486" t="str">
        <f t="shared" si="11"/>
        <v>内部装修维护情况</v>
      </c>
      <c r="R44" s="713" t="s">
        <v>17</v>
      </c>
      <c r="S44" s="714">
        <f t="shared" si="12"/>
        <v>100</v>
      </c>
      <c r="T44" s="713" t="s">
        <v>17</v>
      </c>
      <c r="U44" s="714">
        <f t="shared" si="13"/>
        <v>100</v>
      </c>
      <c r="V44" s="713" t="s">
        <v>17</v>
      </c>
      <c r="W44" s="714">
        <f t="shared" si="14"/>
        <v>100</v>
      </c>
      <c r="X44" s="1489"/>
      <c r="Y44" s="3525"/>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23"/>
      <c r="Q45" s="1477">
        <f t="shared" si="11"/>
        <v>111</v>
      </c>
      <c r="R45" s="709" t="s">
        <v>17</v>
      </c>
      <c r="S45" s="710">
        <f t="shared" si="12"/>
        <v>100</v>
      </c>
      <c r="T45" s="709" t="s">
        <v>17</v>
      </c>
      <c r="U45" s="710">
        <f t="shared" si="13"/>
        <v>100</v>
      </c>
      <c r="V45" s="709" t="s">
        <v>17</v>
      </c>
      <c r="W45" s="710">
        <f t="shared" si="14"/>
        <v>100</v>
      </c>
      <c r="X45" s="711"/>
      <c r="Y45" s="3525"/>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23"/>
      <c r="Q46" s="1486">
        <f t="shared" si="11"/>
        <v>111</v>
      </c>
      <c r="R46" s="713" t="s">
        <v>17</v>
      </c>
      <c r="S46" s="714">
        <f t="shared" si="12"/>
        <v>100</v>
      </c>
      <c r="T46" s="713" t="s">
        <v>17</v>
      </c>
      <c r="U46" s="714">
        <f t="shared" si="13"/>
        <v>100</v>
      </c>
      <c r="V46" s="713" t="s">
        <v>17</v>
      </c>
      <c r="W46" s="714">
        <f t="shared" si="14"/>
        <v>100</v>
      </c>
      <c r="X46" s="1489"/>
      <c r="Y46" s="3525"/>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24"/>
      <c r="Q47" s="1486">
        <f t="shared" si="11"/>
        <v>111</v>
      </c>
      <c r="R47" s="713" t="s">
        <v>17</v>
      </c>
      <c r="S47" s="714">
        <f t="shared" si="12"/>
        <v>100</v>
      </c>
      <c r="T47" s="713" t="s">
        <v>17</v>
      </c>
      <c r="U47" s="714">
        <f t="shared" si="13"/>
        <v>100</v>
      </c>
      <c r="V47" s="713" t="s">
        <v>17</v>
      </c>
      <c r="W47" s="714">
        <f t="shared" si="14"/>
        <v>100</v>
      </c>
      <c r="X47" s="1489"/>
      <c r="Y47" s="3526"/>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500" t="str">
        <f>A48</f>
        <v>成交单价（元/平方米）</v>
      </c>
      <c r="Q48" s="3518"/>
      <c r="R48" s="3519">
        <f>E48</f>
        <v>0</v>
      </c>
      <c r="S48" s="3519"/>
      <c r="T48" s="3519">
        <f>G48</f>
        <v>0</v>
      </c>
      <c r="U48" s="3519"/>
      <c r="V48" s="3519">
        <f>I48</f>
        <v>0</v>
      </c>
      <c r="W48" s="3519"/>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500" t="str">
        <f>A49</f>
        <v>比较价值（元/平方米）</v>
      </c>
      <c r="Q49" s="3518"/>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7" priority="20" stopIfTrue="1" operator="containsText" text="超过">
      <formula>NOT(ISERROR(SEARCH("超过",F53)))</formula>
    </cfRule>
  </conditionalFormatting>
  <conditionalFormatting sqref="H55">
    <cfRule type="containsText" dxfId="146" priority="19" stopIfTrue="1" operator="containsText" text="超过">
      <formula>NOT(ISERROR(SEARCH("超过",H55)))</formula>
    </cfRule>
  </conditionalFormatting>
  <conditionalFormatting sqref="F55">
    <cfRule type="containsText" dxfId="145" priority="18" stopIfTrue="1" operator="containsText" text="超过">
      <formula>NOT(ISERROR(SEARCH("超过",F55)))</formula>
    </cfRule>
  </conditionalFormatting>
  <conditionalFormatting sqref="F54 H54">
    <cfRule type="containsText" dxfId="144" priority="17" stopIfTrue="1" operator="containsText" text="超过">
      <formula>NOT(ISERROR(SEARCH("超过",F54)))</formula>
    </cfRule>
  </conditionalFormatting>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G55">
    <cfRule type="expression" dxfId="140" priority="13" stopIfTrue="1">
      <formula>$H$55="超过30%"</formula>
    </cfRule>
  </conditionalFormatting>
  <conditionalFormatting sqref="G53">
    <cfRule type="expression" dxfId="139" priority="12" stopIfTrue="1">
      <formula>$H$53="超过30%"</formula>
    </cfRule>
  </conditionalFormatting>
  <conditionalFormatting sqref="G54">
    <cfRule type="expression" dxfId="138" priority="11" stopIfTrue="1">
      <formula>$H$54="超过20%"</formula>
    </cfRule>
  </conditionalFormatting>
  <conditionalFormatting sqref="J53">
    <cfRule type="containsText" dxfId="137" priority="10" stopIfTrue="1" operator="containsText" text="超过">
      <formula>NOT(ISERROR(SEARCH("超过",J53)))</formula>
    </cfRule>
  </conditionalFormatting>
  <conditionalFormatting sqref="J55">
    <cfRule type="containsText" dxfId="136" priority="9" stopIfTrue="1" operator="containsText" text="超过">
      <formula>NOT(ISERROR(SEARCH("超过",J55)))</formula>
    </cfRule>
  </conditionalFormatting>
  <conditionalFormatting sqref="J54">
    <cfRule type="containsText" dxfId="135" priority="8" stopIfTrue="1" operator="containsText" text="超过">
      <formula>NOT(ISERROR(SEARCH("超过",J54)))</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F7:F47 H7:H47 J7:J47">
    <cfRule type="cellIs" dxfId="12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9511.0600000000031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501" t="s">
        <v>2226</v>
      </c>
      <c r="D4" s="3502"/>
      <c r="E4" s="3503" t="s">
        <v>2227</v>
      </c>
      <c r="F4" s="3504"/>
      <c r="G4" s="3501" t="s">
        <v>2228</v>
      </c>
      <c r="H4" s="3502"/>
      <c r="I4" s="3501" t="s">
        <v>2229</v>
      </c>
      <c r="J4" s="3502"/>
      <c r="K4" s="567" t="s">
        <v>2230</v>
      </c>
      <c r="L4" s="1024"/>
      <c r="M4" s="1025"/>
      <c r="N4" s="1025"/>
      <c r="O4" s="1025"/>
      <c r="P4" s="3505" t="s">
        <v>2231</v>
      </c>
      <c r="Q4" s="3506"/>
      <c r="R4" s="3488" t="s">
        <v>2227</v>
      </c>
      <c r="S4" s="3489"/>
      <c r="T4" s="3488" t="s">
        <v>2228</v>
      </c>
      <c r="U4" s="3489"/>
      <c r="V4" s="3513" t="s">
        <v>2229</v>
      </c>
      <c r="W4" s="3513"/>
      <c r="X4" s="1489"/>
      <c r="Y4" s="3488" t="s">
        <v>2231</v>
      </c>
      <c r="Z4" s="3489"/>
      <c r="AA4" s="3483" t="s">
        <v>2227</v>
      </c>
      <c r="AB4" s="3484" t="s">
        <v>2228</v>
      </c>
      <c r="AC4" s="3483" t="s">
        <v>2229</v>
      </c>
    </row>
    <row r="5" spans="1:29" ht="15">
      <c r="A5" s="364"/>
      <c r="B5" s="365"/>
      <c r="C5" s="3494" t="s">
        <v>2122</v>
      </c>
      <c r="D5" s="3495"/>
      <c r="E5" s="3492" t="s">
        <v>2123</v>
      </c>
      <c r="F5" s="3493"/>
      <c r="G5" s="3494" t="s">
        <v>2124</v>
      </c>
      <c r="H5" s="3495"/>
      <c r="I5" s="3494" t="s">
        <v>2125</v>
      </c>
      <c r="J5" s="3495"/>
      <c r="K5" s="567"/>
      <c r="L5" s="1024"/>
      <c r="M5" s="1025"/>
      <c r="N5" s="1025"/>
      <c r="O5" s="1025"/>
      <c r="P5" s="3507"/>
      <c r="Q5" s="3508"/>
      <c r="R5" s="3490"/>
      <c r="S5" s="3491"/>
      <c r="T5" s="3490"/>
      <c r="U5" s="3491"/>
      <c r="V5" s="3513"/>
      <c r="W5" s="3513"/>
      <c r="X5" s="1489"/>
      <c r="Y5" s="3490"/>
      <c r="Z5" s="3491"/>
      <c r="AA5" s="3484"/>
      <c r="AB5" s="3484"/>
      <c r="AC5" s="3484"/>
    </row>
    <row r="6" spans="1:29" ht="15.75" thickBot="1">
      <c r="A6" s="366"/>
      <c r="B6" s="367"/>
      <c r="C6" s="3496" t="s">
        <v>2126</v>
      </c>
      <c r="D6" s="3497"/>
      <c r="E6" s="3498" t="s">
        <v>2126</v>
      </c>
      <c r="F6" s="3499"/>
      <c r="G6" s="3496" t="s">
        <v>2126</v>
      </c>
      <c r="H6" s="3497"/>
      <c r="I6" s="3496" t="s">
        <v>2126</v>
      </c>
      <c r="J6" s="3497"/>
      <c r="K6" s="567" t="s">
        <v>2127</v>
      </c>
      <c r="L6" s="1024"/>
      <c r="M6" s="1025"/>
      <c r="N6" s="1025"/>
      <c r="O6" s="1025"/>
      <c r="P6" s="3509"/>
      <c r="Q6" s="3510"/>
      <c r="R6" s="3490"/>
      <c r="S6" s="3491"/>
      <c r="T6" s="3511"/>
      <c r="U6" s="3512"/>
      <c r="V6" s="3513"/>
      <c r="W6" s="3513"/>
      <c r="X6" s="1489"/>
      <c r="Y6" s="3511"/>
      <c r="Z6" s="3512"/>
      <c r="AA6" s="3485"/>
      <c r="AB6" s="3485"/>
      <c r="AC6" s="3485"/>
    </row>
    <row r="7" spans="1:29" s="113" customFormat="1" ht="15.75" thickBot="1">
      <c r="A7" s="368" t="s">
        <v>2128</v>
      </c>
      <c r="B7" s="369"/>
      <c r="C7" s="370">
        <f>'数据-取费表'!B2</f>
        <v>44873</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86" t="s">
        <v>2129</v>
      </c>
      <c r="Q7" s="3514"/>
      <c r="R7" s="709" t="s">
        <v>17</v>
      </c>
      <c r="S7" s="710">
        <f t="shared" ref="S7:S15" si="0">F7</f>
        <v>0</v>
      </c>
      <c r="T7" s="709" t="s">
        <v>17</v>
      </c>
      <c r="U7" s="710">
        <f t="shared" ref="U7:U15" si="1">H7</f>
        <v>0</v>
      </c>
      <c r="V7" s="709" t="s">
        <v>17</v>
      </c>
      <c r="W7" s="710">
        <f t="shared" ref="W7:W15" si="2">J7</f>
        <v>0</v>
      </c>
      <c r="X7" s="711"/>
      <c r="Y7" s="3486" t="s">
        <v>2129</v>
      </c>
      <c r="Z7" s="3487"/>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86" t="s">
        <v>2132</v>
      </c>
      <c r="Q8" s="3487"/>
      <c r="R8" s="709" t="s">
        <v>17</v>
      </c>
      <c r="S8" s="710">
        <f t="shared" si="0"/>
        <v>0</v>
      </c>
      <c r="T8" s="709" t="s">
        <v>17</v>
      </c>
      <c r="U8" s="710">
        <f t="shared" si="1"/>
        <v>0</v>
      </c>
      <c r="V8" s="709" t="s">
        <v>17</v>
      </c>
      <c r="W8" s="710">
        <f t="shared" si="2"/>
        <v>0</v>
      </c>
      <c r="X8" s="711"/>
      <c r="Y8" s="3486" t="s">
        <v>2132</v>
      </c>
      <c r="Z8" s="3487"/>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18"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18"/>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18"/>
      <c r="Q11" s="1477" t="str">
        <f t="shared" si="6"/>
        <v>容积率</v>
      </c>
      <c r="R11" s="709" t="s">
        <v>17</v>
      </c>
      <c r="S11" s="710" t="e">
        <f t="shared" si="0"/>
        <v>#N/A</v>
      </c>
      <c r="T11" s="709" t="s">
        <v>17</v>
      </c>
      <c r="U11" s="710" t="e">
        <f t="shared" si="1"/>
        <v>#N/A</v>
      </c>
      <c r="V11" s="709" t="s">
        <v>17</v>
      </c>
      <c r="W11" s="710" t="e">
        <f t="shared" si="2"/>
        <v>#N/A</v>
      </c>
      <c r="X11" s="711"/>
      <c r="Y11" s="3430"/>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18"/>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18"/>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18"/>
      <c r="Q14" s="1477">
        <f t="shared" si="6"/>
        <v>111</v>
      </c>
      <c r="R14" s="709" t="s">
        <v>17</v>
      </c>
      <c r="S14" s="710">
        <f t="shared" si="0"/>
        <v>100</v>
      </c>
      <c r="T14" s="709" t="s">
        <v>17</v>
      </c>
      <c r="U14" s="710">
        <f t="shared" si="1"/>
        <v>100</v>
      </c>
      <c r="V14" s="709" t="s">
        <v>17</v>
      </c>
      <c r="W14" s="710">
        <f t="shared" si="2"/>
        <v>100</v>
      </c>
      <c r="X14" s="711"/>
      <c r="Y14" s="3430"/>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20" t="s">
        <v>2140</v>
      </c>
      <c r="Q15" s="1486" t="str">
        <f t="shared" si="6"/>
        <v>产业集聚程度</v>
      </c>
      <c r="R15" s="713" t="s">
        <v>17</v>
      </c>
      <c r="S15" s="714">
        <f t="shared" si="0"/>
        <v>100</v>
      </c>
      <c r="T15" s="713" t="s">
        <v>17</v>
      </c>
      <c r="U15" s="714">
        <f t="shared" si="1"/>
        <v>100</v>
      </c>
      <c r="V15" s="713" t="s">
        <v>17</v>
      </c>
      <c r="W15" s="714">
        <f t="shared" si="2"/>
        <v>100</v>
      </c>
      <c r="X15" s="1489"/>
      <c r="Y15" s="3520"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21"/>
      <c r="Q16" s="1486"/>
      <c r="R16" s="713"/>
      <c r="S16" s="714"/>
      <c r="T16" s="713"/>
      <c r="U16" s="714"/>
      <c r="V16" s="713"/>
      <c r="W16" s="714"/>
      <c r="X16" s="1489"/>
      <c r="Y16" s="3521"/>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21"/>
      <c r="Q17" s="1486" t="str">
        <f>B17</f>
        <v>交通便捷度</v>
      </c>
      <c r="R17" s="713" t="s">
        <v>17</v>
      </c>
      <c r="S17" s="714">
        <f>F17</f>
        <v>100</v>
      </c>
      <c r="T17" s="713" t="s">
        <v>17</v>
      </c>
      <c r="U17" s="714">
        <f>H17</f>
        <v>100</v>
      </c>
      <c r="V17" s="713" t="s">
        <v>17</v>
      </c>
      <c r="W17" s="714">
        <f>J17</f>
        <v>100</v>
      </c>
      <c r="X17" s="1489"/>
      <c r="Y17" s="352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21"/>
      <c r="Q18" s="1486"/>
      <c r="R18" s="713"/>
      <c r="S18" s="714"/>
      <c r="T18" s="713"/>
      <c r="U18" s="714"/>
      <c r="V18" s="713"/>
      <c r="W18" s="714"/>
      <c r="X18" s="1489"/>
      <c r="Y18" s="3521"/>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21"/>
      <c r="Q19" s="1486" t="str">
        <f>B19</f>
        <v>公共配套设施</v>
      </c>
      <c r="R19" s="713" t="s">
        <v>17</v>
      </c>
      <c r="S19" s="714">
        <f>F19</f>
        <v>100</v>
      </c>
      <c r="T19" s="713" t="s">
        <v>17</v>
      </c>
      <c r="U19" s="714">
        <f>H19</f>
        <v>100</v>
      </c>
      <c r="V19" s="713" t="s">
        <v>17</v>
      </c>
      <c r="W19" s="714">
        <f>J19</f>
        <v>100</v>
      </c>
      <c r="X19" s="1489"/>
      <c r="Y19" s="352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21"/>
      <c r="Q20" s="1486"/>
      <c r="R20" s="713"/>
      <c r="S20" s="714"/>
      <c r="T20" s="713"/>
      <c r="U20" s="714"/>
      <c r="V20" s="713"/>
      <c r="W20" s="714"/>
      <c r="X20" s="1489"/>
      <c r="Y20" s="3521"/>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21"/>
      <c r="Q21" s="1486" t="str">
        <f>B21</f>
        <v>基础设施水平</v>
      </c>
      <c r="R21" s="713" t="s">
        <v>17</v>
      </c>
      <c r="S21" s="714">
        <f>F21</f>
        <v>100</v>
      </c>
      <c r="T21" s="713" t="s">
        <v>17</v>
      </c>
      <c r="U21" s="714">
        <f>H21</f>
        <v>100</v>
      </c>
      <c r="V21" s="713" t="s">
        <v>17</v>
      </c>
      <c r="W21" s="714">
        <f>J21</f>
        <v>100</v>
      </c>
      <c r="X21" s="1489"/>
      <c r="Y21" s="352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21"/>
      <c r="Q22" s="1486"/>
      <c r="R22" s="713"/>
      <c r="S22" s="714"/>
      <c r="T22" s="713"/>
      <c r="U22" s="714"/>
      <c r="V22" s="713"/>
      <c r="W22" s="714"/>
      <c r="X22" s="1489"/>
      <c r="Y22" s="3521"/>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21"/>
      <c r="Q23" s="1486" t="str">
        <f>B23</f>
        <v>环境质量</v>
      </c>
      <c r="R23" s="713" t="s">
        <v>17</v>
      </c>
      <c r="S23" s="714">
        <f>F23</f>
        <v>100</v>
      </c>
      <c r="T23" s="713" t="s">
        <v>17</v>
      </c>
      <c r="U23" s="714">
        <f>H23</f>
        <v>100</v>
      </c>
      <c r="V23" s="713" t="s">
        <v>17</v>
      </c>
      <c r="W23" s="714">
        <f>J23</f>
        <v>100</v>
      </c>
      <c r="X23" s="1489"/>
      <c r="Y23" s="3521"/>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21"/>
      <c r="Q24" s="1486"/>
      <c r="R24" s="713"/>
      <c r="S24" s="714"/>
      <c r="T24" s="713"/>
      <c r="U24" s="714"/>
      <c r="V24" s="713"/>
      <c r="W24" s="714"/>
      <c r="X24" s="1489"/>
      <c r="Y24" s="3521"/>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21"/>
      <c r="Q25" s="1486">
        <f>B25</f>
        <v>111</v>
      </c>
      <c r="R25" s="713" t="s">
        <v>17</v>
      </c>
      <c r="S25" s="714">
        <f>F25</f>
        <v>100</v>
      </c>
      <c r="T25" s="713" t="s">
        <v>17</v>
      </c>
      <c r="U25" s="714">
        <f>H25</f>
        <v>100</v>
      </c>
      <c r="V25" s="713" t="s">
        <v>17</v>
      </c>
      <c r="W25" s="714">
        <f>J25</f>
        <v>100</v>
      </c>
      <c r="X25" s="1489"/>
      <c r="Y25" s="3521"/>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21"/>
      <c r="Q26" s="1486">
        <f t="shared" ref="Q26:Q40" si="11">B26</f>
        <v>111</v>
      </c>
      <c r="R26" s="713" t="s">
        <v>17</v>
      </c>
      <c r="S26" s="714">
        <f>F26</f>
        <v>100</v>
      </c>
      <c r="T26" s="713" t="s">
        <v>17</v>
      </c>
      <c r="U26" s="714">
        <f>H26</f>
        <v>100</v>
      </c>
      <c r="V26" s="713" t="s">
        <v>17</v>
      </c>
      <c r="W26" s="714">
        <f>J26</f>
        <v>100</v>
      </c>
      <c r="X26" s="1489"/>
      <c r="Y26" s="3521"/>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21"/>
      <c r="Q27" s="1477">
        <f t="shared" si="11"/>
        <v>111</v>
      </c>
      <c r="R27" s="709" t="s">
        <v>17</v>
      </c>
      <c r="S27" s="710">
        <f>F27</f>
        <v>100</v>
      </c>
      <c r="T27" s="709" t="s">
        <v>17</v>
      </c>
      <c r="U27" s="710">
        <f>H27</f>
        <v>100</v>
      </c>
      <c r="V27" s="709" t="s">
        <v>17</v>
      </c>
      <c r="W27" s="710">
        <f>J27</f>
        <v>100</v>
      </c>
      <c r="X27" s="711"/>
      <c r="Y27" s="3521"/>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21"/>
      <c r="Q28" s="1486">
        <f t="shared" si="11"/>
        <v>111</v>
      </c>
      <c r="R28" s="713" t="s">
        <v>17</v>
      </c>
      <c r="S28" s="714">
        <f t="shared" ref="S28:S40" si="12">F28</f>
        <v>100</v>
      </c>
      <c r="T28" s="713" t="s">
        <v>17</v>
      </c>
      <c r="U28" s="714">
        <f t="shared" ref="U28:U40" si="13">H28</f>
        <v>100</v>
      </c>
      <c r="V28" s="713" t="s">
        <v>17</v>
      </c>
      <c r="W28" s="714">
        <f t="shared" ref="W28:W40" si="14">J28</f>
        <v>100</v>
      </c>
      <c r="X28" s="1489"/>
      <c r="Y28" s="3521"/>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44" t="s">
        <v>2145</v>
      </c>
      <c r="Q29" s="1486" t="str">
        <f t="shared" si="11"/>
        <v>建筑类型</v>
      </c>
      <c r="R29" s="713" t="s">
        <v>17</v>
      </c>
      <c r="S29" s="714">
        <f t="shared" si="12"/>
        <v>100</v>
      </c>
      <c r="T29" s="713" t="s">
        <v>17</v>
      </c>
      <c r="U29" s="714">
        <f t="shared" si="13"/>
        <v>100</v>
      </c>
      <c r="V29" s="713" t="s">
        <v>17</v>
      </c>
      <c r="W29" s="714">
        <f t="shared" si="14"/>
        <v>100</v>
      </c>
      <c r="X29" s="1489"/>
      <c r="Y29" s="3525"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25"/>
      <c r="Q30" s="715" t="str">
        <f t="shared" si="11"/>
        <v>项目建筑规模</v>
      </c>
      <c r="R30" s="716" t="s">
        <v>17</v>
      </c>
      <c r="S30" s="717" t="e">
        <f t="shared" si="12"/>
        <v>#N/A</v>
      </c>
      <c r="T30" s="716" t="s">
        <v>17</v>
      </c>
      <c r="U30" s="717" t="e">
        <f t="shared" si="13"/>
        <v>#N/A</v>
      </c>
      <c r="V30" s="716" t="s">
        <v>17</v>
      </c>
      <c r="W30" s="717" t="e">
        <f t="shared" si="14"/>
        <v>#N/A</v>
      </c>
      <c r="X30" s="718"/>
      <c r="Y30" s="3525"/>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25"/>
      <c r="Q31" s="1486" t="str">
        <f t="shared" si="11"/>
        <v>建筑结构</v>
      </c>
      <c r="R31" s="713" t="s">
        <v>17</v>
      </c>
      <c r="S31" s="714">
        <f t="shared" si="12"/>
        <v>100</v>
      </c>
      <c r="T31" s="713" t="s">
        <v>17</v>
      </c>
      <c r="U31" s="714">
        <f t="shared" si="13"/>
        <v>100</v>
      </c>
      <c r="V31" s="713" t="s">
        <v>17</v>
      </c>
      <c r="W31" s="714">
        <f t="shared" si="14"/>
        <v>100</v>
      </c>
      <c r="X31" s="1489"/>
      <c r="Y31" s="3525"/>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25"/>
      <c r="Q32" s="1486" t="str">
        <f t="shared" si="11"/>
        <v>公共部分装修</v>
      </c>
      <c r="R32" s="713" t="s">
        <v>17</v>
      </c>
      <c r="S32" s="714">
        <f t="shared" si="12"/>
        <v>100</v>
      </c>
      <c r="T32" s="713" t="s">
        <v>17</v>
      </c>
      <c r="U32" s="714">
        <f t="shared" si="13"/>
        <v>100</v>
      </c>
      <c r="V32" s="713" t="s">
        <v>17</v>
      </c>
      <c r="W32" s="714">
        <f t="shared" si="14"/>
        <v>100</v>
      </c>
      <c r="X32" s="1489"/>
      <c r="Y32" s="3525"/>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25"/>
      <c r="Q33" s="1486" t="str">
        <f t="shared" si="11"/>
        <v>成新度</v>
      </c>
      <c r="R33" s="713" t="s">
        <v>17</v>
      </c>
      <c r="S33" s="714" t="e">
        <f t="shared" si="12"/>
        <v>#N/A</v>
      </c>
      <c r="T33" s="713" t="s">
        <v>17</v>
      </c>
      <c r="U33" s="714" t="e">
        <f t="shared" si="13"/>
        <v>#N/A</v>
      </c>
      <c r="V33" s="713" t="s">
        <v>17</v>
      </c>
      <c r="W33" s="714" t="e">
        <f t="shared" si="14"/>
        <v>#N/A</v>
      </c>
      <c r="X33" s="1489"/>
      <c r="Y33" s="3525"/>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25"/>
      <c r="Q34" s="1477" t="str">
        <f t="shared" si="11"/>
        <v>物业管理</v>
      </c>
      <c r="R34" s="709" t="s">
        <v>17</v>
      </c>
      <c r="S34" s="710">
        <f t="shared" si="12"/>
        <v>100</v>
      </c>
      <c r="T34" s="709" t="s">
        <v>17</v>
      </c>
      <c r="U34" s="710">
        <f t="shared" si="13"/>
        <v>100</v>
      </c>
      <c r="V34" s="709" t="s">
        <v>17</v>
      </c>
      <c r="W34" s="710">
        <f t="shared" si="14"/>
        <v>100</v>
      </c>
      <c r="X34" s="711"/>
      <c r="Y34" s="3525"/>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25" t="s">
        <v>2145</v>
      </c>
      <c r="Q35" s="1486" t="str">
        <f t="shared" si="11"/>
        <v>市政基础设施</v>
      </c>
      <c r="R35" s="713" t="s">
        <v>17</v>
      </c>
      <c r="S35" s="714">
        <f t="shared" si="12"/>
        <v>100</v>
      </c>
      <c r="T35" s="713" t="s">
        <v>17</v>
      </c>
      <c r="U35" s="714">
        <f t="shared" si="13"/>
        <v>100</v>
      </c>
      <c r="V35" s="713" t="s">
        <v>17</v>
      </c>
      <c r="W35" s="714">
        <f t="shared" si="14"/>
        <v>100</v>
      </c>
      <c r="X35" s="1489"/>
      <c r="Y35" s="3525"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25"/>
      <c r="Q36" s="1486" t="str">
        <f t="shared" si="11"/>
        <v>内部装修</v>
      </c>
      <c r="R36" s="713" t="s">
        <v>17</v>
      </c>
      <c r="S36" s="714">
        <f t="shared" si="12"/>
        <v>100</v>
      </c>
      <c r="T36" s="713" t="s">
        <v>17</v>
      </c>
      <c r="U36" s="714">
        <f t="shared" si="13"/>
        <v>100</v>
      </c>
      <c r="V36" s="713" t="s">
        <v>17</v>
      </c>
      <c r="W36" s="714">
        <f t="shared" si="14"/>
        <v>100</v>
      </c>
      <c r="X36" s="1489"/>
      <c r="Y36" s="3525"/>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25"/>
      <c r="Q37" s="1486" t="str">
        <f t="shared" si="11"/>
        <v>内部装修状况</v>
      </c>
      <c r="R37" s="713" t="s">
        <v>17</v>
      </c>
      <c r="S37" s="714">
        <f t="shared" si="12"/>
        <v>100</v>
      </c>
      <c r="T37" s="713" t="s">
        <v>17</v>
      </c>
      <c r="U37" s="714">
        <f t="shared" si="13"/>
        <v>100</v>
      </c>
      <c r="V37" s="713" t="s">
        <v>17</v>
      </c>
      <c r="W37" s="714">
        <f t="shared" si="14"/>
        <v>100</v>
      </c>
      <c r="X37" s="1489"/>
      <c r="Y37" s="3525"/>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25"/>
      <c r="Q38" s="715">
        <f t="shared" si="11"/>
        <v>111</v>
      </c>
      <c r="R38" s="716" t="s">
        <v>17</v>
      </c>
      <c r="S38" s="717">
        <f t="shared" si="12"/>
        <v>100</v>
      </c>
      <c r="T38" s="716" t="s">
        <v>17</v>
      </c>
      <c r="U38" s="717">
        <f t="shared" si="13"/>
        <v>100</v>
      </c>
      <c r="V38" s="716" t="s">
        <v>17</v>
      </c>
      <c r="W38" s="717">
        <f t="shared" si="14"/>
        <v>100</v>
      </c>
      <c r="X38" s="718"/>
      <c r="Y38" s="3525"/>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25"/>
      <c r="Q39" s="1486">
        <f t="shared" si="11"/>
        <v>111</v>
      </c>
      <c r="R39" s="713" t="s">
        <v>17</v>
      </c>
      <c r="S39" s="714">
        <f t="shared" si="12"/>
        <v>100</v>
      </c>
      <c r="T39" s="713" t="s">
        <v>17</v>
      </c>
      <c r="U39" s="714">
        <f t="shared" si="13"/>
        <v>100</v>
      </c>
      <c r="V39" s="713" t="s">
        <v>17</v>
      </c>
      <c r="W39" s="714">
        <f t="shared" si="14"/>
        <v>100</v>
      </c>
      <c r="X39" s="1489"/>
      <c r="Y39" s="3525"/>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26"/>
      <c r="Q40" s="1486">
        <f t="shared" si="11"/>
        <v>111</v>
      </c>
      <c r="R40" s="713" t="s">
        <v>17</v>
      </c>
      <c r="S40" s="714">
        <f t="shared" si="12"/>
        <v>100</v>
      </c>
      <c r="T40" s="713" t="s">
        <v>17</v>
      </c>
      <c r="U40" s="714">
        <f t="shared" si="13"/>
        <v>100</v>
      </c>
      <c r="V40" s="713" t="s">
        <v>17</v>
      </c>
      <c r="W40" s="714">
        <f t="shared" si="14"/>
        <v>100</v>
      </c>
      <c r="X40" s="1489"/>
      <c r="Y40" s="3526"/>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18" t="str">
        <f>A41</f>
        <v>成交单价（元/平方米）</v>
      </c>
      <c r="Q41" s="3518"/>
      <c r="R41" s="3519">
        <f>E41</f>
        <v>0</v>
      </c>
      <c r="S41" s="3519"/>
      <c r="T41" s="3519">
        <f>G41</f>
        <v>0</v>
      </c>
      <c r="U41" s="3519"/>
      <c r="V41" s="3519">
        <f>I41</f>
        <v>0</v>
      </c>
      <c r="W41" s="3519"/>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18" t="str">
        <f>A42</f>
        <v>比较价值（元/平方米）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515" t="str">
        <f>A43</f>
        <v>估价对象XX用房的比较价值（楼面单价，元/平方米）</v>
      </c>
      <c r="Q43" s="3516"/>
      <c r="R43" s="3517" t="e">
        <f>IF(F1="售价",ROUND(IF(D42="简单平均",AVERAGE(R42:V42),R42*F42+T42*H42+V42*J42),0),ROUND(IF(D42="简单平均",AVERAGE(R42:V42),R42*F42+T42*H42+V42*J42),1))</f>
        <v>#DIV/0!</v>
      </c>
      <c r="S43" s="3517"/>
      <c r="T43" s="3517"/>
      <c r="U43" s="3517"/>
      <c r="V43" s="3517"/>
      <c r="W43" s="3517"/>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受贵公司委托，我公司对北京市房地产市场价值进行了预评估。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估价对象为北京市房地产，为所有。根据《国有土地使用证》[]，估价对象（分摊）出让国有建设用地使用权面积为3589.08平方米，建筑面积为9511.06平方米。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估价对象为北京市房地产,属开发建设的，该项目尚在开发建设中。根据《国有土地使用证》[]，估价对象（分摊）出让国有建设用地使用权面积为3589.08平方米，规划建筑面积为9511.06平方米。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2022年11月8日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501" t="s">
        <v>2226</v>
      </c>
      <c r="D4" s="3502"/>
      <c r="E4" s="3503" t="s">
        <v>2227</v>
      </c>
      <c r="F4" s="3504"/>
      <c r="G4" s="3501" t="s">
        <v>2228</v>
      </c>
      <c r="H4" s="3502"/>
      <c r="I4" s="3501" t="s">
        <v>2229</v>
      </c>
      <c r="J4" s="3502"/>
      <c r="K4" s="567" t="s">
        <v>2230</v>
      </c>
      <c r="L4" s="2893"/>
      <c r="M4" s="2894"/>
      <c r="N4" s="2894"/>
      <c r="O4" s="2894"/>
      <c r="P4" s="3505" t="s">
        <v>2231</v>
      </c>
      <c r="Q4" s="3506"/>
      <c r="R4" s="3488" t="s">
        <v>2227</v>
      </c>
      <c r="S4" s="3489"/>
      <c r="T4" s="3488" t="s">
        <v>2228</v>
      </c>
      <c r="U4" s="3489"/>
      <c r="V4" s="3513" t="s">
        <v>2229</v>
      </c>
      <c r="W4" s="3513"/>
      <c r="X4" s="1489"/>
      <c r="Y4" s="3488" t="s">
        <v>2231</v>
      </c>
      <c r="Z4" s="3489"/>
      <c r="AA4" s="3483" t="s">
        <v>2227</v>
      </c>
      <c r="AB4" s="3484" t="s">
        <v>2228</v>
      </c>
      <c r="AC4" s="3483" t="s">
        <v>2229</v>
      </c>
    </row>
    <row r="5" spans="1:29" ht="15">
      <c r="A5" s="364"/>
      <c r="B5" s="365"/>
      <c r="C5" s="3494" t="s">
        <v>2122</v>
      </c>
      <c r="D5" s="3495"/>
      <c r="E5" s="3492" t="s">
        <v>2123</v>
      </c>
      <c r="F5" s="3493"/>
      <c r="G5" s="3494" t="s">
        <v>2124</v>
      </c>
      <c r="H5" s="3495"/>
      <c r="I5" s="3494" t="s">
        <v>2125</v>
      </c>
      <c r="J5" s="3495"/>
      <c r="K5" s="567"/>
      <c r="L5" s="2893"/>
      <c r="M5" s="2894"/>
      <c r="N5" s="2894"/>
      <c r="O5" s="2894"/>
      <c r="P5" s="3507"/>
      <c r="Q5" s="3508"/>
      <c r="R5" s="3490"/>
      <c r="S5" s="3491"/>
      <c r="T5" s="3490"/>
      <c r="U5" s="3491"/>
      <c r="V5" s="3513"/>
      <c r="W5" s="3513"/>
      <c r="X5" s="1489"/>
      <c r="Y5" s="3490"/>
      <c r="Z5" s="3491"/>
      <c r="AA5" s="3484"/>
      <c r="AB5" s="3484"/>
      <c r="AC5" s="3484"/>
    </row>
    <row r="6" spans="1:29" ht="15.75" thickBot="1">
      <c r="A6" s="366"/>
      <c r="B6" s="367"/>
      <c r="C6" s="3496" t="s">
        <v>2126</v>
      </c>
      <c r="D6" s="3497"/>
      <c r="E6" s="3498" t="s">
        <v>2126</v>
      </c>
      <c r="F6" s="3499"/>
      <c r="G6" s="3496" t="s">
        <v>2126</v>
      </c>
      <c r="H6" s="3497"/>
      <c r="I6" s="3496" t="s">
        <v>2126</v>
      </c>
      <c r="J6" s="3497"/>
      <c r="K6" s="567" t="s">
        <v>2127</v>
      </c>
      <c r="L6" s="2893"/>
      <c r="M6" s="2894"/>
      <c r="N6" s="2894"/>
      <c r="O6" s="2894"/>
      <c r="P6" s="3509"/>
      <c r="Q6" s="3510"/>
      <c r="R6" s="3490"/>
      <c r="S6" s="3491"/>
      <c r="T6" s="3511"/>
      <c r="U6" s="3512"/>
      <c r="V6" s="3513"/>
      <c r="W6" s="3513"/>
      <c r="X6" s="1489"/>
      <c r="Y6" s="3511"/>
      <c r="Z6" s="3512"/>
      <c r="AA6" s="3485"/>
      <c r="AB6" s="3485"/>
      <c r="AC6" s="3485"/>
    </row>
    <row r="7" spans="1:29" s="113" customFormat="1" ht="15.75" thickBot="1">
      <c r="A7" s="368" t="s">
        <v>2128</v>
      </c>
      <c r="B7" s="369"/>
      <c r="C7" s="370">
        <f>'数据-取费表'!B2</f>
        <v>44873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6" t="s">
        <v>2129</v>
      </c>
      <c r="Q7" s="3514"/>
      <c r="R7" s="709" t="s">
        <v>17</v>
      </c>
      <c r="S7" s="710">
        <f t="shared" ref="S7:S14" si="0">F7</f>
        <v>0</v>
      </c>
      <c r="T7" s="709" t="s">
        <v>17</v>
      </c>
      <c r="U7" s="710">
        <f t="shared" ref="U7:U14" si="1">H7</f>
        <v>0</v>
      </c>
      <c r="V7" s="709" t="s">
        <v>17</v>
      </c>
      <c r="W7" s="710">
        <f t="shared" ref="W7:W14" si="2">J7</f>
        <v>0</v>
      </c>
      <c r="X7" s="711"/>
      <c r="Y7" s="3486" t="s">
        <v>2129</v>
      </c>
      <c r="Z7" s="3487"/>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6" t="s">
        <v>2132</v>
      </c>
      <c r="Q8" s="3487"/>
      <c r="R8" s="709" t="s">
        <v>17</v>
      </c>
      <c r="S8" s="710">
        <f t="shared" si="0"/>
        <v>0</v>
      </c>
      <c r="T8" s="709" t="s">
        <v>17</v>
      </c>
      <c r="U8" s="710">
        <f t="shared" si="1"/>
        <v>0</v>
      </c>
      <c r="V8" s="709" t="s">
        <v>17</v>
      </c>
      <c r="W8" s="710">
        <f t="shared" si="2"/>
        <v>0</v>
      </c>
      <c r="X8" s="711"/>
      <c r="Y8" s="3486" t="s">
        <v>2132</v>
      </c>
      <c r="Z8" s="3487"/>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8" t="s">
        <v>2135</v>
      </c>
      <c r="Q9" s="1477" t="str">
        <f t="shared" ref="Q9:Q14" si="6">B9</f>
        <v>用途</v>
      </c>
      <c r="R9" s="709" t="s">
        <v>17</v>
      </c>
      <c r="S9" s="710">
        <f t="shared" si="0"/>
        <v>100</v>
      </c>
      <c r="T9" s="709" t="s">
        <v>17</v>
      </c>
      <c r="U9" s="710">
        <f t="shared" si="1"/>
        <v>100</v>
      </c>
      <c r="V9" s="709" t="s">
        <v>17</v>
      </c>
      <c r="W9" s="710">
        <f t="shared" si="2"/>
        <v>100</v>
      </c>
      <c r="X9" s="711"/>
      <c r="Y9" s="3430"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8"/>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8"/>
      <c r="Q11" s="1477">
        <f t="shared" si="6"/>
        <v>111</v>
      </c>
      <c r="R11" s="709" t="s">
        <v>17</v>
      </c>
      <c r="S11" s="710">
        <f t="shared" si="0"/>
        <v>100</v>
      </c>
      <c r="T11" s="709" t="s">
        <v>17</v>
      </c>
      <c r="U11" s="710">
        <f t="shared" si="1"/>
        <v>100</v>
      </c>
      <c r="V11" s="709" t="s">
        <v>17</v>
      </c>
      <c r="W11" s="710">
        <f t="shared" si="2"/>
        <v>100</v>
      </c>
      <c r="X11" s="711"/>
      <c r="Y11" s="343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8"/>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8"/>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20" t="s">
        <v>2140</v>
      </c>
      <c r="Q14" s="1486" t="str">
        <f t="shared" si="6"/>
        <v>交通便捷度</v>
      </c>
      <c r="R14" s="713" t="s">
        <v>17</v>
      </c>
      <c r="S14" s="714">
        <f t="shared" si="0"/>
        <v>100</v>
      </c>
      <c r="T14" s="713" t="s">
        <v>17</v>
      </c>
      <c r="U14" s="714">
        <f t="shared" si="1"/>
        <v>100</v>
      </c>
      <c r="V14" s="713" t="s">
        <v>17</v>
      </c>
      <c r="W14" s="714">
        <f t="shared" si="2"/>
        <v>100</v>
      </c>
      <c r="X14" s="1489"/>
      <c r="Y14" s="3520"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21"/>
      <c r="Q15" s="1486"/>
      <c r="R15" s="713"/>
      <c r="S15" s="714"/>
      <c r="T15" s="713"/>
      <c r="U15" s="714"/>
      <c r="V15" s="713"/>
      <c r="W15" s="714"/>
      <c r="X15" s="1489"/>
      <c r="Y15" s="3521"/>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21"/>
      <c r="Q16" s="1486" t="str">
        <f>B16</f>
        <v>公共配套设施</v>
      </c>
      <c r="R16" s="713" t="s">
        <v>17</v>
      </c>
      <c r="S16" s="714">
        <f>F16</f>
        <v>100</v>
      </c>
      <c r="T16" s="713" t="s">
        <v>17</v>
      </c>
      <c r="U16" s="714">
        <f>H16</f>
        <v>100</v>
      </c>
      <c r="V16" s="713" t="s">
        <v>17</v>
      </c>
      <c r="W16" s="714">
        <f>J16</f>
        <v>100</v>
      </c>
      <c r="X16" s="1489"/>
      <c r="Y16" s="3521"/>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21"/>
      <c r="Q17" s="1486"/>
      <c r="R17" s="713"/>
      <c r="S17" s="714"/>
      <c r="T17" s="713"/>
      <c r="U17" s="714"/>
      <c r="V17" s="713"/>
      <c r="W17" s="714"/>
      <c r="X17" s="1489"/>
      <c r="Y17" s="3521"/>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21"/>
      <c r="Q18" s="1486" t="str">
        <f>B18</f>
        <v>基础设施水平</v>
      </c>
      <c r="R18" s="713" t="s">
        <v>17</v>
      </c>
      <c r="S18" s="714">
        <f>F18</f>
        <v>100</v>
      </c>
      <c r="T18" s="713" t="s">
        <v>17</v>
      </c>
      <c r="U18" s="714">
        <f>H18</f>
        <v>100</v>
      </c>
      <c r="V18" s="713" t="s">
        <v>17</v>
      </c>
      <c r="W18" s="714">
        <f>J18</f>
        <v>100</v>
      </c>
      <c r="X18" s="1489"/>
      <c r="Y18" s="3521"/>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21"/>
      <c r="Q19" s="1486"/>
      <c r="R19" s="713"/>
      <c r="S19" s="714"/>
      <c r="T19" s="713"/>
      <c r="U19" s="714"/>
      <c r="V19" s="713"/>
      <c r="W19" s="714"/>
      <c r="X19" s="1489"/>
      <c r="Y19" s="3521"/>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21"/>
      <c r="Q20" s="1486" t="str">
        <f>B20</f>
        <v>自然及人文环境</v>
      </c>
      <c r="R20" s="713" t="s">
        <v>17</v>
      </c>
      <c r="S20" s="714">
        <f>F20</f>
        <v>100</v>
      </c>
      <c r="T20" s="713" t="s">
        <v>17</v>
      </c>
      <c r="U20" s="714">
        <f>H20</f>
        <v>100</v>
      </c>
      <c r="V20" s="713" t="s">
        <v>17</v>
      </c>
      <c r="W20" s="714">
        <f>J20</f>
        <v>100</v>
      </c>
      <c r="X20" s="1489"/>
      <c r="Y20" s="3521"/>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21"/>
      <c r="Q21" s="1486"/>
      <c r="R21" s="713"/>
      <c r="S21" s="714"/>
      <c r="T21" s="713"/>
      <c r="U21" s="714"/>
      <c r="V21" s="713"/>
      <c r="W21" s="714"/>
      <c r="X21" s="1489"/>
      <c r="Y21" s="3521"/>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21"/>
      <c r="Q22" s="1486" t="str">
        <f>B22</f>
        <v>楼层</v>
      </c>
      <c r="R22" s="713" t="s">
        <v>17</v>
      </c>
      <c r="S22" s="714">
        <f>F22</f>
        <v>100</v>
      </c>
      <c r="T22" s="713" t="s">
        <v>17</v>
      </c>
      <c r="U22" s="714">
        <f>H22</f>
        <v>100</v>
      </c>
      <c r="V22" s="713" t="s">
        <v>17</v>
      </c>
      <c r="W22" s="714">
        <f>J22</f>
        <v>100</v>
      </c>
      <c r="X22" s="1489"/>
      <c r="Y22" s="3521"/>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21"/>
      <c r="Q23" s="1486">
        <f>B23</f>
        <v>111</v>
      </c>
      <c r="R23" s="713" t="s">
        <v>17</v>
      </c>
      <c r="S23" s="714">
        <f>F23</f>
        <v>100</v>
      </c>
      <c r="T23" s="713" t="s">
        <v>17</v>
      </c>
      <c r="U23" s="714">
        <f>H23</f>
        <v>100</v>
      </c>
      <c r="V23" s="713" t="s">
        <v>17</v>
      </c>
      <c r="W23" s="714">
        <f>J23</f>
        <v>100</v>
      </c>
      <c r="X23" s="1489"/>
      <c r="Y23" s="3521"/>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21"/>
      <c r="Q24" s="1486">
        <f t="shared" ref="Q24:Q36" si="11">B24</f>
        <v>111</v>
      </c>
      <c r="R24" s="713" t="s">
        <v>17</v>
      </c>
      <c r="S24" s="714">
        <f>F24</f>
        <v>100</v>
      </c>
      <c r="T24" s="713" t="s">
        <v>17</v>
      </c>
      <c r="U24" s="714">
        <f>H24</f>
        <v>100</v>
      </c>
      <c r="V24" s="713" t="s">
        <v>17</v>
      </c>
      <c r="W24" s="714">
        <f>J24</f>
        <v>100</v>
      </c>
      <c r="X24" s="1489"/>
      <c r="Y24" s="3521"/>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21"/>
      <c r="Q25" s="1477">
        <f t="shared" si="11"/>
        <v>111</v>
      </c>
      <c r="R25" s="709" t="s">
        <v>17</v>
      </c>
      <c r="S25" s="710">
        <f>F25</f>
        <v>100</v>
      </c>
      <c r="T25" s="709" t="s">
        <v>17</v>
      </c>
      <c r="U25" s="710">
        <f>H25</f>
        <v>100</v>
      </c>
      <c r="V25" s="709" t="s">
        <v>17</v>
      </c>
      <c r="W25" s="710">
        <f>J25</f>
        <v>100</v>
      </c>
      <c r="X25" s="711"/>
      <c r="Y25" s="3521"/>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4"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25"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25"/>
      <c r="Q27" s="715" t="str">
        <f t="shared" si="11"/>
        <v>项目停车位配比</v>
      </c>
      <c r="R27" s="716" t="s">
        <v>17</v>
      </c>
      <c r="S27" s="717">
        <f t="shared" si="12"/>
        <v>100</v>
      </c>
      <c r="T27" s="716" t="s">
        <v>17</v>
      </c>
      <c r="U27" s="717">
        <f t="shared" si="13"/>
        <v>100</v>
      </c>
      <c r="V27" s="716" t="s">
        <v>17</v>
      </c>
      <c r="W27" s="717">
        <f t="shared" si="14"/>
        <v>100</v>
      </c>
      <c r="X27" s="718"/>
      <c r="Y27" s="3525"/>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25"/>
      <c r="Q28" s="1486" t="str">
        <f t="shared" si="11"/>
        <v>公共部分装修</v>
      </c>
      <c r="R28" s="713" t="s">
        <v>17</v>
      </c>
      <c r="S28" s="714">
        <f t="shared" si="12"/>
        <v>100</v>
      </c>
      <c r="T28" s="713" t="s">
        <v>17</v>
      </c>
      <c r="U28" s="714">
        <f t="shared" si="13"/>
        <v>100</v>
      </c>
      <c r="V28" s="713" t="s">
        <v>17</v>
      </c>
      <c r="W28" s="714">
        <f t="shared" si="14"/>
        <v>100</v>
      </c>
      <c r="X28" s="1489"/>
      <c r="Y28" s="3525"/>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25"/>
      <c r="Q29" s="1486" t="str">
        <f t="shared" si="11"/>
        <v>成新率</v>
      </c>
      <c r="R29" s="713" t="s">
        <v>17</v>
      </c>
      <c r="S29" s="714" t="e">
        <f t="shared" si="12"/>
        <v>#N/A</v>
      </c>
      <c r="T29" s="713" t="s">
        <v>17</v>
      </c>
      <c r="U29" s="714" t="e">
        <f t="shared" si="13"/>
        <v>#N/A</v>
      </c>
      <c r="V29" s="713" t="s">
        <v>17</v>
      </c>
      <c r="W29" s="714" t="e">
        <f t="shared" si="14"/>
        <v>#N/A</v>
      </c>
      <c r="X29" s="1489"/>
      <c r="Y29" s="3525"/>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25"/>
      <c r="Q30" s="1486" t="str">
        <f t="shared" si="11"/>
        <v>物业等级</v>
      </c>
      <c r="R30" s="713" t="s">
        <v>17</v>
      </c>
      <c r="S30" s="714">
        <f t="shared" si="12"/>
        <v>100</v>
      </c>
      <c r="T30" s="713" t="s">
        <v>17</v>
      </c>
      <c r="U30" s="714">
        <f t="shared" si="13"/>
        <v>100</v>
      </c>
      <c r="V30" s="713" t="s">
        <v>17</v>
      </c>
      <c r="W30" s="714">
        <f t="shared" si="14"/>
        <v>100</v>
      </c>
      <c r="X30" s="1489"/>
      <c r="Y30" s="3525"/>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25"/>
      <c r="Q31" s="1477" t="str">
        <f t="shared" si="11"/>
        <v>停车位面积</v>
      </c>
      <c r="R31" s="709" t="s">
        <v>17</v>
      </c>
      <c r="S31" s="710" t="e">
        <f t="shared" si="12"/>
        <v>#N/A</v>
      </c>
      <c r="T31" s="709" t="s">
        <v>17</v>
      </c>
      <c r="U31" s="710" t="e">
        <f t="shared" si="13"/>
        <v>#N/A</v>
      </c>
      <c r="V31" s="709" t="s">
        <v>17</v>
      </c>
      <c r="W31" s="710" t="e">
        <f t="shared" si="14"/>
        <v>#N/A</v>
      </c>
      <c r="X31" s="711"/>
      <c r="Y31" s="3525"/>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25" t="s">
        <v>2145</v>
      </c>
      <c r="Q32" s="1486" t="str">
        <f t="shared" si="11"/>
        <v>车位类型</v>
      </c>
      <c r="R32" s="713" t="s">
        <v>17</v>
      </c>
      <c r="S32" s="714">
        <f t="shared" si="12"/>
        <v>100</v>
      </c>
      <c r="T32" s="713" t="s">
        <v>17</v>
      </c>
      <c r="U32" s="714">
        <f t="shared" si="13"/>
        <v>100</v>
      </c>
      <c r="V32" s="713" t="s">
        <v>17</v>
      </c>
      <c r="W32" s="714">
        <f t="shared" si="14"/>
        <v>100</v>
      </c>
      <c r="X32" s="1489"/>
      <c r="Y32" s="3525"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25"/>
      <c r="Q33" s="1486" t="str">
        <f t="shared" si="11"/>
        <v>是否直接入户</v>
      </c>
      <c r="R33" s="713" t="s">
        <v>17</v>
      </c>
      <c r="S33" s="714">
        <f t="shared" si="12"/>
        <v>100</v>
      </c>
      <c r="T33" s="713" t="s">
        <v>17</v>
      </c>
      <c r="U33" s="714">
        <f t="shared" si="13"/>
        <v>100</v>
      </c>
      <c r="V33" s="713" t="s">
        <v>17</v>
      </c>
      <c r="W33" s="714">
        <f t="shared" si="14"/>
        <v>100</v>
      </c>
      <c r="X33" s="1489"/>
      <c r="Y33" s="3525"/>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25"/>
      <c r="Q34" s="1486">
        <f t="shared" si="11"/>
        <v>111</v>
      </c>
      <c r="R34" s="713" t="s">
        <v>17</v>
      </c>
      <c r="S34" s="714">
        <f t="shared" si="12"/>
        <v>100</v>
      </c>
      <c r="T34" s="713" t="s">
        <v>17</v>
      </c>
      <c r="U34" s="714">
        <f t="shared" si="13"/>
        <v>100</v>
      </c>
      <c r="V34" s="713" t="s">
        <v>17</v>
      </c>
      <c r="W34" s="714">
        <f t="shared" si="14"/>
        <v>100</v>
      </c>
      <c r="X34" s="1489"/>
      <c r="Y34" s="3525"/>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25"/>
      <c r="Q35" s="715">
        <f t="shared" si="11"/>
        <v>111</v>
      </c>
      <c r="R35" s="716" t="s">
        <v>17</v>
      </c>
      <c r="S35" s="717">
        <f t="shared" si="12"/>
        <v>100</v>
      </c>
      <c r="T35" s="716" t="s">
        <v>17</v>
      </c>
      <c r="U35" s="717">
        <f t="shared" si="13"/>
        <v>100</v>
      </c>
      <c r="V35" s="716" t="s">
        <v>17</v>
      </c>
      <c r="W35" s="717">
        <f t="shared" si="14"/>
        <v>100</v>
      </c>
      <c r="X35" s="718"/>
      <c r="Y35" s="3525"/>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25"/>
      <c r="Q36" s="1486">
        <f t="shared" si="11"/>
        <v>111</v>
      </c>
      <c r="R36" s="713" t="s">
        <v>17</v>
      </c>
      <c r="S36" s="714">
        <f t="shared" si="12"/>
        <v>100</v>
      </c>
      <c r="T36" s="713" t="s">
        <v>17</v>
      </c>
      <c r="U36" s="714">
        <f t="shared" si="13"/>
        <v>100</v>
      </c>
      <c r="V36" s="713" t="s">
        <v>17</v>
      </c>
      <c r="W36" s="714">
        <f t="shared" si="14"/>
        <v>100</v>
      </c>
      <c r="X36" s="1489"/>
      <c r="Y36" s="3525"/>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18" t="str">
        <f>A37</f>
        <v>成交单价</v>
      </c>
      <c r="Q37" s="3518"/>
      <c r="R37" s="3519">
        <f>E37</f>
        <v>0</v>
      </c>
      <c r="S37" s="3519"/>
      <c r="T37" s="3519">
        <f>G37</f>
        <v>0</v>
      </c>
      <c r="U37" s="3519"/>
      <c r="V37" s="3519">
        <f>I37</f>
        <v>0</v>
      </c>
      <c r="W37" s="3519"/>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18" t="str">
        <f>A38</f>
        <v>比较价值（元/平方米）</v>
      </c>
      <c r="Q38" s="3518"/>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515" t="str">
        <f>A39</f>
        <v>估价对象XX用房的比较价值（楼面单价，元/平方米）</v>
      </c>
      <c r="Q39" s="3516"/>
      <c r="R39" s="3545" t="e">
        <f>IF(F1="售价",ROUND(IF(D38="简单平均",AVERAGE(R38:W38),R38*F38+T38*H38+V38*J38),0),ROUND(IF(D38="简单平均",AVERAGE(R38:V38),R38*F38+T38*H38+V38*J38),1))</f>
        <v>#DIV/0!</v>
      </c>
      <c r="S39" s="3545"/>
      <c r="T39" s="3545"/>
      <c r="U39" s="3545"/>
      <c r="V39" s="3545"/>
      <c r="W39" s="3545"/>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501" t="s">
        <v>2226</v>
      </c>
      <c r="D4" s="3502"/>
      <c r="E4" s="3503" t="s">
        <v>2227</v>
      </c>
      <c r="F4" s="3504"/>
      <c r="G4" s="3501" t="s">
        <v>2228</v>
      </c>
      <c r="H4" s="3502"/>
      <c r="I4" s="3501" t="s">
        <v>2229</v>
      </c>
      <c r="J4" s="3502"/>
      <c r="K4" s="567" t="s">
        <v>2230</v>
      </c>
      <c r="L4" s="2893"/>
      <c r="M4" s="2894"/>
      <c r="N4" s="2894"/>
      <c r="O4" s="2894"/>
      <c r="P4" s="3505" t="s">
        <v>2231</v>
      </c>
      <c r="Q4" s="3506"/>
      <c r="R4" s="3488" t="s">
        <v>2227</v>
      </c>
      <c r="S4" s="3489"/>
      <c r="T4" s="3488" t="s">
        <v>2228</v>
      </c>
      <c r="U4" s="3489"/>
      <c r="V4" s="3513" t="s">
        <v>2229</v>
      </c>
      <c r="W4" s="3513"/>
      <c r="X4" s="1489"/>
      <c r="Y4" s="3488" t="s">
        <v>2231</v>
      </c>
      <c r="Z4" s="3489"/>
      <c r="AA4" s="3483" t="s">
        <v>2227</v>
      </c>
      <c r="AB4" s="3484" t="s">
        <v>2228</v>
      </c>
      <c r="AC4" s="3483" t="s">
        <v>2229</v>
      </c>
    </row>
    <row r="5" spans="1:29" ht="15">
      <c r="A5" s="364"/>
      <c r="B5" s="365"/>
      <c r="C5" s="3494" t="s">
        <v>2122</v>
      </c>
      <c r="D5" s="3495"/>
      <c r="E5" s="3492" t="s">
        <v>2123</v>
      </c>
      <c r="F5" s="3493"/>
      <c r="G5" s="3494" t="s">
        <v>2124</v>
      </c>
      <c r="H5" s="3495"/>
      <c r="I5" s="3494" t="s">
        <v>2125</v>
      </c>
      <c r="J5" s="3495"/>
      <c r="K5" s="567"/>
      <c r="L5" s="2893"/>
      <c r="M5" s="2894"/>
      <c r="N5" s="2894"/>
      <c r="O5" s="2894"/>
      <c r="P5" s="3507"/>
      <c r="Q5" s="3508"/>
      <c r="R5" s="3490"/>
      <c r="S5" s="3491"/>
      <c r="T5" s="3490"/>
      <c r="U5" s="3491"/>
      <c r="V5" s="3513"/>
      <c r="W5" s="3513"/>
      <c r="X5" s="1489"/>
      <c r="Y5" s="3490"/>
      <c r="Z5" s="3491"/>
      <c r="AA5" s="3484"/>
      <c r="AB5" s="3484"/>
      <c r="AC5" s="3484"/>
    </row>
    <row r="6" spans="1:29" ht="15.75" thickBot="1">
      <c r="A6" s="366"/>
      <c r="B6" s="367"/>
      <c r="C6" s="3496" t="s">
        <v>2126</v>
      </c>
      <c r="D6" s="3497"/>
      <c r="E6" s="3498" t="s">
        <v>2126</v>
      </c>
      <c r="F6" s="3499"/>
      <c r="G6" s="3496" t="s">
        <v>2126</v>
      </c>
      <c r="H6" s="3497"/>
      <c r="I6" s="3496" t="s">
        <v>2126</v>
      </c>
      <c r="J6" s="3497"/>
      <c r="K6" s="567" t="s">
        <v>2127</v>
      </c>
      <c r="L6" s="2893"/>
      <c r="M6" s="2894"/>
      <c r="N6" s="2894"/>
      <c r="O6" s="2894"/>
      <c r="P6" s="3509"/>
      <c r="Q6" s="3510"/>
      <c r="R6" s="3490"/>
      <c r="S6" s="3491"/>
      <c r="T6" s="3511"/>
      <c r="U6" s="3512"/>
      <c r="V6" s="3513"/>
      <c r="W6" s="3513"/>
      <c r="X6" s="1489"/>
      <c r="Y6" s="3511"/>
      <c r="Z6" s="3512"/>
      <c r="AA6" s="3485"/>
      <c r="AB6" s="3485"/>
      <c r="AC6" s="3485"/>
    </row>
    <row r="7" spans="1:29" s="113" customFormat="1" ht="15.75" thickBot="1">
      <c r="A7" s="368" t="s">
        <v>2128</v>
      </c>
      <c r="B7" s="369"/>
      <c r="C7" s="370">
        <f>'数据-取费表'!B2</f>
        <v>44873</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86" t="s">
        <v>2129</v>
      </c>
      <c r="Q7" s="3514"/>
      <c r="R7" s="709" t="s">
        <v>17</v>
      </c>
      <c r="S7" s="710">
        <f t="shared" ref="S7:S14" si="0">F7</f>
        <v>0</v>
      </c>
      <c r="T7" s="709" t="s">
        <v>17</v>
      </c>
      <c r="U7" s="710">
        <f t="shared" ref="U7:U14" si="1">H7</f>
        <v>0</v>
      </c>
      <c r="V7" s="709" t="s">
        <v>17</v>
      </c>
      <c r="W7" s="710">
        <f t="shared" ref="W7:W14" si="2">J7</f>
        <v>0</v>
      </c>
      <c r="X7" s="711"/>
      <c r="Y7" s="3486" t="s">
        <v>2129</v>
      </c>
      <c r="Z7" s="3487"/>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6" t="s">
        <v>2132</v>
      </c>
      <c r="Q8" s="3487"/>
      <c r="R8" s="709" t="s">
        <v>17</v>
      </c>
      <c r="S8" s="710">
        <f t="shared" si="0"/>
        <v>0</v>
      </c>
      <c r="T8" s="709" t="s">
        <v>17</v>
      </c>
      <c r="U8" s="710">
        <f t="shared" si="1"/>
        <v>0</v>
      </c>
      <c r="V8" s="709" t="s">
        <v>17</v>
      </c>
      <c r="W8" s="710">
        <f t="shared" si="2"/>
        <v>0</v>
      </c>
      <c r="X8" s="711"/>
      <c r="Y8" s="3486" t="s">
        <v>2132</v>
      </c>
      <c r="Z8" s="3487"/>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8" t="s">
        <v>2135</v>
      </c>
      <c r="Q9" s="1477" t="str">
        <f t="shared" ref="Q9:Q14" si="6">B9</f>
        <v>用途</v>
      </c>
      <c r="R9" s="709" t="s">
        <v>17</v>
      </c>
      <c r="S9" s="710">
        <f t="shared" si="0"/>
        <v>100</v>
      </c>
      <c r="T9" s="709" t="s">
        <v>17</v>
      </c>
      <c r="U9" s="710">
        <f t="shared" si="1"/>
        <v>100</v>
      </c>
      <c r="V9" s="709" t="s">
        <v>17</v>
      </c>
      <c r="W9" s="710">
        <f t="shared" si="2"/>
        <v>100</v>
      </c>
      <c r="X9" s="711"/>
      <c r="Y9" s="3430"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8"/>
      <c r="Q10" s="1477" t="str">
        <f t="shared" si="6"/>
        <v>土地使用年限（年）</v>
      </c>
      <c r="R10" s="709" t="s">
        <v>17</v>
      </c>
      <c r="S10" s="710">
        <f t="shared" si="0"/>
        <v>100</v>
      </c>
      <c r="T10" s="709" t="s">
        <v>17</v>
      </c>
      <c r="U10" s="710">
        <f t="shared" si="1"/>
        <v>100</v>
      </c>
      <c r="V10" s="709" t="s">
        <v>17</v>
      </c>
      <c r="W10" s="710">
        <f t="shared" si="2"/>
        <v>100</v>
      </c>
      <c r="X10" s="711"/>
      <c r="Y10" s="3430"/>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8"/>
      <c r="Q11" s="1477">
        <f t="shared" si="6"/>
        <v>111</v>
      </c>
      <c r="R11" s="709" t="s">
        <v>17</v>
      </c>
      <c r="S11" s="710">
        <f t="shared" si="0"/>
        <v>100</v>
      </c>
      <c r="T11" s="709" t="s">
        <v>17</v>
      </c>
      <c r="U11" s="710">
        <f t="shared" si="1"/>
        <v>100</v>
      </c>
      <c r="V11" s="709" t="s">
        <v>17</v>
      </c>
      <c r="W11" s="710">
        <f t="shared" si="2"/>
        <v>100</v>
      </c>
      <c r="X11" s="711"/>
      <c r="Y11" s="3430"/>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8"/>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18"/>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20" t="s">
        <v>2140</v>
      </c>
      <c r="Q14" s="1486" t="str">
        <f t="shared" si="6"/>
        <v>交通便捷度</v>
      </c>
      <c r="R14" s="713" t="s">
        <v>17</v>
      </c>
      <c r="S14" s="714">
        <f t="shared" si="0"/>
        <v>100</v>
      </c>
      <c r="T14" s="713" t="s">
        <v>17</v>
      </c>
      <c r="U14" s="714">
        <f t="shared" si="1"/>
        <v>100</v>
      </c>
      <c r="V14" s="713" t="s">
        <v>17</v>
      </c>
      <c r="W14" s="714">
        <f t="shared" si="2"/>
        <v>100</v>
      </c>
      <c r="X14" s="1489"/>
      <c r="Y14" s="3520"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21"/>
      <c r="Q15" s="1486"/>
      <c r="R15" s="713"/>
      <c r="S15" s="714"/>
      <c r="T15" s="713"/>
      <c r="U15" s="714"/>
      <c r="V15" s="713"/>
      <c r="W15" s="714"/>
      <c r="X15" s="1489"/>
      <c r="Y15" s="3521"/>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21"/>
      <c r="Q16" s="1486" t="str">
        <f>B16</f>
        <v>公共配套设施</v>
      </c>
      <c r="R16" s="713" t="s">
        <v>17</v>
      </c>
      <c r="S16" s="714">
        <f>F16</f>
        <v>100</v>
      </c>
      <c r="T16" s="713" t="s">
        <v>17</v>
      </c>
      <c r="U16" s="714">
        <f>H16</f>
        <v>100</v>
      </c>
      <c r="V16" s="713" t="s">
        <v>17</v>
      </c>
      <c r="W16" s="714">
        <f>J16</f>
        <v>100</v>
      </c>
      <c r="X16" s="1489"/>
      <c r="Y16" s="3521"/>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21"/>
      <c r="Q17" s="1486"/>
      <c r="R17" s="713"/>
      <c r="S17" s="714"/>
      <c r="T17" s="713"/>
      <c r="U17" s="714"/>
      <c r="V17" s="713"/>
      <c r="W17" s="714"/>
      <c r="X17" s="1489"/>
      <c r="Y17" s="3521"/>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21"/>
      <c r="Q18" s="1486" t="str">
        <f>B18</f>
        <v>基础设施水平</v>
      </c>
      <c r="R18" s="713" t="s">
        <v>17</v>
      </c>
      <c r="S18" s="714">
        <f>F18</f>
        <v>100</v>
      </c>
      <c r="T18" s="713" t="s">
        <v>17</v>
      </c>
      <c r="U18" s="714">
        <f>H18</f>
        <v>100</v>
      </c>
      <c r="V18" s="713" t="s">
        <v>17</v>
      </c>
      <c r="W18" s="714">
        <f>J18</f>
        <v>100</v>
      </c>
      <c r="X18" s="1489"/>
      <c r="Y18" s="3521"/>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21"/>
      <c r="Q19" s="1486"/>
      <c r="R19" s="713"/>
      <c r="S19" s="714"/>
      <c r="T19" s="713"/>
      <c r="U19" s="714"/>
      <c r="V19" s="713"/>
      <c r="W19" s="714"/>
      <c r="X19" s="1489"/>
      <c r="Y19" s="3521"/>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21"/>
      <c r="Q20" s="1486" t="str">
        <f>B20</f>
        <v>自然及人文环境</v>
      </c>
      <c r="R20" s="713" t="s">
        <v>17</v>
      </c>
      <c r="S20" s="714">
        <f>F20</f>
        <v>100</v>
      </c>
      <c r="T20" s="713" t="s">
        <v>17</v>
      </c>
      <c r="U20" s="714">
        <f>H20</f>
        <v>100</v>
      </c>
      <c r="V20" s="713" t="s">
        <v>17</v>
      </c>
      <c r="W20" s="714">
        <f>J20</f>
        <v>100</v>
      </c>
      <c r="X20" s="1489"/>
      <c r="Y20" s="3521"/>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21"/>
      <c r="Q21" s="1486"/>
      <c r="R21" s="713"/>
      <c r="S21" s="714"/>
      <c r="T21" s="713"/>
      <c r="U21" s="714"/>
      <c r="V21" s="713"/>
      <c r="W21" s="714"/>
      <c r="X21" s="1489"/>
      <c r="Y21" s="3521"/>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21"/>
      <c r="Q22" s="1486" t="str">
        <f>B22</f>
        <v>楼层</v>
      </c>
      <c r="R22" s="713" t="s">
        <v>17</v>
      </c>
      <c r="S22" s="714">
        <f>F22</f>
        <v>100</v>
      </c>
      <c r="T22" s="713" t="s">
        <v>17</v>
      </c>
      <c r="U22" s="714">
        <f>H22</f>
        <v>100</v>
      </c>
      <c r="V22" s="713" t="s">
        <v>17</v>
      </c>
      <c r="W22" s="714">
        <f>J22</f>
        <v>100</v>
      </c>
      <c r="X22" s="1489"/>
      <c r="Y22" s="3521"/>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21"/>
      <c r="Q23" s="1486">
        <f>B23</f>
        <v>111</v>
      </c>
      <c r="R23" s="713" t="s">
        <v>17</v>
      </c>
      <c r="S23" s="714">
        <f>F23</f>
        <v>100</v>
      </c>
      <c r="T23" s="713" t="s">
        <v>17</v>
      </c>
      <c r="U23" s="714">
        <f>H23</f>
        <v>100</v>
      </c>
      <c r="V23" s="713" t="s">
        <v>17</v>
      </c>
      <c r="W23" s="714">
        <f>J23</f>
        <v>100</v>
      </c>
      <c r="X23" s="1489"/>
      <c r="Y23" s="3521"/>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21"/>
      <c r="Q24" s="1486">
        <f t="shared" ref="Q24:Q34" si="11">B24</f>
        <v>111</v>
      </c>
      <c r="R24" s="713" t="s">
        <v>17</v>
      </c>
      <c r="S24" s="714">
        <f>F24</f>
        <v>100</v>
      </c>
      <c r="T24" s="713" t="s">
        <v>17</v>
      </c>
      <c r="U24" s="714">
        <f>H24</f>
        <v>100</v>
      </c>
      <c r="V24" s="713" t="s">
        <v>17</v>
      </c>
      <c r="W24" s="714">
        <f>J24</f>
        <v>100</v>
      </c>
      <c r="X24" s="1489"/>
      <c r="Y24" s="3521"/>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21"/>
      <c r="Q25" s="1477">
        <f t="shared" si="11"/>
        <v>111</v>
      </c>
      <c r="R25" s="709" t="s">
        <v>17</v>
      </c>
      <c r="S25" s="710">
        <f>F25</f>
        <v>100</v>
      </c>
      <c r="T25" s="709" t="s">
        <v>17</v>
      </c>
      <c r="U25" s="710">
        <f>H25</f>
        <v>100</v>
      </c>
      <c r="V25" s="709" t="s">
        <v>17</v>
      </c>
      <c r="W25" s="710">
        <f>J25</f>
        <v>100</v>
      </c>
      <c r="X25" s="711"/>
      <c r="Y25" s="3521"/>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4"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25"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25"/>
      <c r="Q27" s="715" t="str">
        <f t="shared" si="11"/>
        <v>成新率</v>
      </c>
      <c r="R27" s="716" t="s">
        <v>17</v>
      </c>
      <c r="S27" s="717" t="e">
        <f t="shared" si="12"/>
        <v>#N/A</v>
      </c>
      <c r="T27" s="716" t="s">
        <v>17</v>
      </c>
      <c r="U27" s="717" t="e">
        <f t="shared" si="13"/>
        <v>#N/A</v>
      </c>
      <c r="V27" s="716" t="s">
        <v>17</v>
      </c>
      <c r="W27" s="717" t="e">
        <f t="shared" si="14"/>
        <v>#N/A</v>
      </c>
      <c r="X27" s="718"/>
      <c r="Y27" s="3525"/>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25"/>
      <c r="Q28" s="1486" t="str">
        <f t="shared" si="11"/>
        <v>物业等级</v>
      </c>
      <c r="R28" s="713" t="s">
        <v>17</v>
      </c>
      <c r="S28" s="714">
        <f t="shared" si="12"/>
        <v>100</v>
      </c>
      <c r="T28" s="713" t="s">
        <v>17</v>
      </c>
      <c r="U28" s="714">
        <f t="shared" si="13"/>
        <v>100</v>
      </c>
      <c r="V28" s="713" t="s">
        <v>17</v>
      </c>
      <c r="W28" s="714">
        <f t="shared" si="14"/>
        <v>100</v>
      </c>
      <c r="X28" s="1489"/>
      <c r="Y28" s="3525"/>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25"/>
      <c r="Q29" s="1486" t="str">
        <f t="shared" si="11"/>
        <v>有无电梯</v>
      </c>
      <c r="R29" s="713" t="s">
        <v>17</v>
      </c>
      <c r="S29" s="714">
        <f t="shared" si="12"/>
        <v>100</v>
      </c>
      <c r="T29" s="713" t="s">
        <v>17</v>
      </c>
      <c r="U29" s="714">
        <f t="shared" si="13"/>
        <v>100</v>
      </c>
      <c r="V29" s="713" t="s">
        <v>17</v>
      </c>
      <c r="W29" s="714">
        <f t="shared" si="14"/>
        <v>100</v>
      </c>
      <c r="X29" s="1489"/>
      <c r="Y29" s="3525"/>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25"/>
      <c r="Q30" s="1486" t="str">
        <f t="shared" si="11"/>
        <v>建筑面积</v>
      </c>
      <c r="R30" s="713" t="s">
        <v>17</v>
      </c>
      <c r="S30" s="714" t="e">
        <f t="shared" si="12"/>
        <v>#N/A</v>
      </c>
      <c r="T30" s="713" t="s">
        <v>17</v>
      </c>
      <c r="U30" s="714" t="e">
        <f t="shared" si="13"/>
        <v>#N/A</v>
      </c>
      <c r="V30" s="713" t="s">
        <v>17</v>
      </c>
      <c r="W30" s="714" t="e">
        <f t="shared" si="14"/>
        <v>#N/A</v>
      </c>
      <c r="X30" s="1489"/>
      <c r="Y30" s="3525"/>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25"/>
      <c r="Q31" s="1477" t="str">
        <f t="shared" si="11"/>
        <v>是否封闭</v>
      </c>
      <c r="R31" s="709" t="s">
        <v>17</v>
      </c>
      <c r="S31" s="710">
        <f t="shared" si="12"/>
        <v>100</v>
      </c>
      <c r="T31" s="709" t="s">
        <v>17</v>
      </c>
      <c r="U31" s="710">
        <f t="shared" si="13"/>
        <v>100</v>
      </c>
      <c r="V31" s="709" t="s">
        <v>17</v>
      </c>
      <c r="W31" s="710">
        <f t="shared" si="14"/>
        <v>100</v>
      </c>
      <c r="X31" s="711"/>
      <c r="Y31" s="3525"/>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25" t="s">
        <v>2145</v>
      </c>
      <c r="Q32" s="1486">
        <f t="shared" si="11"/>
        <v>111</v>
      </c>
      <c r="R32" s="713" t="s">
        <v>17</v>
      </c>
      <c r="S32" s="714">
        <f t="shared" si="12"/>
        <v>100</v>
      </c>
      <c r="T32" s="713" t="s">
        <v>17</v>
      </c>
      <c r="U32" s="714">
        <f t="shared" si="13"/>
        <v>100</v>
      </c>
      <c r="V32" s="713" t="s">
        <v>17</v>
      </c>
      <c r="W32" s="714">
        <f t="shared" si="14"/>
        <v>100</v>
      </c>
      <c r="X32" s="1489"/>
      <c r="Y32" s="3525"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25"/>
      <c r="Q33" s="1486">
        <f t="shared" si="11"/>
        <v>111</v>
      </c>
      <c r="R33" s="713" t="s">
        <v>17</v>
      </c>
      <c r="S33" s="714">
        <f t="shared" si="12"/>
        <v>100</v>
      </c>
      <c r="T33" s="713" t="s">
        <v>17</v>
      </c>
      <c r="U33" s="714">
        <f t="shared" si="13"/>
        <v>100</v>
      </c>
      <c r="V33" s="713" t="s">
        <v>17</v>
      </c>
      <c r="W33" s="714">
        <f t="shared" si="14"/>
        <v>100</v>
      </c>
      <c r="X33" s="1489"/>
      <c r="Y33" s="3525"/>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25"/>
      <c r="Q34" s="1486">
        <f t="shared" si="11"/>
        <v>111</v>
      </c>
      <c r="R34" s="713" t="s">
        <v>17</v>
      </c>
      <c r="S34" s="714">
        <f t="shared" si="12"/>
        <v>100</v>
      </c>
      <c r="T34" s="713" t="s">
        <v>17</v>
      </c>
      <c r="U34" s="714">
        <f t="shared" si="13"/>
        <v>100</v>
      </c>
      <c r="V34" s="713" t="s">
        <v>17</v>
      </c>
      <c r="W34" s="714">
        <f t="shared" si="14"/>
        <v>100</v>
      </c>
      <c r="X34" s="1489"/>
      <c r="Y34" s="3525"/>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18" t="str">
        <f>A35</f>
        <v>成交单价（元/平方米）</v>
      </c>
      <c r="Q35" s="3518"/>
      <c r="R35" s="3519">
        <f>E35</f>
        <v>0</v>
      </c>
      <c r="S35" s="3519"/>
      <c r="T35" s="3519">
        <f>G35</f>
        <v>0</v>
      </c>
      <c r="U35" s="3519"/>
      <c r="V35" s="3519">
        <f>I35</f>
        <v>0</v>
      </c>
      <c r="W35" s="3519"/>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18" t="str">
        <f>A36</f>
        <v>比较价值（元/平方米）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515" t="str">
        <f>A37</f>
        <v>估价对象XX用房的比较价值（楼面单价，元/平方米）</v>
      </c>
      <c r="Q37" s="3516"/>
      <c r="R37" s="3545" t="e">
        <f>IF(F1="售价",ROUND(IF(D36="简单平均",AVERAGE(R36:W36),R36*F36+T36*H36+V36*J36),0),ROUND(IF(D36="简单平均",AVERAGE(R36:V36),R36*F36+T36*H36+V36*J36),1))</f>
        <v>#DIV/0!</v>
      </c>
      <c r="S37" s="3545"/>
      <c r="T37" s="3545"/>
      <c r="U37" s="3545"/>
      <c r="V37" s="3545"/>
      <c r="W37" s="3545"/>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501" t="s">
        <v>2226</v>
      </c>
      <c r="D4" s="3502"/>
      <c r="E4" s="3503" t="s">
        <v>2227</v>
      </c>
      <c r="F4" s="3504"/>
      <c r="G4" s="3501" t="s">
        <v>2228</v>
      </c>
      <c r="H4" s="3502"/>
      <c r="I4" s="3501" t="s">
        <v>2229</v>
      </c>
      <c r="J4" s="3502"/>
      <c r="K4" s="567" t="s">
        <v>2230</v>
      </c>
      <c r="L4" s="2893"/>
      <c r="M4" s="2894"/>
      <c r="N4" s="2894"/>
      <c r="O4" s="2894"/>
      <c r="P4" s="3505" t="s">
        <v>2231</v>
      </c>
      <c r="Q4" s="3506"/>
      <c r="R4" s="3488" t="s">
        <v>2227</v>
      </c>
      <c r="S4" s="3489"/>
      <c r="T4" s="3488" t="s">
        <v>2228</v>
      </c>
      <c r="U4" s="3489"/>
      <c r="V4" s="3513" t="s">
        <v>2229</v>
      </c>
      <c r="W4" s="3513"/>
      <c r="X4" s="1489"/>
      <c r="Y4" s="3488" t="s">
        <v>2231</v>
      </c>
      <c r="Z4" s="3489"/>
      <c r="AA4" s="3483" t="s">
        <v>2227</v>
      </c>
      <c r="AB4" s="3484" t="s">
        <v>2228</v>
      </c>
      <c r="AC4" s="3483" t="s">
        <v>2229</v>
      </c>
    </row>
    <row r="5" spans="1:30" ht="15">
      <c r="A5" s="364"/>
      <c r="B5" s="365"/>
      <c r="C5" s="3494" t="s">
        <v>2122</v>
      </c>
      <c r="D5" s="3495"/>
      <c r="E5" s="3492" t="s">
        <v>2123</v>
      </c>
      <c r="F5" s="3493"/>
      <c r="G5" s="3494" t="s">
        <v>2124</v>
      </c>
      <c r="H5" s="3495"/>
      <c r="I5" s="3494" t="s">
        <v>2125</v>
      </c>
      <c r="J5" s="3495"/>
      <c r="K5" s="567"/>
      <c r="L5" s="2893"/>
      <c r="M5" s="2894"/>
      <c r="N5" s="2894"/>
      <c r="O5" s="2894"/>
      <c r="P5" s="3507"/>
      <c r="Q5" s="3508"/>
      <c r="R5" s="3490"/>
      <c r="S5" s="3491"/>
      <c r="T5" s="3490"/>
      <c r="U5" s="3491"/>
      <c r="V5" s="3513"/>
      <c r="W5" s="3513"/>
      <c r="X5" s="1489"/>
      <c r="Y5" s="3490"/>
      <c r="Z5" s="3491"/>
      <c r="AA5" s="3484"/>
      <c r="AB5" s="3484"/>
      <c r="AC5" s="3484"/>
    </row>
    <row r="6" spans="1:30" ht="15.75" thickBot="1">
      <c r="A6" s="366"/>
      <c r="B6" s="367"/>
      <c r="C6" s="3496" t="s">
        <v>2126</v>
      </c>
      <c r="D6" s="3497"/>
      <c r="E6" s="3498" t="s">
        <v>2126</v>
      </c>
      <c r="F6" s="3499"/>
      <c r="G6" s="3496" t="s">
        <v>2126</v>
      </c>
      <c r="H6" s="3497"/>
      <c r="I6" s="3496" t="s">
        <v>2126</v>
      </c>
      <c r="J6" s="3497"/>
      <c r="K6" s="567" t="s">
        <v>2127</v>
      </c>
      <c r="L6" s="2893"/>
      <c r="M6" s="2894"/>
      <c r="N6" s="2894"/>
      <c r="O6" s="2894"/>
      <c r="P6" s="3509"/>
      <c r="Q6" s="3510"/>
      <c r="R6" s="3490"/>
      <c r="S6" s="3491"/>
      <c r="T6" s="3511"/>
      <c r="U6" s="3512"/>
      <c r="V6" s="3513"/>
      <c r="W6" s="3513"/>
      <c r="X6" s="1489"/>
      <c r="Y6" s="3511"/>
      <c r="Z6" s="3512"/>
      <c r="AA6" s="3485"/>
      <c r="AB6" s="3485"/>
      <c r="AC6" s="3485"/>
    </row>
    <row r="7" spans="1:30" s="113" customFormat="1" ht="15.75" thickBot="1">
      <c r="A7" s="368" t="s">
        <v>2128</v>
      </c>
      <c r="B7" s="369"/>
      <c r="C7" s="370">
        <f>'数据-取费表'!B2</f>
        <v>44873</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86" t="s">
        <v>2129</v>
      </c>
      <c r="Q7" s="3514"/>
      <c r="R7" s="709" t="s">
        <v>17</v>
      </c>
      <c r="S7" s="710">
        <f t="shared" ref="S7:S15" si="0">F7</f>
        <v>0</v>
      </c>
      <c r="T7" s="709" t="s">
        <v>17</v>
      </c>
      <c r="U7" s="710">
        <f t="shared" ref="U7:U15" si="1">H7</f>
        <v>0</v>
      </c>
      <c r="V7" s="709" t="s">
        <v>17</v>
      </c>
      <c r="W7" s="710">
        <f t="shared" ref="W7:W15" si="2">J7</f>
        <v>0</v>
      </c>
      <c r="X7" s="711"/>
      <c r="Y7" s="3486" t="s">
        <v>2129</v>
      </c>
      <c r="Z7" s="3487"/>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86" t="s">
        <v>2132</v>
      </c>
      <c r="Q8" s="3487"/>
      <c r="R8" s="709" t="s">
        <v>17</v>
      </c>
      <c r="S8" s="710">
        <f t="shared" si="0"/>
        <v>0</v>
      </c>
      <c r="T8" s="709" t="s">
        <v>17</v>
      </c>
      <c r="U8" s="710">
        <f t="shared" si="1"/>
        <v>0</v>
      </c>
      <c r="V8" s="709" t="s">
        <v>17</v>
      </c>
      <c r="W8" s="710">
        <f t="shared" si="2"/>
        <v>0</v>
      </c>
      <c r="X8" s="711"/>
      <c r="Y8" s="3486" t="s">
        <v>2132</v>
      </c>
      <c r="Z8" s="3487"/>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18"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118</v>
      </c>
      <c r="G10" s="422"/>
      <c r="H10" s="132">
        <f>ROUND(100/'数据-取费表'!G16,0)</f>
        <v>118</v>
      </c>
      <c r="I10" s="422"/>
      <c r="J10" s="132">
        <f>ROUND(100/'数据-取费表'!G16,0)</f>
        <v>118</v>
      </c>
      <c r="K10" s="628"/>
      <c r="L10" s="2897"/>
      <c r="M10" s="2898"/>
      <c r="N10" s="2898"/>
      <c r="O10" s="2951"/>
      <c r="P10" s="3518"/>
      <c r="Q10" s="1477" t="str">
        <f t="shared" si="6"/>
        <v>土地使用年限（年）</v>
      </c>
      <c r="R10" s="709" t="s">
        <v>17</v>
      </c>
      <c r="S10" s="710">
        <f t="shared" si="0"/>
        <v>118</v>
      </c>
      <c r="T10" s="709" t="s">
        <v>17</v>
      </c>
      <c r="U10" s="710">
        <f t="shared" si="1"/>
        <v>118</v>
      </c>
      <c r="V10" s="709" t="s">
        <v>17</v>
      </c>
      <c r="W10" s="710">
        <f t="shared" si="2"/>
        <v>118</v>
      </c>
      <c r="X10" s="711"/>
      <c r="Y10" s="3430"/>
      <c r="Z10" s="55" t="str">
        <f t="shared" si="7"/>
        <v>土地使用年限（年）</v>
      </c>
      <c r="AA10" s="712">
        <f t="shared" si="3"/>
        <v>0.84745762711864403</v>
      </c>
      <c r="AB10" s="712">
        <f t="shared" si="4"/>
        <v>0.84745762711864403</v>
      </c>
      <c r="AC10" s="712">
        <f t="shared" si="5"/>
        <v>0.84745762711864403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18"/>
      <c r="Q11" s="1477" t="str">
        <f t="shared" si="6"/>
        <v>容积率</v>
      </c>
      <c r="R11" s="709" t="s">
        <v>17</v>
      </c>
      <c r="S11" s="710" t="e">
        <f t="shared" si="0"/>
        <v>#N/A</v>
      </c>
      <c r="T11" s="709" t="s">
        <v>17</v>
      </c>
      <c r="U11" s="710" t="e">
        <f t="shared" si="1"/>
        <v>#N/A</v>
      </c>
      <c r="V11" s="709" t="s">
        <v>17</v>
      </c>
      <c r="W11" s="710" t="e">
        <f t="shared" si="2"/>
        <v>#N/A</v>
      </c>
      <c r="X11" s="711"/>
      <c r="Y11" s="3430"/>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18"/>
      <c r="Q12" s="1477" t="str">
        <f t="shared" si="6"/>
        <v>配建</v>
      </c>
      <c r="R12" s="709" t="s">
        <v>17</v>
      </c>
      <c r="S12" s="710">
        <f t="shared" si="0"/>
        <v>100</v>
      </c>
      <c r="T12" s="709" t="s">
        <v>17</v>
      </c>
      <c r="U12" s="710">
        <f t="shared" si="1"/>
        <v>100</v>
      </c>
      <c r="V12" s="709" t="s">
        <v>17</v>
      </c>
      <c r="W12" s="710">
        <f t="shared" si="2"/>
        <v>100</v>
      </c>
      <c r="X12" s="711"/>
      <c r="Y12" s="3430"/>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8"/>
      <c r="Q13" s="1477">
        <f t="shared" si="6"/>
        <v>111</v>
      </c>
      <c r="R13" s="709" t="s">
        <v>17</v>
      </c>
      <c r="S13" s="710">
        <f t="shared" si="0"/>
        <v>100</v>
      </c>
      <c r="T13" s="709" t="s">
        <v>17</v>
      </c>
      <c r="U13" s="710">
        <f t="shared" si="1"/>
        <v>100</v>
      </c>
      <c r="V13" s="709" t="s">
        <v>17</v>
      </c>
      <c r="W13" s="710">
        <f t="shared" si="2"/>
        <v>100</v>
      </c>
      <c r="X13" s="711"/>
      <c r="Y13" s="3430"/>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8"/>
      <c r="Q14" s="1477">
        <f t="shared" si="6"/>
        <v>111</v>
      </c>
      <c r="R14" s="709" t="s">
        <v>17</v>
      </c>
      <c r="S14" s="710">
        <f t="shared" si="0"/>
        <v>100</v>
      </c>
      <c r="T14" s="709" t="s">
        <v>17</v>
      </c>
      <c r="U14" s="710">
        <f t="shared" si="1"/>
        <v>100</v>
      </c>
      <c r="V14" s="709" t="s">
        <v>17</v>
      </c>
      <c r="W14" s="710">
        <f t="shared" si="2"/>
        <v>100</v>
      </c>
      <c r="X14" s="711"/>
      <c r="Y14" s="3430"/>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20" t="s">
        <v>2140</v>
      </c>
      <c r="Q15" s="1486" t="str">
        <f t="shared" si="6"/>
        <v>居住社区成熟度</v>
      </c>
      <c r="R15" s="713" t="s">
        <v>17</v>
      </c>
      <c r="S15" s="714">
        <f t="shared" si="0"/>
        <v>100</v>
      </c>
      <c r="T15" s="713" t="s">
        <v>17</v>
      </c>
      <c r="U15" s="714">
        <f t="shared" si="1"/>
        <v>100</v>
      </c>
      <c r="V15" s="713" t="s">
        <v>17</v>
      </c>
      <c r="W15" s="714">
        <f t="shared" si="2"/>
        <v>100</v>
      </c>
      <c r="X15" s="1489"/>
      <c r="Y15" s="3520"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21"/>
      <c r="Q16" s="1486"/>
      <c r="R16" s="713"/>
      <c r="S16" s="714"/>
      <c r="T16" s="713"/>
      <c r="U16" s="714"/>
      <c r="V16" s="713"/>
      <c r="W16" s="714"/>
      <c r="X16" s="1489"/>
      <c r="Y16" s="3521"/>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21"/>
      <c r="Q17" s="1486" t="str">
        <f>B17</f>
        <v>商业繁华度</v>
      </c>
      <c r="R17" s="713" t="s">
        <v>17</v>
      </c>
      <c r="S17" s="714">
        <f>F17</f>
        <v>100</v>
      </c>
      <c r="T17" s="713" t="s">
        <v>17</v>
      </c>
      <c r="U17" s="714">
        <f>H17</f>
        <v>100</v>
      </c>
      <c r="V17" s="713" t="s">
        <v>17</v>
      </c>
      <c r="W17" s="714">
        <f>J17</f>
        <v>100</v>
      </c>
      <c r="X17" s="1489"/>
      <c r="Y17" s="3521"/>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21"/>
      <c r="Q18" s="1486"/>
      <c r="R18" s="713"/>
      <c r="S18" s="714"/>
      <c r="T18" s="713"/>
      <c r="U18" s="714"/>
      <c r="V18" s="713"/>
      <c r="W18" s="714"/>
      <c r="X18" s="1489"/>
      <c r="Y18" s="3521"/>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21"/>
      <c r="Q19" s="1486" t="str">
        <f>B19</f>
        <v>办公集聚程度</v>
      </c>
      <c r="R19" s="713" t="s">
        <v>17</v>
      </c>
      <c r="S19" s="714">
        <f>F19</f>
        <v>100</v>
      </c>
      <c r="T19" s="713" t="s">
        <v>17</v>
      </c>
      <c r="U19" s="714">
        <f>H19</f>
        <v>100</v>
      </c>
      <c r="V19" s="713" t="s">
        <v>17</v>
      </c>
      <c r="W19" s="714">
        <f>J19</f>
        <v>100</v>
      </c>
      <c r="X19" s="1489"/>
      <c r="Y19" s="3521"/>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21"/>
      <c r="Q20" s="1486"/>
      <c r="R20" s="713"/>
      <c r="S20" s="714"/>
      <c r="T20" s="713"/>
      <c r="U20" s="714"/>
      <c r="V20" s="713"/>
      <c r="W20" s="714"/>
      <c r="X20" s="1489"/>
      <c r="Y20" s="3521"/>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21"/>
      <c r="Q21" s="1486" t="str">
        <f>B21</f>
        <v>交通便捷度</v>
      </c>
      <c r="R21" s="713" t="s">
        <v>17</v>
      </c>
      <c r="S21" s="714">
        <f>F21</f>
        <v>100</v>
      </c>
      <c r="T21" s="713" t="s">
        <v>17</v>
      </c>
      <c r="U21" s="714">
        <f>H21</f>
        <v>100</v>
      </c>
      <c r="V21" s="713" t="s">
        <v>17</v>
      </c>
      <c r="W21" s="714">
        <f>J21</f>
        <v>100</v>
      </c>
      <c r="X21" s="1489"/>
      <c r="Y21" s="3521"/>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21"/>
      <c r="Q22" s="1486"/>
      <c r="R22" s="713"/>
      <c r="S22" s="714"/>
      <c r="T22" s="713"/>
      <c r="U22" s="714"/>
      <c r="V22" s="713"/>
      <c r="W22" s="714"/>
      <c r="X22" s="1489"/>
      <c r="Y22" s="3521"/>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21"/>
      <c r="Q23" s="1486" t="str">
        <f t="shared" ref="Q23:Q37" si="8">B23</f>
        <v>区域土地利用方向</v>
      </c>
      <c r="R23" s="713" t="s">
        <v>17</v>
      </c>
      <c r="S23" s="714">
        <f>F23</f>
        <v>100</v>
      </c>
      <c r="T23" s="713" t="s">
        <v>17</v>
      </c>
      <c r="U23" s="714">
        <f>H23</f>
        <v>100</v>
      </c>
      <c r="V23" s="713" t="s">
        <v>17</v>
      </c>
      <c r="W23" s="714">
        <f>J23</f>
        <v>100</v>
      </c>
      <c r="X23" s="1489"/>
      <c r="Y23" s="3521"/>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21"/>
      <c r="Q24" s="1486"/>
      <c r="R24" s="713"/>
      <c r="S24" s="714"/>
      <c r="T24" s="713"/>
      <c r="U24" s="714"/>
      <c r="V24" s="713"/>
      <c r="W24" s="714"/>
      <c r="X24" s="1489"/>
      <c r="Y24" s="3521"/>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21"/>
      <c r="Q25" s="1486" t="str">
        <f t="shared" si="8"/>
        <v>自然及人文环境状况</v>
      </c>
      <c r="R25" s="713" t="s">
        <v>17</v>
      </c>
      <c r="S25" s="714">
        <f>F25</f>
        <v>100</v>
      </c>
      <c r="T25" s="713" t="s">
        <v>17</v>
      </c>
      <c r="U25" s="714">
        <f>H25</f>
        <v>100</v>
      </c>
      <c r="V25" s="713" t="s">
        <v>17</v>
      </c>
      <c r="W25" s="714">
        <f>J25</f>
        <v>100</v>
      </c>
      <c r="X25" s="1489"/>
      <c r="Y25" s="3521"/>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21"/>
      <c r="Q26" s="1486"/>
      <c r="R26" s="713"/>
      <c r="S26" s="714"/>
      <c r="T26" s="713"/>
      <c r="U26" s="714"/>
      <c r="V26" s="713"/>
      <c r="W26" s="714"/>
      <c r="X26" s="1489"/>
      <c r="Y26" s="3521"/>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21"/>
      <c r="Q27" s="1477" t="str">
        <f t="shared" si="8"/>
        <v>公共配套设施</v>
      </c>
      <c r="R27" s="709" t="s">
        <v>17</v>
      </c>
      <c r="S27" s="710">
        <f>F27</f>
        <v>100</v>
      </c>
      <c r="T27" s="709" t="s">
        <v>17</v>
      </c>
      <c r="U27" s="710">
        <f>H27</f>
        <v>100</v>
      </c>
      <c r="V27" s="709" t="s">
        <v>17</v>
      </c>
      <c r="W27" s="710">
        <f>J27</f>
        <v>100</v>
      </c>
      <c r="X27" s="711"/>
      <c r="Y27" s="3521"/>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21"/>
      <c r="Q28" s="1477"/>
      <c r="R28" s="709"/>
      <c r="S28" s="710"/>
      <c r="T28" s="709"/>
      <c r="U28" s="710"/>
      <c r="V28" s="709"/>
      <c r="W28" s="710"/>
      <c r="X28" s="711"/>
      <c r="Y28" s="3521"/>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21"/>
      <c r="Q29" s="1477" t="str">
        <f t="shared" ref="Q29" si="9">B29</f>
        <v>基础设施水平</v>
      </c>
      <c r="R29" s="709" t="s">
        <v>17</v>
      </c>
      <c r="S29" s="710">
        <f>F29</f>
        <v>100</v>
      </c>
      <c r="T29" s="709" t="s">
        <v>17</v>
      </c>
      <c r="U29" s="710">
        <f>H29</f>
        <v>100</v>
      </c>
      <c r="V29" s="709" t="s">
        <v>17</v>
      </c>
      <c r="W29" s="710">
        <f>J29</f>
        <v>100</v>
      </c>
      <c r="X29" s="711"/>
      <c r="Y29" s="3521"/>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21"/>
      <c r="Q30" s="1477"/>
      <c r="R30" s="709"/>
      <c r="S30" s="710"/>
      <c r="T30" s="709"/>
      <c r="U30" s="710"/>
      <c r="V30" s="709"/>
      <c r="W30" s="710"/>
      <c r="X30" s="711"/>
      <c r="Y30" s="3521"/>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21"/>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21"/>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21"/>
      <c r="Q32" s="1486" t="str">
        <f t="shared" si="8"/>
        <v>毗邻道路的类型与等级</v>
      </c>
      <c r="R32" s="713" t="s">
        <v>17</v>
      </c>
      <c r="S32" s="714">
        <f t="shared" si="10"/>
        <v>100</v>
      </c>
      <c r="T32" s="713" t="s">
        <v>17</v>
      </c>
      <c r="U32" s="714">
        <f t="shared" si="11"/>
        <v>100</v>
      </c>
      <c r="V32" s="713" t="s">
        <v>17</v>
      </c>
      <c r="W32" s="714">
        <f t="shared" si="12"/>
        <v>100</v>
      </c>
      <c r="X32" s="1489"/>
      <c r="Y32" s="3521"/>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21"/>
      <c r="Q33" s="1486"/>
      <c r="R33" s="713"/>
      <c r="S33" s="714"/>
      <c r="T33" s="713"/>
      <c r="U33" s="714"/>
      <c r="V33" s="713"/>
      <c r="W33" s="714"/>
      <c r="X33" s="1489"/>
      <c r="Y33" s="3521"/>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21"/>
      <c r="Q34" s="1486" t="str">
        <f t="shared" si="8"/>
        <v>土地级别</v>
      </c>
      <c r="R34" s="713" t="s">
        <v>17</v>
      </c>
      <c r="S34" s="714">
        <f t="shared" si="10"/>
        <v>100</v>
      </c>
      <c r="T34" s="713" t="s">
        <v>17</v>
      </c>
      <c r="U34" s="714">
        <f t="shared" si="11"/>
        <v>100</v>
      </c>
      <c r="V34" s="713" t="s">
        <v>17</v>
      </c>
      <c r="W34" s="714">
        <f t="shared" si="12"/>
        <v>100</v>
      </c>
      <c r="X34" s="1489"/>
      <c r="Y34" s="3521"/>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21"/>
      <c r="Q35" s="1486">
        <f t="shared" si="8"/>
        <v>111</v>
      </c>
      <c r="R35" s="713" t="s">
        <v>17</v>
      </c>
      <c r="S35" s="714">
        <f t="shared" si="10"/>
        <v>100</v>
      </c>
      <c r="T35" s="713" t="s">
        <v>17</v>
      </c>
      <c r="U35" s="714">
        <f t="shared" si="11"/>
        <v>100</v>
      </c>
      <c r="V35" s="713" t="s">
        <v>17</v>
      </c>
      <c r="W35" s="714">
        <f t="shared" si="12"/>
        <v>100</v>
      </c>
      <c r="X35" s="1489"/>
      <c r="Y35" s="3521"/>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4" t="s">
        <v>2145</v>
      </c>
      <c r="Q36" s="1486">
        <f t="shared" si="8"/>
        <v>111</v>
      </c>
      <c r="R36" s="713" t="s">
        <v>17</v>
      </c>
      <c r="S36" s="714">
        <f t="shared" si="10"/>
        <v>100</v>
      </c>
      <c r="T36" s="713" t="s">
        <v>17</v>
      </c>
      <c r="U36" s="714">
        <f t="shared" si="11"/>
        <v>100</v>
      </c>
      <c r="V36" s="713" t="s">
        <v>17</v>
      </c>
      <c r="W36" s="714">
        <f t="shared" si="12"/>
        <v>100</v>
      </c>
      <c r="X36" s="1489"/>
      <c r="Y36" s="3525"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25"/>
      <c r="Q37" s="1486">
        <f t="shared" si="8"/>
        <v>111</v>
      </c>
      <c r="R37" s="716" t="s">
        <v>17</v>
      </c>
      <c r="S37" s="717">
        <f t="shared" si="10"/>
        <v>100</v>
      </c>
      <c r="T37" s="716" t="s">
        <v>17</v>
      </c>
      <c r="U37" s="717">
        <f t="shared" si="11"/>
        <v>100</v>
      </c>
      <c r="V37" s="716" t="s">
        <v>17</v>
      </c>
      <c r="W37" s="717">
        <f t="shared" si="12"/>
        <v>100</v>
      </c>
      <c r="X37" s="718"/>
      <c r="Y37" s="3525"/>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25"/>
      <c r="Q38" s="1486" t="str">
        <f>B38</f>
        <v>宗地面积</v>
      </c>
      <c r="R38" s="713" t="s">
        <v>17</v>
      </c>
      <c r="S38" s="714" t="e">
        <f t="shared" si="10"/>
        <v>#N/A</v>
      </c>
      <c r="T38" s="713" t="s">
        <v>17</v>
      </c>
      <c r="U38" s="714" t="e">
        <f t="shared" si="11"/>
        <v>#N/A</v>
      </c>
      <c r="V38" s="713" t="s">
        <v>17</v>
      </c>
      <c r="W38" s="714" t="e">
        <f t="shared" si="12"/>
        <v>#N/A</v>
      </c>
      <c r="X38" s="1489"/>
      <c r="Y38" s="3525"/>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25"/>
      <c r="Q39" s="1486" t="str">
        <f t="shared" ref="Q39:Q45" si="14">B39</f>
        <v>宗地形状</v>
      </c>
      <c r="R39" s="713" t="s">
        <v>17</v>
      </c>
      <c r="S39" s="714">
        <f t="shared" si="10"/>
        <v>100</v>
      </c>
      <c r="T39" s="713" t="s">
        <v>17</v>
      </c>
      <c r="U39" s="714">
        <f t="shared" si="11"/>
        <v>100</v>
      </c>
      <c r="V39" s="713" t="s">
        <v>17</v>
      </c>
      <c r="W39" s="714">
        <f t="shared" si="12"/>
        <v>100</v>
      </c>
      <c r="X39" s="1489"/>
      <c r="Y39" s="3525"/>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25"/>
      <c r="Q40" s="1486" t="str">
        <f t="shared" si="14"/>
        <v>临街宽度及深度</v>
      </c>
      <c r="R40" s="713" t="s">
        <v>17</v>
      </c>
      <c r="S40" s="714">
        <f t="shared" si="10"/>
        <v>100</v>
      </c>
      <c r="T40" s="713" t="s">
        <v>17</v>
      </c>
      <c r="U40" s="714">
        <f t="shared" si="11"/>
        <v>100</v>
      </c>
      <c r="V40" s="713" t="s">
        <v>17</v>
      </c>
      <c r="W40" s="714">
        <f t="shared" si="12"/>
        <v>100</v>
      </c>
      <c r="X40" s="1489"/>
      <c r="Y40" s="3525"/>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25"/>
      <c r="Q41" s="1486" t="str">
        <f t="shared" si="14"/>
        <v>宗地开发程度</v>
      </c>
      <c r="R41" s="709" t="s">
        <v>17</v>
      </c>
      <c r="S41" s="710">
        <f t="shared" si="10"/>
        <v>100</v>
      </c>
      <c r="T41" s="709" t="s">
        <v>17</v>
      </c>
      <c r="U41" s="710">
        <f t="shared" si="11"/>
        <v>100</v>
      </c>
      <c r="V41" s="709" t="s">
        <v>17</v>
      </c>
      <c r="W41" s="710">
        <f t="shared" si="12"/>
        <v>100</v>
      </c>
      <c r="X41" s="711"/>
      <c r="Y41" s="3525"/>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25" t="s">
        <v>2145</v>
      </c>
      <c r="Q42" s="1486" t="str">
        <f t="shared" si="14"/>
        <v>工程地质条件</v>
      </c>
      <c r="R42" s="713" t="s">
        <v>17</v>
      </c>
      <c r="S42" s="714">
        <f t="shared" si="10"/>
        <v>100</v>
      </c>
      <c r="T42" s="713" t="s">
        <v>17</v>
      </c>
      <c r="U42" s="714">
        <f t="shared" si="11"/>
        <v>100</v>
      </c>
      <c r="V42" s="713" t="s">
        <v>17</v>
      </c>
      <c r="W42" s="714">
        <f t="shared" si="12"/>
        <v>100</v>
      </c>
      <c r="X42" s="1489"/>
      <c r="Y42" s="3525"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25"/>
      <c r="Q43" s="1486">
        <f t="shared" si="14"/>
        <v>111</v>
      </c>
      <c r="R43" s="713" t="s">
        <v>17</v>
      </c>
      <c r="S43" s="714">
        <f t="shared" si="10"/>
        <v>100</v>
      </c>
      <c r="T43" s="713" t="s">
        <v>17</v>
      </c>
      <c r="U43" s="714">
        <f t="shared" si="11"/>
        <v>100</v>
      </c>
      <c r="V43" s="713" t="s">
        <v>17</v>
      </c>
      <c r="W43" s="714">
        <f t="shared" si="12"/>
        <v>100</v>
      </c>
      <c r="X43" s="1489"/>
      <c r="Y43" s="3525"/>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25"/>
      <c r="Q44" s="1486">
        <f t="shared" si="14"/>
        <v>111</v>
      </c>
      <c r="R44" s="713" t="s">
        <v>17</v>
      </c>
      <c r="S44" s="714">
        <f t="shared" si="10"/>
        <v>100</v>
      </c>
      <c r="T44" s="713" t="s">
        <v>17</v>
      </c>
      <c r="U44" s="714">
        <f t="shared" si="11"/>
        <v>100</v>
      </c>
      <c r="V44" s="713" t="s">
        <v>17</v>
      </c>
      <c r="W44" s="714">
        <f t="shared" si="12"/>
        <v>100</v>
      </c>
      <c r="X44" s="1489"/>
      <c r="Y44" s="3525"/>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25"/>
      <c r="Q45" s="1486">
        <f t="shared" si="14"/>
        <v>111</v>
      </c>
      <c r="R45" s="716" t="s">
        <v>17</v>
      </c>
      <c r="S45" s="717">
        <f t="shared" si="10"/>
        <v>100</v>
      </c>
      <c r="T45" s="716" t="s">
        <v>17</v>
      </c>
      <c r="U45" s="717">
        <f t="shared" si="11"/>
        <v>100</v>
      </c>
      <c r="V45" s="716" t="s">
        <v>17</v>
      </c>
      <c r="W45" s="717">
        <f t="shared" si="12"/>
        <v>100</v>
      </c>
      <c r="X45" s="718"/>
      <c r="Y45" s="3525"/>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18" t="str">
        <f>A46</f>
        <v>成交单价</v>
      </c>
      <c r="Q46" s="3518"/>
      <c r="R46" s="3513">
        <f>E46</f>
        <v>0</v>
      </c>
      <c r="S46" s="3513"/>
      <c r="T46" s="3513">
        <f>G46</f>
        <v>0</v>
      </c>
      <c r="U46" s="3513"/>
      <c r="V46" s="3513">
        <f>I46</f>
        <v>0</v>
      </c>
      <c r="W46" s="3513"/>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18" t="str">
        <f>A47</f>
        <v>比较价值（元/平方米）</v>
      </c>
      <c r="Q47" s="3518"/>
      <c r="R47" s="3546" t="e">
        <f>ROUND(PRODUCT(R46,AA7:AA45),0)</f>
        <v>#DIV/0!</v>
      </c>
      <c r="S47" s="3546"/>
      <c r="T47" s="3546" t="e">
        <f>ROUND(PRODUCT(T46,AB7:AB45),0)</f>
        <v>#DIV/0!</v>
      </c>
      <c r="U47" s="3546"/>
      <c r="V47" s="3546" t="e">
        <f>ROUND(PRODUCT(V46,AC7:AC45),0)</f>
        <v>#DIV/0!</v>
      </c>
      <c r="W47" s="3546"/>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515" t="str">
        <f>A48</f>
        <v>估价对象XX用房的比较价值（楼面单价，元/平方米）</v>
      </c>
      <c r="Q48" s="3516"/>
      <c r="R48" s="3547" t="e">
        <f>ROUND(IF(D47="简单平均",AVERAGE(R47:W47),R47*F47+T47*H47+V47*J47),0)</f>
        <v>#DIV/0!</v>
      </c>
      <c r="S48" s="3547"/>
      <c r="T48" s="3547"/>
      <c r="U48" s="3547"/>
      <c r="V48" s="3547"/>
      <c r="W48" s="3547"/>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501" t="s">
        <v>2344</v>
      </c>
      <c r="H55" s="3548"/>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6518.7900000000018</v>
      </c>
      <c r="F56" s="997" t="e">
        <f t="shared" ref="F56:F64" si="15">ROUND(B56*E56/10000,0)</f>
        <v>#DIV/0!</v>
      </c>
      <c r="G56" s="3500"/>
      <c r="H56" s="3518"/>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741.1</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7259.8900000000021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501" t="s">
        <v>2226</v>
      </c>
      <c r="D4" s="3502"/>
      <c r="E4" s="3503" t="s">
        <v>2227</v>
      </c>
      <c r="F4" s="3504"/>
      <c r="G4" s="3501" t="s">
        <v>2228</v>
      </c>
      <c r="H4" s="3502"/>
      <c r="I4" s="3501" t="s">
        <v>2229</v>
      </c>
      <c r="J4" s="3502"/>
      <c r="K4" s="567" t="s">
        <v>2230</v>
      </c>
      <c r="L4" s="2893"/>
      <c r="M4" s="2894"/>
      <c r="N4" s="2894"/>
      <c r="O4" s="2894"/>
      <c r="P4" s="3505" t="s">
        <v>2231</v>
      </c>
      <c r="Q4" s="3506"/>
      <c r="R4" s="3488" t="s">
        <v>2227</v>
      </c>
      <c r="S4" s="3489"/>
      <c r="T4" s="3488" t="s">
        <v>2228</v>
      </c>
      <c r="U4" s="3489"/>
      <c r="V4" s="3513" t="s">
        <v>2229</v>
      </c>
      <c r="W4" s="3513"/>
      <c r="X4" s="1489"/>
      <c r="Y4" s="3488" t="s">
        <v>2231</v>
      </c>
      <c r="Z4" s="3489"/>
      <c r="AA4" s="3483" t="s">
        <v>2227</v>
      </c>
      <c r="AB4" s="3484" t="s">
        <v>2228</v>
      </c>
      <c r="AC4" s="3483" t="s">
        <v>2229</v>
      </c>
    </row>
    <row r="5" spans="1:29" ht="15">
      <c r="A5" s="364"/>
      <c r="B5" s="365"/>
      <c r="C5" s="3494" t="s">
        <v>2122</v>
      </c>
      <c r="D5" s="3495"/>
      <c r="E5" s="3492" t="s">
        <v>2123</v>
      </c>
      <c r="F5" s="3493"/>
      <c r="G5" s="3494" t="s">
        <v>2124</v>
      </c>
      <c r="H5" s="3495"/>
      <c r="I5" s="3494" t="s">
        <v>2125</v>
      </c>
      <c r="J5" s="3495"/>
      <c r="K5" s="567"/>
      <c r="L5" s="2893"/>
      <c r="M5" s="2894"/>
      <c r="N5" s="2894"/>
      <c r="O5" s="2894"/>
      <c r="P5" s="3507"/>
      <c r="Q5" s="3508"/>
      <c r="R5" s="3490"/>
      <c r="S5" s="3491"/>
      <c r="T5" s="3490"/>
      <c r="U5" s="3491"/>
      <c r="V5" s="3513"/>
      <c r="W5" s="3513"/>
      <c r="X5" s="1489"/>
      <c r="Y5" s="3490"/>
      <c r="Z5" s="3491"/>
      <c r="AA5" s="3484"/>
      <c r="AB5" s="3484"/>
      <c r="AC5" s="3484"/>
    </row>
    <row r="6" spans="1:29" ht="15.75" thickBot="1">
      <c r="A6" s="366"/>
      <c r="B6" s="367"/>
      <c r="C6" s="3549" t="s">
        <v>2376</v>
      </c>
      <c r="D6" s="3550"/>
      <c r="E6" s="3551" t="s">
        <v>2376</v>
      </c>
      <c r="F6" s="3552"/>
      <c r="G6" s="3549" t="s">
        <v>2376</v>
      </c>
      <c r="H6" s="3550"/>
      <c r="I6" s="3549" t="s">
        <v>2376</v>
      </c>
      <c r="J6" s="3550"/>
      <c r="K6" s="567" t="s">
        <v>2127</v>
      </c>
      <c r="L6" s="2893"/>
      <c r="M6" s="2894"/>
      <c r="N6" s="2894"/>
      <c r="O6" s="2894"/>
      <c r="P6" s="3509"/>
      <c r="Q6" s="3510"/>
      <c r="R6" s="3490"/>
      <c r="S6" s="3491"/>
      <c r="T6" s="3511"/>
      <c r="U6" s="3512"/>
      <c r="V6" s="3513"/>
      <c r="W6" s="3513"/>
      <c r="X6" s="1489"/>
      <c r="Y6" s="3511"/>
      <c r="Z6" s="3512"/>
      <c r="AA6" s="3485"/>
      <c r="AB6" s="3485"/>
      <c r="AC6" s="3485"/>
    </row>
    <row r="7" spans="1:29" s="113" customFormat="1" ht="15.75" thickBot="1">
      <c r="A7" s="368" t="s">
        <v>2128</v>
      </c>
      <c r="B7" s="369"/>
      <c r="C7" s="370">
        <f>'数据-取费表'!B2</f>
        <v>44873</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86" t="s">
        <v>2129</v>
      </c>
      <c r="Q7" s="3514"/>
      <c r="R7" s="709" t="s">
        <v>17</v>
      </c>
      <c r="S7" s="710">
        <f t="shared" ref="S7:S15" si="0">F7</f>
        <v>0</v>
      </c>
      <c r="T7" s="709" t="s">
        <v>17</v>
      </c>
      <c r="U7" s="710">
        <f t="shared" ref="U7:U15" si="1">H7</f>
        <v>0</v>
      </c>
      <c r="V7" s="709" t="s">
        <v>17</v>
      </c>
      <c r="W7" s="710">
        <f t="shared" ref="W7:W15" si="2">J7</f>
        <v>0</v>
      </c>
      <c r="X7" s="711"/>
      <c r="Y7" s="3486" t="s">
        <v>2129</v>
      </c>
      <c r="Z7" s="3487"/>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6" t="s">
        <v>2132</v>
      </c>
      <c r="Q8" s="3487"/>
      <c r="R8" s="709" t="s">
        <v>17</v>
      </c>
      <c r="S8" s="710">
        <f t="shared" si="0"/>
        <v>0</v>
      </c>
      <c r="T8" s="709" t="s">
        <v>17</v>
      </c>
      <c r="U8" s="710">
        <f t="shared" si="1"/>
        <v>0</v>
      </c>
      <c r="V8" s="709" t="s">
        <v>17</v>
      </c>
      <c r="W8" s="710">
        <f t="shared" si="2"/>
        <v>0</v>
      </c>
      <c r="X8" s="711"/>
      <c r="Y8" s="3486" t="s">
        <v>2132</v>
      </c>
      <c r="Z8" s="3487"/>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18" t="s">
        <v>2135</v>
      </c>
      <c r="Q9" s="1477" t="str">
        <f t="shared" ref="Q9:Q15" si="6">B9</f>
        <v>用途</v>
      </c>
      <c r="R9" s="709" t="s">
        <v>17</v>
      </c>
      <c r="S9" s="710">
        <f t="shared" si="0"/>
        <v>100</v>
      </c>
      <c r="T9" s="709" t="s">
        <v>17</v>
      </c>
      <c r="U9" s="710">
        <f t="shared" si="1"/>
        <v>100</v>
      </c>
      <c r="V9" s="709" t="s">
        <v>17</v>
      </c>
      <c r="W9" s="710">
        <f t="shared" si="2"/>
        <v>100</v>
      </c>
      <c r="X9" s="711"/>
      <c r="Y9" s="3430"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118</v>
      </c>
      <c r="G10" s="391"/>
      <c r="H10" s="132">
        <f>ROUND(100/'数据-取费表'!G16,0)</f>
        <v>118</v>
      </c>
      <c r="I10" s="391"/>
      <c r="J10" s="132">
        <f>ROUND(100/'数据-取费表'!G16,0)</f>
        <v>118</v>
      </c>
      <c r="K10" s="628"/>
      <c r="L10" s="2897"/>
      <c r="M10" s="2898"/>
      <c r="N10" s="2898"/>
      <c r="O10" s="2951"/>
      <c r="P10" s="3518"/>
      <c r="Q10" s="1477" t="str">
        <f t="shared" si="6"/>
        <v>土地使用年限（年）</v>
      </c>
      <c r="R10" s="709" t="s">
        <v>17</v>
      </c>
      <c r="S10" s="710">
        <f t="shared" si="0"/>
        <v>118</v>
      </c>
      <c r="T10" s="709" t="s">
        <v>17</v>
      </c>
      <c r="U10" s="710">
        <f t="shared" si="1"/>
        <v>118</v>
      </c>
      <c r="V10" s="709" t="s">
        <v>17</v>
      </c>
      <c r="W10" s="710">
        <f t="shared" si="2"/>
        <v>118</v>
      </c>
      <c r="X10" s="711"/>
      <c r="Y10" s="3430"/>
      <c r="Z10" s="55" t="str">
        <f t="shared" si="7"/>
        <v>土地使用年限（年）</v>
      </c>
      <c r="AA10" s="712">
        <f t="shared" si="3"/>
        <v>0.84745762711864403</v>
      </c>
      <c r="AB10" s="712">
        <f t="shared" si="4"/>
        <v>0.84745762711864403</v>
      </c>
      <c r="AC10" s="712">
        <f t="shared" si="5"/>
        <v>0.84745762711864403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8"/>
      <c r="Q11" s="1477" t="str">
        <f t="shared" si="6"/>
        <v>容积率</v>
      </c>
      <c r="R11" s="709" t="s">
        <v>17</v>
      </c>
      <c r="S11" s="710" t="e">
        <f t="shared" si="0"/>
        <v>#N/A</v>
      </c>
      <c r="T11" s="709" t="s">
        <v>17</v>
      </c>
      <c r="U11" s="710" t="e">
        <f t="shared" si="1"/>
        <v>#N/A</v>
      </c>
      <c r="V11" s="709" t="s">
        <v>17</v>
      </c>
      <c r="W11" s="710" t="e">
        <f t="shared" si="2"/>
        <v>#N/A</v>
      </c>
      <c r="X11" s="711"/>
      <c r="Y11" s="3430"/>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8"/>
      <c r="Q12" s="1477">
        <f t="shared" si="6"/>
        <v>111</v>
      </c>
      <c r="R12" s="709" t="s">
        <v>17</v>
      </c>
      <c r="S12" s="710">
        <f t="shared" si="0"/>
        <v>100</v>
      </c>
      <c r="T12" s="709" t="s">
        <v>17</v>
      </c>
      <c r="U12" s="710">
        <f t="shared" si="1"/>
        <v>100</v>
      </c>
      <c r="V12" s="709" t="s">
        <v>17</v>
      </c>
      <c r="W12" s="710">
        <f t="shared" si="2"/>
        <v>100</v>
      </c>
      <c r="X12" s="711"/>
      <c r="Y12" s="3430"/>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8"/>
      <c r="Q13" s="1477">
        <f t="shared" si="6"/>
        <v>111</v>
      </c>
      <c r="R13" s="709" t="s">
        <v>17</v>
      </c>
      <c r="S13" s="710">
        <f t="shared" si="0"/>
        <v>100</v>
      </c>
      <c r="T13" s="709" t="s">
        <v>17</v>
      </c>
      <c r="U13" s="710">
        <f t="shared" si="1"/>
        <v>100</v>
      </c>
      <c r="V13" s="709" t="s">
        <v>17</v>
      </c>
      <c r="W13" s="710">
        <f t="shared" si="2"/>
        <v>100</v>
      </c>
      <c r="X13" s="711"/>
      <c r="Y13" s="3430"/>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8"/>
      <c r="Q14" s="1477">
        <f t="shared" si="6"/>
        <v>111</v>
      </c>
      <c r="R14" s="709" t="s">
        <v>17</v>
      </c>
      <c r="S14" s="710">
        <f t="shared" si="0"/>
        <v>100</v>
      </c>
      <c r="T14" s="709" t="s">
        <v>17</v>
      </c>
      <c r="U14" s="710">
        <f t="shared" si="1"/>
        <v>100</v>
      </c>
      <c r="V14" s="709" t="s">
        <v>17</v>
      </c>
      <c r="W14" s="710">
        <f t="shared" si="2"/>
        <v>100</v>
      </c>
      <c r="X14" s="711"/>
      <c r="Y14" s="3430"/>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20" t="s">
        <v>2140</v>
      </c>
      <c r="Q15" s="1486" t="str">
        <f t="shared" si="6"/>
        <v>产业集聚程度</v>
      </c>
      <c r="R15" s="713" t="s">
        <v>17</v>
      </c>
      <c r="S15" s="714">
        <f t="shared" si="0"/>
        <v>100</v>
      </c>
      <c r="T15" s="713" t="s">
        <v>17</v>
      </c>
      <c r="U15" s="714">
        <f t="shared" si="1"/>
        <v>100</v>
      </c>
      <c r="V15" s="713" t="s">
        <v>17</v>
      </c>
      <c r="W15" s="714">
        <f t="shared" si="2"/>
        <v>100</v>
      </c>
      <c r="X15" s="1489"/>
      <c r="Y15" s="3520"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21"/>
      <c r="Q16" s="1486"/>
      <c r="R16" s="713"/>
      <c r="S16" s="714"/>
      <c r="T16" s="713"/>
      <c r="U16" s="714"/>
      <c r="V16" s="713"/>
      <c r="W16" s="714"/>
      <c r="X16" s="1489"/>
      <c r="Y16" s="3521"/>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21"/>
      <c r="Q17" s="1486" t="str">
        <f>B17</f>
        <v>交通便捷度</v>
      </c>
      <c r="R17" s="713" t="s">
        <v>17</v>
      </c>
      <c r="S17" s="714">
        <f>F17</f>
        <v>100</v>
      </c>
      <c r="T17" s="713" t="s">
        <v>17</v>
      </c>
      <c r="U17" s="714">
        <f>H17</f>
        <v>100</v>
      </c>
      <c r="V17" s="713" t="s">
        <v>17</v>
      </c>
      <c r="W17" s="714">
        <f>J17</f>
        <v>100</v>
      </c>
      <c r="X17" s="1489"/>
      <c r="Y17" s="3521"/>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21"/>
      <c r="Q18" s="1486"/>
      <c r="R18" s="713"/>
      <c r="S18" s="714"/>
      <c r="T18" s="713"/>
      <c r="U18" s="714"/>
      <c r="V18" s="713"/>
      <c r="W18" s="714"/>
      <c r="X18" s="1489"/>
      <c r="Y18" s="3521"/>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21"/>
      <c r="Q19" s="1486" t="str">
        <f t="shared" ref="Q19:Q33" si="8">B19</f>
        <v>区域土地利用方向</v>
      </c>
      <c r="R19" s="713" t="s">
        <v>17</v>
      </c>
      <c r="S19" s="714">
        <f>F19</f>
        <v>100</v>
      </c>
      <c r="T19" s="713" t="s">
        <v>17</v>
      </c>
      <c r="U19" s="714">
        <f>H19</f>
        <v>100</v>
      </c>
      <c r="V19" s="713" t="s">
        <v>17</v>
      </c>
      <c r="W19" s="714">
        <f>J19</f>
        <v>100</v>
      </c>
      <c r="X19" s="1489"/>
      <c r="Y19" s="3521"/>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21"/>
      <c r="Q20" s="1486"/>
      <c r="R20" s="713"/>
      <c r="S20" s="714"/>
      <c r="T20" s="713"/>
      <c r="U20" s="714"/>
      <c r="V20" s="713"/>
      <c r="W20" s="714"/>
      <c r="X20" s="1489"/>
      <c r="Y20" s="3521"/>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21"/>
      <c r="Q21" s="1486" t="str">
        <f t="shared" si="8"/>
        <v>环境状况</v>
      </c>
      <c r="R21" s="713" t="s">
        <v>17</v>
      </c>
      <c r="S21" s="714">
        <f>F21</f>
        <v>100</v>
      </c>
      <c r="T21" s="713" t="s">
        <v>17</v>
      </c>
      <c r="U21" s="714">
        <f>H21</f>
        <v>100</v>
      </c>
      <c r="V21" s="713" t="s">
        <v>17</v>
      </c>
      <c r="W21" s="714">
        <f>J21</f>
        <v>100</v>
      </c>
      <c r="X21" s="1489"/>
      <c r="Y21" s="3521"/>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21"/>
      <c r="Q22" s="1486"/>
      <c r="R22" s="713"/>
      <c r="S22" s="714"/>
      <c r="T22" s="713"/>
      <c r="U22" s="714"/>
      <c r="V22" s="713"/>
      <c r="W22" s="714"/>
      <c r="X22" s="1489"/>
      <c r="Y22" s="3521"/>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21"/>
      <c r="Q23" s="1477" t="str">
        <f t="shared" si="8"/>
        <v>公共配套设施</v>
      </c>
      <c r="R23" s="709" t="s">
        <v>17</v>
      </c>
      <c r="S23" s="710">
        <f>F23</f>
        <v>100</v>
      </c>
      <c r="T23" s="709" t="s">
        <v>17</v>
      </c>
      <c r="U23" s="710">
        <f>H23</f>
        <v>100</v>
      </c>
      <c r="V23" s="709" t="s">
        <v>17</v>
      </c>
      <c r="W23" s="710">
        <f>J23</f>
        <v>100</v>
      </c>
      <c r="X23" s="711"/>
      <c r="Y23" s="3521"/>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21"/>
      <c r="Q24" s="1477"/>
      <c r="R24" s="709"/>
      <c r="S24" s="710"/>
      <c r="T24" s="709"/>
      <c r="U24" s="710"/>
      <c r="V24" s="709"/>
      <c r="W24" s="710"/>
      <c r="X24" s="711"/>
      <c r="Y24" s="3521"/>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21"/>
      <c r="Q25" s="1477" t="str">
        <f t="shared" ref="Q25" si="9">B25</f>
        <v>基础设施水平</v>
      </c>
      <c r="R25" s="709" t="s">
        <v>17</v>
      </c>
      <c r="S25" s="710">
        <f>F25</f>
        <v>100</v>
      </c>
      <c r="T25" s="709" t="s">
        <v>17</v>
      </c>
      <c r="U25" s="710">
        <f>H25</f>
        <v>100</v>
      </c>
      <c r="V25" s="709" t="s">
        <v>17</v>
      </c>
      <c r="W25" s="710">
        <f>J25</f>
        <v>100</v>
      </c>
      <c r="X25" s="711"/>
      <c r="Y25" s="3521"/>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21"/>
      <c r="Q26" s="1477"/>
      <c r="R26" s="709"/>
      <c r="S26" s="710"/>
      <c r="T26" s="709"/>
      <c r="U26" s="710"/>
      <c r="V26" s="709"/>
      <c r="W26" s="710"/>
      <c r="X26" s="711"/>
      <c r="Y26" s="3521"/>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21"/>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21"/>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21"/>
      <c r="Q28" s="1486" t="str">
        <f t="shared" si="8"/>
        <v>毗邻道路的类型与等级</v>
      </c>
      <c r="R28" s="713" t="s">
        <v>17</v>
      </c>
      <c r="S28" s="714">
        <f t="shared" si="10"/>
        <v>100</v>
      </c>
      <c r="T28" s="713" t="s">
        <v>17</v>
      </c>
      <c r="U28" s="714">
        <f t="shared" si="11"/>
        <v>100</v>
      </c>
      <c r="V28" s="713" t="s">
        <v>17</v>
      </c>
      <c r="W28" s="714">
        <f t="shared" si="12"/>
        <v>100</v>
      </c>
      <c r="X28" s="1489"/>
      <c r="Y28" s="3521"/>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21"/>
      <c r="Q29" s="1486"/>
      <c r="R29" s="713"/>
      <c r="S29" s="714"/>
      <c r="T29" s="713"/>
      <c r="U29" s="714"/>
      <c r="V29" s="713"/>
      <c r="W29" s="714"/>
      <c r="X29" s="1489"/>
      <c r="Y29" s="3521"/>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21"/>
      <c r="Q30" s="1486" t="str">
        <f t="shared" si="8"/>
        <v>土地级别</v>
      </c>
      <c r="R30" s="713" t="s">
        <v>17</v>
      </c>
      <c r="S30" s="714">
        <f t="shared" si="10"/>
        <v>100</v>
      </c>
      <c r="T30" s="713" t="s">
        <v>17</v>
      </c>
      <c r="U30" s="714">
        <f t="shared" si="11"/>
        <v>100</v>
      </c>
      <c r="V30" s="713" t="s">
        <v>17</v>
      </c>
      <c r="W30" s="714">
        <f t="shared" si="12"/>
        <v>100</v>
      </c>
      <c r="X30" s="1489"/>
      <c r="Y30" s="3521"/>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21"/>
      <c r="Q31" s="1486">
        <f t="shared" si="8"/>
        <v>111</v>
      </c>
      <c r="R31" s="713" t="s">
        <v>17</v>
      </c>
      <c r="S31" s="714">
        <f t="shared" si="10"/>
        <v>100</v>
      </c>
      <c r="T31" s="713" t="s">
        <v>17</v>
      </c>
      <c r="U31" s="714">
        <f t="shared" si="11"/>
        <v>100</v>
      </c>
      <c r="V31" s="713" t="s">
        <v>17</v>
      </c>
      <c r="W31" s="714">
        <f t="shared" si="12"/>
        <v>100</v>
      </c>
      <c r="X31" s="1489"/>
      <c r="Y31" s="3521"/>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4" t="s">
        <v>2145</v>
      </c>
      <c r="Q32" s="1486">
        <f t="shared" si="8"/>
        <v>111</v>
      </c>
      <c r="R32" s="713" t="s">
        <v>17</v>
      </c>
      <c r="S32" s="714">
        <f t="shared" si="10"/>
        <v>100</v>
      </c>
      <c r="T32" s="713" t="s">
        <v>17</v>
      </c>
      <c r="U32" s="714">
        <f t="shared" si="11"/>
        <v>100</v>
      </c>
      <c r="V32" s="713" t="s">
        <v>17</v>
      </c>
      <c r="W32" s="714">
        <f t="shared" si="12"/>
        <v>100</v>
      </c>
      <c r="X32" s="1489"/>
      <c r="Y32" s="3525"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25"/>
      <c r="Q33" s="1486">
        <f t="shared" si="8"/>
        <v>111</v>
      </c>
      <c r="R33" s="716" t="s">
        <v>17</v>
      </c>
      <c r="S33" s="717">
        <f t="shared" si="10"/>
        <v>100</v>
      </c>
      <c r="T33" s="716" t="s">
        <v>17</v>
      </c>
      <c r="U33" s="717">
        <f t="shared" si="11"/>
        <v>100</v>
      </c>
      <c r="V33" s="716" t="s">
        <v>17</v>
      </c>
      <c r="W33" s="717">
        <f t="shared" si="12"/>
        <v>100</v>
      </c>
      <c r="X33" s="718"/>
      <c r="Y33" s="3525"/>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25"/>
      <c r="Q34" s="1486" t="str">
        <f>B34</f>
        <v>宗地面积</v>
      </c>
      <c r="R34" s="713" t="s">
        <v>17</v>
      </c>
      <c r="S34" s="714" t="e">
        <f t="shared" si="10"/>
        <v>#N/A</v>
      </c>
      <c r="T34" s="713" t="s">
        <v>17</v>
      </c>
      <c r="U34" s="714" t="e">
        <f t="shared" si="11"/>
        <v>#N/A</v>
      </c>
      <c r="V34" s="713" t="s">
        <v>17</v>
      </c>
      <c r="W34" s="714" t="e">
        <f t="shared" si="12"/>
        <v>#N/A</v>
      </c>
      <c r="X34" s="1489"/>
      <c r="Y34" s="3525"/>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25"/>
      <c r="Q35" s="1486" t="str">
        <f t="shared" ref="Q35:Q40" si="14">B35</f>
        <v>宗地形状</v>
      </c>
      <c r="R35" s="713" t="s">
        <v>17</v>
      </c>
      <c r="S35" s="714">
        <f t="shared" si="10"/>
        <v>100</v>
      </c>
      <c r="T35" s="713" t="s">
        <v>17</v>
      </c>
      <c r="U35" s="714">
        <f t="shared" si="11"/>
        <v>100</v>
      </c>
      <c r="V35" s="713" t="s">
        <v>17</v>
      </c>
      <c r="W35" s="714">
        <f t="shared" si="12"/>
        <v>100</v>
      </c>
      <c r="X35" s="1489"/>
      <c r="Y35" s="3525"/>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25"/>
      <c r="Q36" s="1486" t="str">
        <f t="shared" si="14"/>
        <v>宗地开发程度</v>
      </c>
      <c r="R36" s="709" t="s">
        <v>17</v>
      </c>
      <c r="S36" s="710">
        <f t="shared" si="10"/>
        <v>100</v>
      </c>
      <c r="T36" s="709" t="s">
        <v>17</v>
      </c>
      <c r="U36" s="710">
        <f t="shared" si="11"/>
        <v>100</v>
      </c>
      <c r="V36" s="709" t="s">
        <v>17</v>
      </c>
      <c r="W36" s="710">
        <f t="shared" si="12"/>
        <v>100</v>
      </c>
      <c r="X36" s="711"/>
      <c r="Y36" s="3525"/>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25" t="s">
        <v>2145</v>
      </c>
      <c r="Q37" s="1486" t="str">
        <f t="shared" si="14"/>
        <v>工程地质条件</v>
      </c>
      <c r="R37" s="713" t="s">
        <v>17</v>
      </c>
      <c r="S37" s="714">
        <f t="shared" si="10"/>
        <v>100</v>
      </c>
      <c r="T37" s="713" t="s">
        <v>17</v>
      </c>
      <c r="U37" s="714">
        <f t="shared" si="11"/>
        <v>100</v>
      </c>
      <c r="V37" s="713" t="s">
        <v>17</v>
      </c>
      <c r="W37" s="714">
        <f t="shared" si="12"/>
        <v>100</v>
      </c>
      <c r="X37" s="1489"/>
      <c r="Y37" s="3525"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25"/>
      <c r="Q38" s="1486">
        <f t="shared" si="14"/>
        <v>111</v>
      </c>
      <c r="R38" s="713" t="s">
        <v>17</v>
      </c>
      <c r="S38" s="714">
        <f t="shared" si="10"/>
        <v>100</v>
      </c>
      <c r="T38" s="713" t="s">
        <v>17</v>
      </c>
      <c r="U38" s="714">
        <f t="shared" si="11"/>
        <v>100</v>
      </c>
      <c r="V38" s="713" t="s">
        <v>17</v>
      </c>
      <c r="W38" s="714">
        <f t="shared" si="12"/>
        <v>100</v>
      </c>
      <c r="X38" s="1489"/>
      <c r="Y38" s="3525"/>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25"/>
      <c r="Q39" s="1486">
        <f t="shared" si="14"/>
        <v>111</v>
      </c>
      <c r="R39" s="713" t="s">
        <v>17</v>
      </c>
      <c r="S39" s="714">
        <f t="shared" si="10"/>
        <v>100</v>
      </c>
      <c r="T39" s="713" t="s">
        <v>17</v>
      </c>
      <c r="U39" s="714">
        <f t="shared" si="11"/>
        <v>100</v>
      </c>
      <c r="V39" s="713" t="s">
        <v>17</v>
      </c>
      <c r="W39" s="714">
        <f t="shared" si="12"/>
        <v>100</v>
      </c>
      <c r="X39" s="1489"/>
      <c r="Y39" s="3525"/>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25"/>
      <c r="Q40" s="1486">
        <f t="shared" si="14"/>
        <v>111</v>
      </c>
      <c r="R40" s="716" t="s">
        <v>17</v>
      </c>
      <c r="S40" s="717">
        <f t="shared" si="10"/>
        <v>100</v>
      </c>
      <c r="T40" s="716" t="s">
        <v>17</v>
      </c>
      <c r="U40" s="717">
        <f t="shared" si="11"/>
        <v>100</v>
      </c>
      <c r="V40" s="716" t="s">
        <v>17</v>
      </c>
      <c r="W40" s="717">
        <f t="shared" si="12"/>
        <v>100</v>
      </c>
      <c r="X40" s="718"/>
      <c r="Y40" s="3525"/>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18" t="str">
        <f>A41</f>
        <v>成交单价</v>
      </c>
      <c r="Q41" s="3518"/>
      <c r="R41" s="3513">
        <f>E41</f>
        <v>0</v>
      </c>
      <c r="S41" s="3513"/>
      <c r="T41" s="3513">
        <f>G41</f>
        <v>0</v>
      </c>
      <c r="U41" s="3513"/>
      <c r="V41" s="3513">
        <f>I41</f>
        <v>0</v>
      </c>
      <c r="W41" s="3513"/>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18" t="str">
        <f>A42</f>
        <v>比较价值（元/平方米）</v>
      </c>
      <c r="Q42" s="3518"/>
      <c r="R42" s="3546" t="e">
        <f>ROUND(PRODUCT(R41,AA7:AA40),0)</f>
        <v>#DIV/0!</v>
      </c>
      <c r="S42" s="3546"/>
      <c r="T42" s="3546" t="e">
        <f>ROUND(PRODUCT(T41,AB7:AB40),0)</f>
        <v>#DIV/0!</v>
      </c>
      <c r="U42" s="3546"/>
      <c r="V42" s="3546" t="e">
        <f>ROUND(PRODUCT(V41,AC7:AC40),0)</f>
        <v>#DIV/0!</v>
      </c>
      <c r="W42" s="3546"/>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515" t="str">
        <f>A43</f>
        <v>估价对象XX用房的比较价值（楼面单价，元/平方米）</v>
      </c>
      <c r="Q43" s="3516"/>
      <c r="R43" s="3547" t="e">
        <f>ROUND(IF(D42="简单平均",AVERAGE(R42:W42),R42*F42+T42*H42+V42*J42),0)</f>
        <v>#DIV/0!</v>
      </c>
      <c r="S43" s="3547"/>
      <c r="T43" s="3547"/>
      <c r="U43" s="3547"/>
      <c r="V43" s="3547"/>
      <c r="W43" s="3547"/>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01" t="s">
        <v>2344</v>
      </c>
      <c r="H50" s="3548"/>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6518.7900000000018</v>
      </c>
      <c r="F51" s="647" t="e">
        <f t="shared" ref="F51:F60" si="15">ROUND(B51*E51/10000,0)</f>
        <v>#DIV/0!</v>
      </c>
      <c r="G51" s="3500"/>
      <c r="H51" s="3518"/>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741.1</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3589.08</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f>IF(F3="宗地容积率",'数据-汇总表'!I4,IF(F3="估价对象容积率",'数据-汇总表'!I6,'数据-汇总表'!I7))</f>
        <v>1.82</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2"/>
      <c r="B4" s="3573"/>
      <c r="C4" s="3573"/>
      <c r="D4" s="3574"/>
      <c r="E4" s="3574"/>
      <c r="F4" s="3574"/>
      <c r="G4" s="3574"/>
      <c r="H4" s="3574"/>
      <c r="I4" s="3574"/>
      <c r="J4" s="3575"/>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3"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1.82</v>
      </c>
      <c r="AA7" s="1330"/>
      <c r="AB7" s="1330"/>
      <c r="AC7" s="1331"/>
      <c r="AD7" s="1332"/>
      <c r="AE7" s="1332"/>
      <c r="AF7" s="1332"/>
      <c r="AG7" s="1332"/>
      <c r="AH7" s="1332"/>
      <c r="AI7" s="1332"/>
      <c r="AJ7" s="1333"/>
    </row>
    <row r="8" spans="1:36" ht="15">
      <c r="A8" s="3576"/>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69" t="s">
        <v>2419</v>
      </c>
      <c r="X8" s="3570"/>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76"/>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71"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6"/>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7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6"/>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71" t="s">
        <v>2443</v>
      </c>
      <c r="X11" s="1338" t="s">
        <v>2444</v>
      </c>
      <c r="Y11" s="1339">
        <f>$G$3</f>
        <v>1.82</v>
      </c>
      <c r="Z11" s="1339">
        <f t="shared" ref="Z11:AJ11" si="3">$G$3</f>
        <v>1.82</v>
      </c>
      <c r="AA11" s="1339">
        <f t="shared" si="3"/>
        <v>1.82</v>
      </c>
      <c r="AB11" s="1339">
        <f t="shared" si="3"/>
        <v>1.82</v>
      </c>
      <c r="AC11" s="1339">
        <f t="shared" si="3"/>
        <v>1.82</v>
      </c>
      <c r="AD11" s="1339">
        <f t="shared" si="3"/>
        <v>1.82</v>
      </c>
      <c r="AE11" s="1339">
        <f t="shared" si="3"/>
        <v>1.82</v>
      </c>
      <c r="AF11" s="1339">
        <f t="shared" si="3"/>
        <v>1.82</v>
      </c>
      <c r="AG11" s="1339">
        <f t="shared" si="3"/>
        <v>1.82</v>
      </c>
      <c r="AH11" s="1339">
        <f t="shared" si="3"/>
        <v>1.82</v>
      </c>
      <c r="AI11" s="1339">
        <f t="shared" si="3"/>
        <v>1.82</v>
      </c>
      <c r="AJ11" s="1339">
        <f t="shared" si="3"/>
        <v>1.82</v>
      </c>
    </row>
    <row r="12" spans="1:36" ht="25.5" thickBot="1">
      <c r="A12" s="3553"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71"/>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7"/>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71"/>
      <c r="X13" s="1340"/>
      <c r="Y13" s="1337">
        <f>(-0.163*(Y12^2)-0.59*Y12+7617)*(10^(-4))/Y11</f>
        <v>0.41851648351648352</v>
      </c>
      <c r="Z13" s="1337">
        <f t="shared" ref="Z13:AJ13" si="5">(-0.163*(Z12^2)-0.59*Z12+7617)*(10^(-4))/Z11</f>
        <v>0.41851648351648352</v>
      </c>
      <c r="AA13" s="1337">
        <f t="shared" si="5"/>
        <v>0.41851648351648352</v>
      </c>
      <c r="AB13" s="1337">
        <f t="shared" si="5"/>
        <v>0.41851648351648352</v>
      </c>
      <c r="AC13" s="1337">
        <f t="shared" si="5"/>
        <v>0.41851648351648352</v>
      </c>
      <c r="AD13" s="1337">
        <f t="shared" si="5"/>
        <v>0.41851648351648352</v>
      </c>
      <c r="AE13" s="1337">
        <f t="shared" si="5"/>
        <v>0.41851648351648352</v>
      </c>
      <c r="AF13" s="1337">
        <f t="shared" si="5"/>
        <v>0.41851648351648352</v>
      </c>
      <c r="AG13" s="1337">
        <f t="shared" si="5"/>
        <v>0.41851648351648352</v>
      </c>
      <c r="AH13" s="1337">
        <f t="shared" si="5"/>
        <v>0.41851648351648352</v>
      </c>
      <c r="AI13" s="1337">
        <f t="shared" si="5"/>
        <v>0.41851648351648352</v>
      </c>
      <c r="AJ13" s="1337">
        <f t="shared" si="5"/>
        <v>0.41851648351648352</v>
      </c>
    </row>
    <row r="14" spans="1:36" ht="15">
      <c r="A14" s="3577"/>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78"/>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3" t="s">
        <v>2462</v>
      </c>
      <c r="B16" s="2159" t="s">
        <v>2463</v>
      </c>
      <c r="C16" s="2321" t="e">
        <f>ROUND(IF(F17="与级别开发程度一致",0,(G17-E17)/C17),0)</f>
        <v>#DIV/0!</v>
      </c>
      <c r="D16" s="3566" t="s">
        <v>2467</v>
      </c>
      <c r="E16" s="3567"/>
      <c r="F16" s="3566" t="s">
        <v>2464</v>
      </c>
      <c r="G16" s="3567"/>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4"/>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44873</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6">
        <f>ROUNDDOWN(G3,1)</f>
        <v>1.8</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1.9000000000000001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3"/>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8"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4"/>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4"/>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4"/>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4"/>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5"/>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5"/>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55" t="s">
        <v>2550</v>
      </c>
      <c r="B90" s="3555"/>
      <c r="C90" s="3555"/>
      <c r="D90" s="3555"/>
      <c r="E90" s="3555"/>
      <c r="F90" s="3555"/>
      <c r="G90" s="3555"/>
      <c r="H90" s="3555"/>
      <c r="I90" s="3555"/>
      <c r="J90" s="3555"/>
      <c r="K90" s="2293"/>
      <c r="L90" s="2293"/>
      <c r="M90" s="2293"/>
      <c r="N90" s="2293"/>
    </row>
    <row r="91" spans="1:37">
      <c r="A91" s="3557" t="s">
        <v>2551</v>
      </c>
      <c r="B91" s="3557" t="s">
        <v>2552</v>
      </c>
      <c r="C91" s="2247" t="s">
        <v>2553</v>
      </c>
      <c r="D91" s="2248"/>
      <c r="E91" s="2248"/>
      <c r="F91" s="2248"/>
      <c r="G91" s="2248"/>
      <c r="H91" s="2248"/>
      <c r="I91" s="2248"/>
      <c r="J91" s="2294"/>
      <c r="K91" s="2295"/>
      <c r="L91" s="2295"/>
      <c r="M91" s="2295"/>
      <c r="N91" s="2295"/>
    </row>
    <row r="92" spans="1:37">
      <c r="A92" s="3557"/>
      <c r="B92" s="3557"/>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58"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9"/>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8" t="s">
        <v>2555</v>
      </c>
      <c r="B101" s="2300" t="s">
        <v>2556</v>
      </c>
      <c r="C101" s="2301">
        <f>$G$3</f>
        <v>1.82</v>
      </c>
      <c r="D101" s="2301">
        <f t="shared" ref="D101:N101" si="31">$G$3</f>
        <v>1.82</v>
      </c>
      <c r="E101" s="2301">
        <f t="shared" si="31"/>
        <v>1.82</v>
      </c>
      <c r="F101" s="2301">
        <f t="shared" si="31"/>
        <v>1.82</v>
      </c>
      <c r="G101" s="2301">
        <f t="shared" si="31"/>
        <v>1.82</v>
      </c>
      <c r="H101" s="2301">
        <f t="shared" si="31"/>
        <v>1.82</v>
      </c>
      <c r="I101" s="2301">
        <f t="shared" si="31"/>
        <v>1.82</v>
      </c>
      <c r="J101" s="2301">
        <f t="shared" si="31"/>
        <v>1.82</v>
      </c>
      <c r="K101" s="2301">
        <f t="shared" si="31"/>
        <v>1.82</v>
      </c>
      <c r="L101" s="2301">
        <f t="shared" si="31"/>
        <v>1.82</v>
      </c>
      <c r="M101" s="2301">
        <f t="shared" si="31"/>
        <v>1.82</v>
      </c>
      <c r="N101" s="2301">
        <f t="shared" si="31"/>
        <v>1.82</v>
      </c>
    </row>
    <row r="102" spans="1:14">
      <c r="A102" s="3559"/>
      <c r="B102" s="2296">
        <v>1</v>
      </c>
      <c r="C102" s="2297">
        <f>1.9362/C101</f>
        <v>1.0638461538461537</v>
      </c>
      <c r="D102" s="2297">
        <f>1.9362/D101</f>
        <v>1.0638461538461537</v>
      </c>
      <c r="E102" s="2297">
        <f>1.8629/E101</f>
        <v>1.0235714285714286</v>
      </c>
      <c r="F102" s="2297">
        <f>1.8629/F101</f>
        <v>1.0235714285714286</v>
      </c>
      <c r="G102" s="2297">
        <f>1.8629/G101</f>
        <v>1.0235714285714286</v>
      </c>
      <c r="H102" s="2297">
        <f>1.8629/H101</f>
        <v>1.0235714285714286</v>
      </c>
      <c r="I102" s="2297">
        <f>1.8629/I101</f>
        <v>1.0235714285714286</v>
      </c>
      <c r="J102" s="2297">
        <f>1.942/J101</f>
        <v>1.067032967032967</v>
      </c>
      <c r="K102" s="2297">
        <f>1.942/K101</f>
        <v>1.067032967032967</v>
      </c>
      <c r="L102" s="2297">
        <f>1.942/L101</f>
        <v>1.067032967032967</v>
      </c>
      <c r="M102" s="2297">
        <f>1.942/M101</f>
        <v>1.067032967032967</v>
      </c>
      <c r="N102" s="2297">
        <f>1.942/N101</f>
        <v>1.067032967032967</v>
      </c>
    </row>
    <row r="103" spans="1:14">
      <c r="A103" s="3559"/>
      <c r="B103" s="2296">
        <v>2</v>
      </c>
      <c r="C103" s="2297">
        <f>1.4198/C101</f>
        <v>0.78010989010989007</v>
      </c>
      <c r="D103" s="2297">
        <f>1.4198/D101</f>
        <v>0.78010989010989007</v>
      </c>
      <c r="E103" s="2297">
        <f>1.3372/E101</f>
        <v>0.73472527472527471</v>
      </c>
      <c r="F103" s="2297">
        <f>1.3372/F101</f>
        <v>0.73472527472527471</v>
      </c>
      <c r="G103" s="2297">
        <f>1.3372/G101</f>
        <v>0.73472527472527471</v>
      </c>
      <c r="H103" s="2297">
        <f>1.3372/H101</f>
        <v>0.73472527472527471</v>
      </c>
      <c r="I103" s="2297">
        <f>1.3372/I101</f>
        <v>0.73472527472527471</v>
      </c>
      <c r="J103" s="2297">
        <f>1.2799/J101</f>
        <v>0.70324175824175827</v>
      </c>
      <c r="K103" s="2297">
        <f>1.2799/K101</f>
        <v>0.70324175824175827</v>
      </c>
      <c r="L103" s="2297">
        <f>1.2799/L101</f>
        <v>0.70324175824175827</v>
      </c>
      <c r="M103" s="2297">
        <f>1.2799/M101</f>
        <v>0.70324175824175827</v>
      </c>
      <c r="N103" s="2297">
        <f>1.2799/N101</f>
        <v>0.70324175824175827</v>
      </c>
    </row>
    <row r="104" spans="1:14">
      <c r="A104" s="3559"/>
      <c r="B104" s="2296">
        <v>3</v>
      </c>
      <c r="C104" s="2297">
        <f>1.1594/C101</f>
        <v>0.63703296703296697</v>
      </c>
      <c r="D104" s="2297">
        <f>1.1594/D101</f>
        <v>0.63703296703296697</v>
      </c>
      <c r="E104" s="2297">
        <f>1.0788/E101</f>
        <v>0.59274725274725271</v>
      </c>
      <c r="F104" s="2297">
        <f>1.0788/F101</f>
        <v>0.59274725274725271</v>
      </c>
      <c r="G104" s="2297">
        <f>1.0788/G101</f>
        <v>0.59274725274725271</v>
      </c>
      <c r="H104" s="2297">
        <f>1.0788/H101</f>
        <v>0.59274725274725271</v>
      </c>
      <c r="I104" s="2297">
        <f>1.0788/I101</f>
        <v>0.59274725274725271</v>
      </c>
      <c r="J104" s="2297">
        <f>1.0072/J101</f>
        <v>0.55340659340659348</v>
      </c>
      <c r="K104" s="2297">
        <f>1.0072/K101</f>
        <v>0.55340659340659348</v>
      </c>
      <c r="L104" s="2297">
        <f>1.0072/L101</f>
        <v>0.55340659340659348</v>
      </c>
      <c r="M104" s="2297">
        <f>1.0072/M101</f>
        <v>0.55340659340659348</v>
      </c>
      <c r="N104" s="2297">
        <f>1.0072/N101</f>
        <v>0.55340659340659348</v>
      </c>
    </row>
    <row r="105" spans="1:14">
      <c r="A105" s="3559"/>
      <c r="B105" s="2296">
        <v>4</v>
      </c>
      <c r="C105" s="2297">
        <f>0.9622/C101</f>
        <v>0.52868131868131873</v>
      </c>
      <c r="D105" s="2297">
        <f>0.9622/D101</f>
        <v>0.52868131868131873</v>
      </c>
      <c r="E105" s="2297">
        <f>0.8656/E101</f>
        <v>0.4756043956043956</v>
      </c>
      <c r="F105" s="2297">
        <f>0.8656/F101</f>
        <v>0.4756043956043956</v>
      </c>
      <c r="G105" s="2297">
        <f>0.8656/G101</f>
        <v>0.4756043956043956</v>
      </c>
      <c r="H105" s="2297">
        <f>0.8656/H101</f>
        <v>0.4756043956043956</v>
      </c>
      <c r="I105" s="2297">
        <f>0.8656/I101</f>
        <v>0.4756043956043956</v>
      </c>
      <c r="J105" s="2297">
        <f>0.7525/J101</f>
        <v>0.41346153846153844</v>
      </c>
      <c r="K105" s="2297">
        <f>0.7525/K101</f>
        <v>0.41346153846153844</v>
      </c>
      <c r="L105" s="2297">
        <f>0.7525/L101</f>
        <v>0.41346153846153844</v>
      </c>
      <c r="M105" s="2297">
        <f>0.7525/M101</f>
        <v>0.41346153846153844</v>
      </c>
      <c r="N105" s="2297">
        <f>0.7525/N101</f>
        <v>0.41346153846153844</v>
      </c>
    </row>
    <row r="106" spans="1:14">
      <c r="A106" s="3559"/>
      <c r="B106" s="2296">
        <v>5</v>
      </c>
      <c r="C106" s="2297">
        <f>0.8417/C101</f>
        <v>0.46247252747252748</v>
      </c>
      <c r="D106" s="2297">
        <f>0.8417/D101</f>
        <v>0.46247252747252748</v>
      </c>
      <c r="E106" s="2297">
        <f>0.7371/E101</f>
        <v>0.40499999999999997</v>
      </c>
      <c r="F106" s="2297">
        <f>0.7371/F101</f>
        <v>0.40499999999999997</v>
      </c>
      <c r="G106" s="2297">
        <f>0.7371/G101</f>
        <v>0.40499999999999997</v>
      </c>
      <c r="H106" s="2297">
        <f>0.7371/H101</f>
        <v>0.40499999999999997</v>
      </c>
      <c r="I106" s="2297">
        <f>0.7371/I101</f>
        <v>0.40499999999999997</v>
      </c>
      <c r="J106" s="2297">
        <f>0.5659/J101</f>
        <v>0.31093406593406592</v>
      </c>
      <c r="K106" s="2297">
        <f>0.5659/K101</f>
        <v>0.31093406593406592</v>
      </c>
      <c r="L106" s="2297">
        <f>0.5659/L101</f>
        <v>0.31093406593406592</v>
      </c>
      <c r="M106" s="2297">
        <f>0.5659/M101</f>
        <v>0.31093406593406592</v>
      </c>
      <c r="N106" s="2297">
        <f>0.5659/N101</f>
        <v>0.31093406593406592</v>
      </c>
    </row>
    <row r="107" spans="1:14">
      <c r="A107" s="3559"/>
      <c r="B107" s="2296">
        <v>6</v>
      </c>
      <c r="C107" s="2297">
        <f>0.7608/C101</f>
        <v>0.41802197802197805</v>
      </c>
      <c r="D107" s="2297">
        <f>0.7608/D101</f>
        <v>0.41802197802197805</v>
      </c>
      <c r="E107" s="2297">
        <f>0.6482/E101</f>
        <v>0.35615384615384615</v>
      </c>
      <c r="F107" s="2297">
        <f>0.6482/F101</f>
        <v>0.35615384615384615</v>
      </c>
      <c r="G107" s="2297">
        <f>0.6482/G101</f>
        <v>0.35615384615384615</v>
      </c>
      <c r="H107" s="2297">
        <f>0.6482/H101</f>
        <v>0.35615384615384615</v>
      </c>
      <c r="I107" s="2297">
        <f>0.6482/I101</f>
        <v>0.35615384615384615</v>
      </c>
      <c r="J107" s="2297">
        <f>0.4525/J101</f>
        <v>0.24862637362637363</v>
      </c>
      <c r="K107" s="2297">
        <f>0.4525/K101</f>
        <v>0.24862637362637363</v>
      </c>
      <c r="L107" s="2297">
        <f>0.4525/L101</f>
        <v>0.24862637362637363</v>
      </c>
      <c r="M107" s="2297">
        <f>0.4525/M101</f>
        <v>0.24862637362637363</v>
      </c>
      <c r="N107" s="2297">
        <f>0.4525/N101</f>
        <v>0.24862637362637363</v>
      </c>
    </row>
    <row r="108" spans="1:14">
      <c r="A108" s="3559"/>
      <c r="B108" s="3561"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0"/>
      <c r="B109" s="3562"/>
      <c r="C109" s="2299">
        <f>(-0.163*(C108^2)-0.59*C108+7617)*(10^(-4))/C101</f>
        <v>0.41851648351648352</v>
      </c>
      <c r="D109" s="2299">
        <f>(-0.163*(D108^2)-0.59*D108+7617)*(10^(-4))/D101</f>
        <v>0.41851648351648352</v>
      </c>
      <c r="E109" s="2299">
        <f>(-0.161*(E108^2)-7.509*E108+6533)*(10^(-4))/E101</f>
        <v>0.35895604395604391</v>
      </c>
      <c r="F109" s="2299">
        <f>(-0.161*(F108^2)-7.509*F108+6533)*(10^(-4))/F101</f>
        <v>0.35895604395604391</v>
      </c>
      <c r="G109" s="2299">
        <f>(-0.161*(G108^2)-7.509*G108+6533)*(10^(-4))/G101</f>
        <v>0.35895604395604391</v>
      </c>
      <c r="H109" s="2299">
        <f>(-0.161*(H108^2)-7.509*H108+6533)*(10^(-4))/H101</f>
        <v>0.35895604395604391</v>
      </c>
      <c r="I109" s="2299">
        <f>(-0.161*(I108^2)-7.509*I108+6533)*(10^(-4))/I101</f>
        <v>0.35895604395604391</v>
      </c>
      <c r="J109" s="2299">
        <f>(-0.214*(J108^2)-21.991*J108+4665)*(10^(-4))/J101</f>
        <v>0.25631868131868135</v>
      </c>
      <c r="K109" s="2299">
        <f>(-0.214*(K108^2)-21.991*K108+4665)*(10^(-4))/K101</f>
        <v>0.25631868131868135</v>
      </c>
      <c r="L109" s="2299">
        <f>(-0.214*(L108^2)-21.991*L108+4665)*(10^(-4))/L101</f>
        <v>0.25631868131868135</v>
      </c>
      <c r="M109" s="2299">
        <f>(-0.214*(M108^2)-21.991*M108+4665)*(10^(-4))/M101</f>
        <v>0.25631868131868135</v>
      </c>
      <c r="N109" s="2299">
        <f>(-0.214*(N108^2)-21.991*N108+4665)*(10^(-4))/N101</f>
        <v>0.25631868131868135</v>
      </c>
    </row>
    <row r="110" spans="1:14">
      <c r="A110" s="3556" t="s">
        <v>2558</v>
      </c>
      <c r="B110" s="3556"/>
      <c r="C110" s="3556"/>
      <c r="D110" s="3556"/>
      <c r="E110" s="3556"/>
      <c r="F110" s="3556"/>
      <c r="G110" s="3556"/>
      <c r="H110" s="3556"/>
      <c r="I110" s="3556"/>
      <c r="J110" s="3556"/>
      <c r="K110" s="2302"/>
      <c r="L110" s="2302"/>
      <c r="M110" s="2302"/>
      <c r="N110" s="2302"/>
    </row>
    <row r="112" spans="1:14" ht="13.5" thickBot="1"/>
    <row r="113" spans="1:13" ht="25.5" thickBot="1">
      <c r="A113" s="823" t="s">
        <v>2559</v>
      </c>
      <c r="B113" s="1177">
        <f>G3</f>
        <v>1.82</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0.91639999999999999</v>
      </c>
      <c r="C115" s="830">
        <f>B115</f>
        <v>0.91639999999999999</v>
      </c>
      <c r="D115" s="830">
        <f>ROUND(0.8331-0.0109*B113,4)</f>
        <v>0.81330000000000002</v>
      </c>
      <c r="E115" s="830">
        <f>D115</f>
        <v>0.81330000000000002</v>
      </c>
      <c r="F115" s="830">
        <f>E115</f>
        <v>0.81330000000000002</v>
      </c>
      <c r="G115" s="830">
        <f>F115</f>
        <v>0.81330000000000002</v>
      </c>
      <c r="H115" s="830">
        <f>G115</f>
        <v>0.81330000000000002</v>
      </c>
      <c r="I115" s="830">
        <f>ROUND(0.689-0.0155*B113,4)</f>
        <v>0.66080000000000005</v>
      </c>
      <c r="J115" s="830">
        <f t="shared" ref="J115:M118" si="33">I115</f>
        <v>0.66080000000000005</v>
      </c>
      <c r="K115" s="830">
        <f t="shared" si="33"/>
        <v>0.66080000000000005</v>
      </c>
      <c r="L115" s="830">
        <f t="shared" si="33"/>
        <v>0.66080000000000005</v>
      </c>
      <c r="M115" s="831">
        <f t="shared" si="33"/>
        <v>0.66080000000000005</v>
      </c>
    </row>
    <row r="116" spans="1:13">
      <c r="A116" s="829" t="s">
        <v>2459</v>
      </c>
      <c r="B116" s="830">
        <f>ROUND(0.949-0.012*B113,4)</f>
        <v>0.92720000000000002</v>
      </c>
      <c r="C116" s="830">
        <f>B116</f>
        <v>0.92720000000000002</v>
      </c>
      <c r="D116" s="830">
        <f>ROUND(0.8567-0.013*B113,4)</f>
        <v>0.83299999999999996</v>
      </c>
      <c r="E116" s="830">
        <f t="shared" ref="E116:H117" si="34">D116</f>
        <v>0.83299999999999996</v>
      </c>
      <c r="F116" s="830">
        <f t="shared" si="34"/>
        <v>0.83299999999999996</v>
      </c>
      <c r="G116" s="830">
        <f t="shared" si="34"/>
        <v>0.83299999999999996</v>
      </c>
      <c r="H116" s="830">
        <f t="shared" si="34"/>
        <v>0.83299999999999996</v>
      </c>
      <c r="I116" s="830">
        <f>ROUND(0.7694-0.014*B113,4)</f>
        <v>0.74390000000000001</v>
      </c>
      <c r="J116" s="830">
        <f t="shared" si="33"/>
        <v>0.74390000000000001</v>
      </c>
      <c r="K116" s="830">
        <f t="shared" si="33"/>
        <v>0.74390000000000001</v>
      </c>
      <c r="L116" s="830">
        <f t="shared" si="33"/>
        <v>0.74390000000000001</v>
      </c>
      <c r="M116" s="831">
        <f t="shared" si="33"/>
        <v>0.74390000000000001</v>
      </c>
    </row>
    <row r="117" spans="1:13">
      <c r="A117" s="829" t="s">
        <v>2460</v>
      </c>
      <c r="B117" s="830">
        <f>ROUND(0.8808-0.006*B113,4)</f>
        <v>0.86990000000000001</v>
      </c>
      <c r="C117" s="830">
        <f>B117</f>
        <v>0.86990000000000001</v>
      </c>
      <c r="D117" s="830">
        <f>ROUND(0.8748-0.008*B113,4)</f>
        <v>0.86019999999999996</v>
      </c>
      <c r="E117" s="830">
        <f t="shared" si="34"/>
        <v>0.86019999999999996</v>
      </c>
      <c r="F117" s="830">
        <f t="shared" si="34"/>
        <v>0.86019999999999996</v>
      </c>
      <c r="G117" s="830">
        <f t="shared" si="34"/>
        <v>0.86019999999999996</v>
      </c>
      <c r="H117" s="830">
        <f t="shared" si="34"/>
        <v>0.86019999999999996</v>
      </c>
      <c r="I117" s="830">
        <f>ROUND(0.7412-0.0095*B113,4)</f>
        <v>0.72389999999999999</v>
      </c>
      <c r="J117" s="830">
        <f t="shared" si="33"/>
        <v>0.72389999999999999</v>
      </c>
      <c r="K117" s="830">
        <f t="shared" si="33"/>
        <v>0.72389999999999999</v>
      </c>
      <c r="L117" s="830">
        <f t="shared" si="33"/>
        <v>0.72389999999999999</v>
      </c>
      <c r="M117" s="831">
        <f t="shared" si="33"/>
        <v>0.72389999999999999</v>
      </c>
    </row>
    <row r="118" spans="1:13" ht="13.5" thickBot="1">
      <c r="A118" s="669" t="s">
        <v>2461</v>
      </c>
      <c r="B118" s="832">
        <f>ROUND(0.7275-0.01*B113,4)</f>
        <v>0.70930000000000004</v>
      </c>
      <c r="C118" s="832">
        <f>B118</f>
        <v>0.70930000000000004</v>
      </c>
      <c r="D118" s="832">
        <f>ROUND(0.7043-0.012*B113,4)</f>
        <v>0.6825</v>
      </c>
      <c r="E118" s="832">
        <f>D118</f>
        <v>0.6825</v>
      </c>
      <c r="F118" s="832">
        <f>E118</f>
        <v>0.6825</v>
      </c>
      <c r="G118" s="832">
        <f>ROUND(0.6299-0.0122*B113,4)</f>
        <v>0.60770000000000002</v>
      </c>
      <c r="H118" s="832">
        <f>G118</f>
        <v>0.60770000000000002</v>
      </c>
      <c r="I118" s="832">
        <f>ROUND(0.5667-0.0136*B113,4)</f>
        <v>0.54190000000000005</v>
      </c>
      <c r="J118" s="832">
        <f t="shared" si="33"/>
        <v>0.54190000000000005</v>
      </c>
      <c r="K118" s="832">
        <f t="shared" si="33"/>
        <v>0.54190000000000005</v>
      </c>
      <c r="L118" s="832">
        <f t="shared" si="33"/>
        <v>0.54190000000000005</v>
      </c>
      <c r="M118" s="833">
        <f t="shared" si="33"/>
        <v>0.54190000000000005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86" t="s">
        <v>2954</v>
      </c>
      <c r="B20" s="3579" t="s">
        <v>2955</v>
      </c>
      <c r="C20" s="3212" t="s">
        <v>2956</v>
      </c>
      <c r="D20" s="3213"/>
      <c r="E20" s="3214">
        <v>1</v>
      </c>
      <c r="F20" s="3215" t="s">
        <v>2957</v>
      </c>
      <c r="G20" s="806"/>
      <c r="H20" s="800"/>
      <c r="I20" s="800"/>
    </row>
    <row r="21" spans="1:13" s="807" customFormat="1" ht="19.5" customHeight="1">
      <c r="A21" s="3587"/>
      <c r="B21" s="3580"/>
      <c r="C21" s="804" t="s">
        <v>2958</v>
      </c>
      <c r="D21" s="805"/>
      <c r="E21" s="3216">
        <v>1</v>
      </c>
      <c r="F21" s="3215" t="s">
        <v>2959</v>
      </c>
      <c r="G21" s="806"/>
      <c r="H21" s="800"/>
      <c r="I21" s="800"/>
    </row>
    <row r="22" spans="1:13" s="807" customFormat="1" ht="19.5" customHeight="1">
      <c r="A22" s="3587"/>
      <c r="B22" s="3580"/>
      <c r="C22" s="804" t="s">
        <v>2960</v>
      </c>
      <c r="D22" s="805"/>
      <c r="E22" s="3216">
        <v>0.9</v>
      </c>
      <c r="F22" s="3215" t="s">
        <v>2961</v>
      </c>
      <c r="G22" s="806"/>
      <c r="H22" s="800"/>
      <c r="I22" s="800"/>
    </row>
    <row r="23" spans="1:13" s="807" customFormat="1" ht="19.5" customHeight="1">
      <c r="A23" s="3587"/>
      <c r="B23" s="3580"/>
      <c r="C23" s="804" t="s">
        <v>2962</v>
      </c>
      <c r="D23" s="805"/>
      <c r="E23" s="3216">
        <v>0.9</v>
      </c>
      <c r="F23" s="3215" t="s">
        <v>2963</v>
      </c>
      <c r="G23" s="806"/>
      <c r="H23" s="800"/>
      <c r="I23" s="800"/>
    </row>
    <row r="24" spans="1:13" s="807" customFormat="1" ht="19.5" customHeight="1">
      <c r="A24" s="3587"/>
      <c r="B24" s="3580"/>
      <c r="C24" s="804" t="s">
        <v>2964</v>
      </c>
      <c r="D24" s="805"/>
      <c r="E24" s="3216">
        <v>0.8</v>
      </c>
      <c r="F24" s="3215" t="s">
        <v>2965</v>
      </c>
      <c r="G24" s="806"/>
      <c r="H24" s="800"/>
      <c r="I24" s="800"/>
    </row>
    <row r="25" spans="1:13" s="807" customFormat="1" ht="19.5" customHeight="1" thickBot="1">
      <c r="A25" s="3588"/>
      <c r="B25" s="3581"/>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82" t="s">
        <v>2971</v>
      </c>
      <c r="B27" s="3579" t="s">
        <v>2971</v>
      </c>
      <c r="C27" s="3212" t="s">
        <v>2972</v>
      </c>
      <c r="D27" s="3213"/>
      <c r="E27" s="3214">
        <v>1</v>
      </c>
      <c r="F27" s="3215" t="s">
        <v>2973</v>
      </c>
      <c r="G27" s="806"/>
      <c r="H27" s="800"/>
      <c r="I27" s="800"/>
    </row>
    <row r="28" spans="1:13" s="807" customFormat="1" ht="19.5" customHeight="1">
      <c r="A28" s="3583"/>
      <c r="B28" s="3580"/>
      <c r="C28" s="804" t="s">
        <v>2974</v>
      </c>
      <c r="D28" s="805"/>
      <c r="E28" s="3216">
        <v>1</v>
      </c>
      <c r="F28" s="3215" t="s">
        <v>2975</v>
      </c>
      <c r="G28" s="806"/>
      <c r="H28" s="800"/>
      <c r="I28" s="800"/>
    </row>
    <row r="29" spans="1:13" s="807" customFormat="1" ht="19.5" customHeight="1">
      <c r="A29" s="3583"/>
      <c r="B29" s="3580"/>
      <c r="C29" s="804" t="s">
        <v>2976</v>
      </c>
      <c r="D29" s="805"/>
      <c r="E29" s="3216">
        <v>0.8</v>
      </c>
      <c r="F29" s="3215" t="s">
        <v>2977</v>
      </c>
      <c r="G29" s="806"/>
      <c r="H29" s="800"/>
      <c r="I29" s="800"/>
    </row>
    <row r="30" spans="1:13" s="807" customFormat="1" ht="19.5" customHeight="1">
      <c r="A30" s="3583"/>
      <c r="B30" s="3580"/>
      <c r="C30" s="804" t="s">
        <v>2978</v>
      </c>
      <c r="D30" s="805"/>
      <c r="E30" s="3216">
        <v>0.8</v>
      </c>
      <c r="F30" s="3215" t="s">
        <v>2979</v>
      </c>
      <c r="G30" s="806"/>
      <c r="H30" s="800"/>
      <c r="I30" s="800"/>
    </row>
    <row r="31" spans="1:13" s="807" customFormat="1" ht="19.5" customHeight="1">
      <c r="A31" s="3583"/>
      <c r="B31" s="3580"/>
      <c r="C31" s="804" t="s">
        <v>2980</v>
      </c>
      <c r="D31" s="805"/>
      <c r="E31" s="3216">
        <v>0.8</v>
      </c>
      <c r="F31" s="3215" t="s">
        <v>2981</v>
      </c>
      <c r="G31" s="806"/>
      <c r="H31" s="800"/>
      <c r="I31" s="800"/>
    </row>
    <row r="32" spans="1:13" s="807" customFormat="1" ht="19.5" customHeight="1">
      <c r="A32" s="3583"/>
      <c r="B32" s="3580"/>
      <c r="C32" s="804" t="s">
        <v>2982</v>
      </c>
      <c r="D32" s="805"/>
      <c r="E32" s="3216">
        <v>0.7</v>
      </c>
      <c r="F32" s="3215" t="s">
        <v>2983</v>
      </c>
      <c r="G32" s="806"/>
      <c r="H32" s="800"/>
      <c r="I32" s="800"/>
    </row>
    <row r="33" spans="1:9" s="807" customFormat="1" ht="19.5" customHeight="1">
      <c r="A33" s="3583"/>
      <c r="B33" s="3580"/>
      <c r="C33" s="804" t="s">
        <v>2984</v>
      </c>
      <c r="D33" s="805"/>
      <c r="E33" s="3216">
        <v>0.8</v>
      </c>
      <c r="F33" s="3215" t="s">
        <v>2985</v>
      </c>
      <c r="G33" s="806"/>
      <c r="H33" s="800"/>
      <c r="I33" s="800"/>
    </row>
    <row r="34" spans="1:9" s="807" customFormat="1" ht="19.5" customHeight="1">
      <c r="A34" s="3583"/>
      <c r="B34" s="3580"/>
      <c r="C34" s="804" t="s">
        <v>2986</v>
      </c>
      <c r="D34" s="805"/>
      <c r="E34" s="3216">
        <v>0.6</v>
      </c>
      <c r="F34" s="3215" t="s">
        <v>2987</v>
      </c>
      <c r="G34" s="806"/>
      <c r="H34" s="800"/>
      <c r="I34" s="800"/>
    </row>
    <row r="35" spans="1:9" s="807" customFormat="1" ht="19.5" customHeight="1">
      <c r="A35" s="3583"/>
      <c r="B35" s="3580"/>
      <c r="C35" s="804" t="s">
        <v>2988</v>
      </c>
      <c r="D35" s="805"/>
      <c r="E35" s="3216">
        <v>0.2</v>
      </c>
      <c r="F35" s="3215" t="s">
        <v>2989</v>
      </c>
      <c r="G35" s="806"/>
      <c r="H35" s="800"/>
      <c r="I35" s="800"/>
    </row>
    <row r="36" spans="1:9" s="807" customFormat="1" ht="19.5" customHeight="1">
      <c r="A36" s="3583"/>
      <c r="B36" s="3580"/>
      <c r="C36" s="804" t="s">
        <v>2990</v>
      </c>
      <c r="D36" s="805"/>
      <c r="E36" s="3216">
        <v>0.2</v>
      </c>
      <c r="F36" s="3215" t="s">
        <v>2991</v>
      </c>
      <c r="G36" s="806"/>
      <c r="H36" s="800"/>
      <c r="I36" s="800"/>
    </row>
    <row r="37" spans="1:9" s="807" customFormat="1" ht="19.5" customHeight="1">
      <c r="A37" s="3583"/>
      <c r="B37" s="3585" t="s">
        <v>2992</v>
      </c>
      <c r="C37" s="804" t="s">
        <v>2993</v>
      </c>
      <c r="D37" s="805"/>
      <c r="E37" s="3216">
        <v>0.6</v>
      </c>
      <c r="F37" s="3215" t="s">
        <v>2994</v>
      </c>
      <c r="G37" s="806"/>
      <c r="H37" s="800"/>
      <c r="I37" s="800"/>
    </row>
    <row r="38" spans="1:9" s="807" customFormat="1" ht="19.5" customHeight="1">
      <c r="A38" s="3583"/>
      <c r="B38" s="3580"/>
      <c r="C38" s="804" t="s">
        <v>2995</v>
      </c>
      <c r="D38" s="805"/>
      <c r="E38" s="3216">
        <v>0.6</v>
      </c>
      <c r="F38" s="3215" t="s">
        <v>2996</v>
      </c>
      <c r="G38" s="806"/>
      <c r="H38" s="800"/>
      <c r="I38" s="800"/>
    </row>
    <row r="39" spans="1:9" s="807" customFormat="1" ht="19.5" customHeight="1" thickBot="1">
      <c r="A39" s="3584"/>
      <c r="B39" s="3581"/>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86" t="s">
        <v>3002</v>
      </c>
      <c r="B41" s="3579" t="s">
        <v>3003</v>
      </c>
      <c r="C41" s="3212" t="s">
        <v>3004</v>
      </c>
      <c r="D41" s="3213"/>
      <c r="E41" s="3214">
        <v>1</v>
      </c>
      <c r="F41" s="3215" t="s">
        <v>3005</v>
      </c>
      <c r="G41" s="806"/>
      <c r="H41" s="800"/>
      <c r="I41" s="800"/>
    </row>
    <row r="42" spans="1:9" s="807" customFormat="1" ht="19.5" customHeight="1">
      <c r="A42" s="3587"/>
      <c r="B42" s="3580"/>
      <c r="C42" s="804" t="s">
        <v>3006</v>
      </c>
      <c r="D42" s="805"/>
      <c r="E42" s="3216">
        <v>1</v>
      </c>
      <c r="F42" s="3215" t="s">
        <v>3007</v>
      </c>
      <c r="G42" s="806"/>
      <c r="H42" s="800"/>
      <c r="I42" s="800"/>
    </row>
    <row r="43" spans="1:9" s="807" customFormat="1" ht="19.5" customHeight="1">
      <c r="A43" s="3587"/>
      <c r="B43" s="3589"/>
      <c r="C43" s="804" t="s">
        <v>3008</v>
      </c>
      <c r="D43" s="805"/>
      <c r="E43" s="3216">
        <v>1.5</v>
      </c>
      <c r="F43" s="3215" t="s">
        <v>3009</v>
      </c>
      <c r="G43" s="806"/>
      <c r="H43" s="800"/>
      <c r="I43" s="800"/>
    </row>
    <row r="44" spans="1:9" s="807" customFormat="1" ht="19.5" customHeight="1">
      <c r="A44" s="3587"/>
      <c r="B44" s="3225" t="s">
        <v>2971</v>
      </c>
      <c r="C44" s="804" t="s">
        <v>3010</v>
      </c>
      <c r="D44" s="805"/>
      <c r="E44" s="3216">
        <v>2</v>
      </c>
      <c r="F44" s="3215" t="s">
        <v>3011</v>
      </c>
      <c r="G44" s="806"/>
      <c r="H44" s="800"/>
      <c r="I44" s="800"/>
    </row>
    <row r="45" spans="1:9" s="807" customFormat="1" ht="19.5" customHeight="1">
      <c r="A45" s="3587"/>
      <c r="B45" s="3585" t="s">
        <v>3012</v>
      </c>
      <c r="C45" s="804" t="s">
        <v>3013</v>
      </c>
      <c r="D45" s="805"/>
      <c r="E45" s="3216">
        <v>1</v>
      </c>
      <c r="F45" s="3215" t="s">
        <v>3014</v>
      </c>
      <c r="G45" s="806"/>
      <c r="H45" s="800"/>
      <c r="I45" s="800"/>
    </row>
    <row r="46" spans="1:9" s="807" customFormat="1" ht="19.5" customHeight="1">
      <c r="A46" s="3587"/>
      <c r="B46" s="3580"/>
      <c r="C46" s="804" t="s">
        <v>3015</v>
      </c>
      <c r="D46" s="805"/>
      <c r="E46" s="3216">
        <v>1</v>
      </c>
      <c r="F46" s="3215" t="s">
        <v>3016</v>
      </c>
      <c r="G46" s="806"/>
      <c r="H46" s="800"/>
      <c r="I46" s="800"/>
    </row>
    <row r="47" spans="1:9" s="807" customFormat="1" ht="19.5" customHeight="1">
      <c r="A47" s="3587"/>
      <c r="B47" s="3580"/>
      <c r="C47" s="804" t="s">
        <v>3017</v>
      </c>
      <c r="D47" s="805"/>
      <c r="E47" s="3216">
        <v>1</v>
      </c>
      <c r="F47" s="3215" t="s">
        <v>3018</v>
      </c>
      <c r="G47" s="806"/>
      <c r="H47" s="800"/>
      <c r="I47" s="800"/>
    </row>
    <row r="48" spans="1:9" s="807" customFormat="1" ht="19.5" customHeight="1">
      <c r="A48" s="3587"/>
      <c r="B48" s="3580"/>
      <c r="C48" s="804" t="s">
        <v>3019</v>
      </c>
      <c r="D48" s="805"/>
      <c r="E48" s="3216">
        <v>1</v>
      </c>
      <c r="F48" s="3215" t="s">
        <v>3020</v>
      </c>
      <c r="G48" s="806"/>
      <c r="H48" s="800"/>
      <c r="I48" s="800"/>
    </row>
    <row r="49" spans="1:9" s="807" customFormat="1" ht="19.5" customHeight="1">
      <c r="A49" s="3587"/>
      <c r="B49" s="3580"/>
      <c r="C49" s="804" t="s">
        <v>3021</v>
      </c>
      <c r="D49" s="805"/>
      <c r="E49" s="3216">
        <v>1</v>
      </c>
      <c r="F49" s="3215" t="s">
        <v>3022</v>
      </c>
      <c r="G49" s="806"/>
      <c r="H49" s="800"/>
      <c r="I49" s="800"/>
    </row>
    <row r="50" spans="1:9" s="807" customFormat="1" ht="19.5" customHeight="1">
      <c r="A50" s="3587"/>
      <c r="B50" s="3580"/>
      <c r="C50" s="804" t="s">
        <v>3023</v>
      </c>
      <c r="D50" s="805"/>
      <c r="E50" s="3216">
        <v>1</v>
      </c>
      <c r="F50" s="3215" t="s">
        <v>3024</v>
      </c>
      <c r="G50" s="806"/>
      <c r="H50" s="800"/>
      <c r="I50" s="800"/>
    </row>
    <row r="51" spans="1:9" s="807" customFormat="1" ht="19.5" customHeight="1" thickBot="1">
      <c r="A51" s="3588"/>
      <c r="B51" s="3581"/>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85" t="s">
        <v>3028</v>
      </c>
      <c r="C73" s="3205" t="s">
        <v>3029</v>
      </c>
      <c r="D73" s="3205" t="s">
        <v>3030</v>
      </c>
      <c r="E73" s="3226">
        <v>0.2</v>
      </c>
      <c r="F73" s="3225">
        <v>25</v>
      </c>
    </row>
    <row r="74" spans="1:7" s="800" customFormat="1" ht="24">
      <c r="A74" s="3225">
        <v>2</v>
      </c>
      <c r="B74" s="3580"/>
      <c r="C74" s="3205" t="s">
        <v>3031</v>
      </c>
      <c r="D74" s="3205" t="s">
        <v>3032</v>
      </c>
      <c r="E74" s="3226">
        <v>0.2</v>
      </c>
      <c r="F74" s="3225">
        <v>25</v>
      </c>
    </row>
    <row r="75" spans="1:7" s="800" customFormat="1" ht="24">
      <c r="A75" s="3225">
        <v>3</v>
      </c>
      <c r="B75" s="3580"/>
      <c r="C75" s="3205" t="s">
        <v>3033</v>
      </c>
      <c r="D75" s="3205" t="s">
        <v>3034</v>
      </c>
      <c r="E75" s="3226">
        <v>0.2</v>
      </c>
      <c r="F75" s="3225">
        <v>25</v>
      </c>
    </row>
    <row r="76" spans="1:7" s="800" customFormat="1" ht="13.5">
      <c r="A76" s="3225">
        <v>4</v>
      </c>
      <c r="B76" s="3580"/>
      <c r="C76" s="3205" t="s">
        <v>3035</v>
      </c>
      <c r="D76" s="3205" t="s">
        <v>3036</v>
      </c>
      <c r="E76" s="3226">
        <v>0.15</v>
      </c>
      <c r="F76" s="3225">
        <v>20</v>
      </c>
    </row>
    <row r="77" spans="1:7" s="800" customFormat="1" ht="24">
      <c r="A77" s="3225">
        <v>5</v>
      </c>
      <c r="B77" s="3580"/>
      <c r="C77" s="3205" t="s">
        <v>3037</v>
      </c>
      <c r="D77" s="3205" t="s">
        <v>3038</v>
      </c>
      <c r="E77" s="3226">
        <v>0.15</v>
      </c>
      <c r="F77" s="3225">
        <v>20</v>
      </c>
    </row>
    <row r="78" spans="1:7" s="800" customFormat="1" ht="24">
      <c r="A78" s="3225">
        <v>6</v>
      </c>
      <c r="B78" s="3580"/>
      <c r="C78" s="3205" t="s">
        <v>3039</v>
      </c>
      <c r="D78" s="3205" t="s">
        <v>3040</v>
      </c>
      <c r="E78" s="3226">
        <v>0.15</v>
      </c>
      <c r="F78" s="3225">
        <v>20</v>
      </c>
    </row>
    <row r="79" spans="1:7" s="800" customFormat="1" ht="24">
      <c r="A79" s="3225">
        <v>7</v>
      </c>
      <c r="B79" s="3580"/>
      <c r="C79" s="3205" t="s">
        <v>3041</v>
      </c>
      <c r="D79" s="3205" t="s">
        <v>3042</v>
      </c>
      <c r="E79" s="3226">
        <v>0.15</v>
      </c>
      <c r="F79" s="3225">
        <v>20</v>
      </c>
    </row>
    <row r="80" spans="1:7" s="800" customFormat="1" ht="24">
      <c r="A80" s="3225">
        <v>8</v>
      </c>
      <c r="B80" s="3580"/>
      <c r="C80" s="3205" t="s">
        <v>3043</v>
      </c>
      <c r="D80" s="3205" t="s">
        <v>3044</v>
      </c>
      <c r="E80" s="3226">
        <v>0.1</v>
      </c>
      <c r="F80" s="3225">
        <v>15</v>
      </c>
    </row>
    <row r="81" spans="1:6" s="800" customFormat="1" ht="24">
      <c r="A81" s="3225">
        <v>9</v>
      </c>
      <c r="B81" s="3580"/>
      <c r="C81" s="3205" t="s">
        <v>3045</v>
      </c>
      <c r="D81" s="3205" t="s">
        <v>3046</v>
      </c>
      <c r="E81" s="3226">
        <v>0.1</v>
      </c>
      <c r="F81" s="3225">
        <v>15</v>
      </c>
    </row>
    <row r="82" spans="1:6" s="800" customFormat="1" ht="24">
      <c r="A82" s="3225">
        <v>10</v>
      </c>
      <c r="B82" s="3580"/>
      <c r="C82" s="3205" t="s">
        <v>3047</v>
      </c>
      <c r="D82" s="3205" t="s">
        <v>3048</v>
      </c>
      <c r="E82" s="3226">
        <v>0.1</v>
      </c>
      <c r="F82" s="3225">
        <v>15</v>
      </c>
    </row>
    <row r="83" spans="1:6" s="800" customFormat="1" ht="24">
      <c r="A83" s="3225">
        <v>11</v>
      </c>
      <c r="B83" s="3580"/>
      <c r="C83" s="3205" t="s">
        <v>3049</v>
      </c>
      <c r="D83" s="3205" t="s">
        <v>3050</v>
      </c>
      <c r="E83" s="3226">
        <v>0.1</v>
      </c>
      <c r="F83" s="3225">
        <v>15</v>
      </c>
    </row>
    <row r="84" spans="1:6" s="800" customFormat="1" ht="24">
      <c r="A84" s="3225">
        <v>12</v>
      </c>
      <c r="B84" s="3580"/>
      <c r="C84" s="3205" t="s">
        <v>3051</v>
      </c>
      <c r="D84" s="3205" t="s">
        <v>3052</v>
      </c>
      <c r="E84" s="3226">
        <v>0.1</v>
      </c>
      <c r="F84" s="3225">
        <v>15</v>
      </c>
    </row>
    <row r="85" spans="1:6" s="800" customFormat="1" ht="13.5">
      <c r="A85" s="3225">
        <v>13</v>
      </c>
      <c r="B85" s="3580"/>
      <c r="C85" s="3205" t="s">
        <v>3053</v>
      </c>
      <c r="D85" s="3205" t="s">
        <v>3054</v>
      </c>
      <c r="E85" s="3226">
        <v>0.1</v>
      </c>
      <c r="F85" s="3225">
        <v>15</v>
      </c>
    </row>
    <row r="86" spans="1:6" s="800" customFormat="1" ht="13.5">
      <c r="A86" s="3225">
        <v>14</v>
      </c>
      <c r="B86" s="3580"/>
      <c r="C86" s="3205" t="s">
        <v>3055</v>
      </c>
      <c r="D86" s="3205" t="s">
        <v>3056</v>
      </c>
      <c r="E86" s="3226">
        <v>0.1</v>
      </c>
      <c r="F86" s="3225">
        <v>15</v>
      </c>
    </row>
    <row r="87" spans="1:6" s="800" customFormat="1" ht="13.5">
      <c r="A87" s="3225">
        <v>15</v>
      </c>
      <c r="B87" s="3580"/>
      <c r="C87" s="3205" t="s">
        <v>3057</v>
      </c>
      <c r="D87" s="3205" t="s">
        <v>3058</v>
      </c>
      <c r="E87" s="3226">
        <v>0.1</v>
      </c>
      <c r="F87" s="3225">
        <v>15</v>
      </c>
    </row>
    <row r="88" spans="1:6" s="800" customFormat="1" ht="24">
      <c r="A88" s="3225">
        <v>16</v>
      </c>
      <c r="B88" s="3580"/>
      <c r="C88" s="3205" t="s">
        <v>3059</v>
      </c>
      <c r="D88" s="3205" t="s">
        <v>3060</v>
      </c>
      <c r="E88" s="3226">
        <v>0.1</v>
      </c>
      <c r="F88" s="3225">
        <v>15</v>
      </c>
    </row>
    <row r="89" spans="1:6" s="800" customFormat="1" ht="24">
      <c r="A89" s="3225">
        <v>17</v>
      </c>
      <c r="B89" s="3589"/>
      <c r="C89" s="3205" t="s">
        <v>3061</v>
      </c>
      <c r="D89" s="3205" t="s">
        <v>3062</v>
      </c>
      <c r="E89" s="3226">
        <v>0.1</v>
      </c>
      <c r="F89" s="3225">
        <v>15</v>
      </c>
    </row>
    <row r="90" spans="1:6" s="800" customFormat="1" ht="13.5">
      <c r="A90" s="3225">
        <v>18</v>
      </c>
      <c r="B90" s="3585" t="s">
        <v>3063</v>
      </c>
      <c r="C90" s="3205" t="s">
        <v>3064</v>
      </c>
      <c r="D90" s="3205" t="s">
        <v>3065</v>
      </c>
      <c r="E90" s="3226">
        <v>0.2</v>
      </c>
      <c r="F90" s="3225">
        <v>25</v>
      </c>
    </row>
    <row r="91" spans="1:6" s="800" customFormat="1" ht="24">
      <c r="A91" s="3225">
        <v>19</v>
      </c>
      <c r="B91" s="3580"/>
      <c r="C91" s="3205" t="s">
        <v>3066</v>
      </c>
      <c r="D91" s="3205" t="s">
        <v>3067</v>
      </c>
      <c r="E91" s="3226">
        <v>0.2</v>
      </c>
      <c r="F91" s="3225">
        <v>25</v>
      </c>
    </row>
    <row r="92" spans="1:6" s="800" customFormat="1" ht="13.5">
      <c r="A92" s="3225">
        <v>20</v>
      </c>
      <c r="B92" s="3580"/>
      <c r="C92" s="3205" t="s">
        <v>3068</v>
      </c>
      <c r="D92" s="3205" t="s">
        <v>3069</v>
      </c>
      <c r="E92" s="3226">
        <v>0.15</v>
      </c>
      <c r="F92" s="3225">
        <v>20</v>
      </c>
    </row>
    <row r="93" spans="1:6" s="800" customFormat="1" ht="24">
      <c r="A93" s="3225">
        <v>21</v>
      </c>
      <c r="B93" s="3580"/>
      <c r="C93" s="3205" t="s">
        <v>3070</v>
      </c>
      <c r="D93" s="3205" t="s">
        <v>3071</v>
      </c>
      <c r="E93" s="3226">
        <v>0.15</v>
      </c>
      <c r="F93" s="3225">
        <v>20</v>
      </c>
    </row>
    <row r="94" spans="1:6" s="800" customFormat="1" ht="24">
      <c r="A94" s="3225">
        <v>22</v>
      </c>
      <c r="B94" s="3580"/>
      <c r="C94" s="3205" t="s">
        <v>3072</v>
      </c>
      <c r="D94" s="3205" t="s">
        <v>3073</v>
      </c>
      <c r="E94" s="3226">
        <v>0.15</v>
      </c>
      <c r="F94" s="3225">
        <v>20</v>
      </c>
    </row>
    <row r="95" spans="1:6" s="800" customFormat="1" ht="36">
      <c r="A95" s="3225">
        <v>23</v>
      </c>
      <c r="B95" s="3580"/>
      <c r="C95" s="3205" t="s">
        <v>3074</v>
      </c>
      <c r="D95" s="3205" t="s">
        <v>3075</v>
      </c>
      <c r="E95" s="3226">
        <v>0.15</v>
      </c>
      <c r="F95" s="3225">
        <v>20</v>
      </c>
    </row>
    <row r="96" spans="1:6" s="800" customFormat="1" ht="13.5">
      <c r="A96" s="3225">
        <v>24</v>
      </c>
      <c r="B96" s="3580"/>
      <c r="C96" s="3205" t="s">
        <v>3076</v>
      </c>
      <c r="D96" s="3205" t="s">
        <v>3077</v>
      </c>
      <c r="E96" s="3226">
        <v>0.1</v>
      </c>
      <c r="F96" s="3225">
        <v>15</v>
      </c>
    </row>
    <row r="97" spans="1:6" s="800" customFormat="1" ht="24">
      <c r="A97" s="3225">
        <v>25</v>
      </c>
      <c r="B97" s="3580"/>
      <c r="C97" s="3205" t="s">
        <v>3078</v>
      </c>
      <c r="D97" s="3205" t="s">
        <v>3079</v>
      </c>
      <c r="E97" s="3226">
        <v>0.1</v>
      </c>
      <c r="F97" s="3225">
        <v>15</v>
      </c>
    </row>
    <row r="98" spans="1:6" s="800" customFormat="1" ht="24">
      <c r="A98" s="3225">
        <v>26</v>
      </c>
      <c r="B98" s="3580"/>
      <c r="C98" s="3205" t="s">
        <v>3080</v>
      </c>
      <c r="D98" s="3205" t="s">
        <v>3081</v>
      </c>
      <c r="E98" s="3226">
        <v>0.1</v>
      </c>
      <c r="F98" s="3225">
        <v>15</v>
      </c>
    </row>
    <row r="99" spans="1:6" s="800" customFormat="1" ht="24">
      <c r="A99" s="3225">
        <v>27</v>
      </c>
      <c r="B99" s="3580"/>
      <c r="C99" s="3205" t="s">
        <v>3082</v>
      </c>
      <c r="D99" s="3205" t="s">
        <v>3083</v>
      </c>
      <c r="E99" s="3226">
        <v>0.1</v>
      </c>
      <c r="F99" s="3225">
        <v>15</v>
      </c>
    </row>
    <row r="100" spans="1:6" s="800" customFormat="1" ht="24">
      <c r="A100" s="3225">
        <v>28</v>
      </c>
      <c r="B100" s="3580"/>
      <c r="C100" s="3205" t="s">
        <v>3084</v>
      </c>
      <c r="D100" s="3205" t="s">
        <v>3085</v>
      </c>
      <c r="E100" s="3226">
        <v>0.1</v>
      </c>
      <c r="F100" s="3225">
        <v>15</v>
      </c>
    </row>
    <row r="101" spans="1:6" s="800" customFormat="1" ht="24">
      <c r="A101" s="3225">
        <v>29</v>
      </c>
      <c r="B101" s="3580"/>
      <c r="C101" s="3205" t="s">
        <v>3086</v>
      </c>
      <c r="D101" s="3205" t="s">
        <v>3087</v>
      </c>
      <c r="E101" s="3226">
        <v>0.1</v>
      </c>
      <c r="F101" s="3225">
        <v>15</v>
      </c>
    </row>
    <row r="102" spans="1:6" s="800" customFormat="1" ht="24">
      <c r="A102" s="3225">
        <v>30</v>
      </c>
      <c r="B102" s="3580"/>
      <c r="C102" s="3205" t="s">
        <v>3088</v>
      </c>
      <c r="D102" s="3205" t="s">
        <v>3089</v>
      </c>
      <c r="E102" s="3226">
        <v>0.1</v>
      </c>
      <c r="F102" s="3225">
        <v>15</v>
      </c>
    </row>
    <row r="103" spans="1:6" s="800" customFormat="1" ht="24">
      <c r="A103" s="3225">
        <v>31</v>
      </c>
      <c r="B103" s="3580"/>
      <c r="C103" s="3205" t="s">
        <v>3090</v>
      </c>
      <c r="D103" s="3205" t="s">
        <v>3091</v>
      </c>
      <c r="E103" s="3226">
        <v>0.1</v>
      </c>
      <c r="F103" s="3225">
        <v>15</v>
      </c>
    </row>
    <row r="104" spans="1:6" s="800" customFormat="1" ht="24">
      <c r="A104" s="3225">
        <v>32</v>
      </c>
      <c r="B104" s="3580"/>
      <c r="C104" s="3205" t="s">
        <v>3092</v>
      </c>
      <c r="D104" s="3205" t="s">
        <v>3093</v>
      </c>
      <c r="E104" s="3226">
        <v>0.1</v>
      </c>
      <c r="F104" s="3225">
        <v>15</v>
      </c>
    </row>
    <row r="105" spans="1:6" s="800" customFormat="1" ht="24">
      <c r="A105" s="3225">
        <v>33</v>
      </c>
      <c r="B105" s="3580"/>
      <c r="C105" s="3205" t="s">
        <v>3094</v>
      </c>
      <c r="D105" s="3205" t="s">
        <v>3095</v>
      </c>
      <c r="E105" s="3226">
        <v>0.1</v>
      </c>
      <c r="F105" s="3225">
        <v>15</v>
      </c>
    </row>
    <row r="106" spans="1:6" s="800" customFormat="1" ht="24">
      <c r="A106" s="3225">
        <v>34</v>
      </c>
      <c r="B106" s="3589"/>
      <c r="C106" s="3205" t="s">
        <v>3096</v>
      </c>
      <c r="D106" s="3205" t="s">
        <v>3097</v>
      </c>
      <c r="E106" s="3226">
        <v>0.1</v>
      </c>
      <c r="F106" s="3225">
        <v>15</v>
      </c>
    </row>
    <row r="107" spans="1:6" s="800" customFormat="1" ht="24">
      <c r="A107" s="3225">
        <v>35</v>
      </c>
      <c r="B107" s="3585" t="s">
        <v>3098</v>
      </c>
      <c r="C107" s="3225" t="s">
        <v>3099</v>
      </c>
      <c r="D107" s="3205" t="s">
        <v>3100</v>
      </c>
      <c r="E107" s="3226">
        <v>0.15</v>
      </c>
      <c r="F107" s="3225">
        <v>20</v>
      </c>
    </row>
    <row r="108" spans="1:6" s="800" customFormat="1" ht="24">
      <c r="A108" s="3225">
        <v>36</v>
      </c>
      <c r="B108" s="3580"/>
      <c r="C108" s="3225" t="s">
        <v>3101</v>
      </c>
      <c r="D108" s="3205" t="s">
        <v>3102</v>
      </c>
      <c r="E108" s="3226">
        <v>0.15</v>
      </c>
      <c r="F108" s="3225">
        <v>20</v>
      </c>
    </row>
    <row r="109" spans="1:6" s="800" customFormat="1" ht="24">
      <c r="A109" s="3225">
        <v>37</v>
      </c>
      <c r="B109" s="3580"/>
      <c r="C109" s="3225" t="s">
        <v>3103</v>
      </c>
      <c r="D109" s="3205" t="s">
        <v>3104</v>
      </c>
      <c r="E109" s="3226">
        <v>0.15</v>
      </c>
      <c r="F109" s="3225">
        <v>20</v>
      </c>
    </row>
    <row r="110" spans="1:6" s="800" customFormat="1" ht="13.5">
      <c r="A110" s="3225">
        <v>38</v>
      </c>
      <c r="B110" s="3580"/>
      <c r="C110" s="3225" t="s">
        <v>3105</v>
      </c>
      <c r="D110" s="3205" t="s">
        <v>3106</v>
      </c>
      <c r="E110" s="3226">
        <v>0.1</v>
      </c>
      <c r="F110" s="3225">
        <v>15</v>
      </c>
    </row>
    <row r="111" spans="1:6" s="800" customFormat="1" ht="24">
      <c r="A111" s="3225">
        <v>39</v>
      </c>
      <c r="B111" s="3580"/>
      <c r="C111" s="3225" t="s">
        <v>3107</v>
      </c>
      <c r="D111" s="3205" t="s">
        <v>3108</v>
      </c>
      <c r="E111" s="3226">
        <v>0.1</v>
      </c>
      <c r="F111" s="3225">
        <v>15</v>
      </c>
    </row>
    <row r="112" spans="1:6" s="800" customFormat="1" ht="24">
      <c r="A112" s="3225">
        <v>40</v>
      </c>
      <c r="B112" s="3589"/>
      <c r="C112" s="3225" t="s">
        <v>3109</v>
      </c>
      <c r="D112" s="3205" t="s">
        <v>3110</v>
      </c>
      <c r="E112" s="3226">
        <v>0.1</v>
      </c>
      <c r="F112" s="3225">
        <v>15</v>
      </c>
    </row>
    <row r="113" spans="1:6" s="800" customFormat="1" ht="24">
      <c r="A113" s="3225">
        <v>41</v>
      </c>
      <c r="B113" s="3590" t="s">
        <v>3111</v>
      </c>
      <c r="C113" s="3225" t="s">
        <v>3112</v>
      </c>
      <c r="D113" s="3205" t="s">
        <v>3113</v>
      </c>
      <c r="E113" s="3226">
        <v>0.1</v>
      </c>
      <c r="F113" s="3225">
        <v>15</v>
      </c>
    </row>
    <row r="114" spans="1:6" s="800" customFormat="1" ht="13.5">
      <c r="A114" s="3225">
        <v>42</v>
      </c>
      <c r="B114" s="3590"/>
      <c r="C114" s="3225" t="s">
        <v>3114</v>
      </c>
      <c r="D114" s="3205" t="s">
        <v>3115</v>
      </c>
      <c r="E114" s="3226">
        <v>0.1</v>
      </c>
      <c r="F114" s="3225">
        <v>15</v>
      </c>
    </row>
    <row r="115" spans="1:6" s="800" customFormat="1" ht="24">
      <c r="A115" s="3225">
        <v>43</v>
      </c>
      <c r="B115" s="3590"/>
      <c r="C115" s="3225" t="s">
        <v>3116</v>
      </c>
      <c r="D115" s="3205" t="s">
        <v>3117</v>
      </c>
      <c r="E115" s="3226">
        <v>0.1</v>
      </c>
      <c r="F115" s="3225">
        <v>15</v>
      </c>
    </row>
    <row r="116" spans="1:6" s="800" customFormat="1" ht="24">
      <c r="A116" s="3225">
        <v>44</v>
      </c>
      <c r="B116" s="3585" t="s">
        <v>3118</v>
      </c>
      <c r="C116" s="3225" t="s">
        <v>3119</v>
      </c>
      <c r="D116" s="3205" t="s">
        <v>3120</v>
      </c>
      <c r="E116" s="3226">
        <v>0.1</v>
      </c>
      <c r="F116" s="3225">
        <v>15</v>
      </c>
    </row>
    <row r="117" spans="1:6" s="800" customFormat="1" ht="24">
      <c r="A117" s="3225">
        <v>45</v>
      </c>
      <c r="B117" s="3589"/>
      <c r="C117" s="3205" t="s">
        <v>3121</v>
      </c>
      <c r="D117" s="3205" t="s">
        <v>3122</v>
      </c>
      <c r="E117" s="3226">
        <v>0.1</v>
      </c>
      <c r="F117" s="3225">
        <v>15</v>
      </c>
    </row>
    <row r="118" spans="1:6" s="800" customFormat="1" ht="24">
      <c r="A118" s="3225">
        <v>46</v>
      </c>
      <c r="B118" s="3585" t="s">
        <v>3123</v>
      </c>
      <c r="C118" s="3225" t="s">
        <v>3124</v>
      </c>
      <c r="D118" s="3205" t="s">
        <v>3125</v>
      </c>
      <c r="E118" s="3226">
        <v>0.1</v>
      </c>
      <c r="F118" s="3225">
        <v>15</v>
      </c>
    </row>
    <row r="119" spans="1:6" s="800" customFormat="1" ht="24">
      <c r="A119" s="3225">
        <v>47</v>
      </c>
      <c r="B119" s="3589"/>
      <c r="C119" s="3225" t="s">
        <v>3126</v>
      </c>
      <c r="D119" s="3205" t="s">
        <v>3127</v>
      </c>
      <c r="E119" s="3226">
        <v>0.1</v>
      </c>
      <c r="F119" s="3225">
        <v>15</v>
      </c>
    </row>
    <row r="120" spans="1:6" s="800" customFormat="1" ht="24">
      <c r="A120" s="3225">
        <v>48</v>
      </c>
      <c r="B120" s="3585" t="s">
        <v>3128</v>
      </c>
      <c r="C120" s="3225" t="s">
        <v>3129</v>
      </c>
      <c r="D120" s="3205" t="s">
        <v>3130</v>
      </c>
      <c r="E120" s="3226">
        <v>0.1</v>
      </c>
      <c r="F120" s="3225">
        <v>15</v>
      </c>
    </row>
    <row r="121" spans="1:6" s="800" customFormat="1" ht="13.5">
      <c r="A121" s="3225">
        <v>49</v>
      </c>
      <c r="B121" s="3589"/>
      <c r="C121" s="3225" t="s">
        <v>3131</v>
      </c>
      <c r="D121" s="3205" t="s">
        <v>3132</v>
      </c>
      <c r="E121" s="3226">
        <v>0.1</v>
      </c>
      <c r="F121" s="3225">
        <v>15</v>
      </c>
    </row>
    <row r="122" spans="1:6" s="800" customFormat="1" ht="24">
      <c r="A122" s="3225">
        <v>50</v>
      </c>
      <c r="B122" s="3590" t="s">
        <v>3133</v>
      </c>
      <c r="C122" s="3225" t="s">
        <v>3134</v>
      </c>
      <c r="D122" s="3205" t="s">
        <v>3135</v>
      </c>
      <c r="E122" s="3226">
        <v>0.1</v>
      </c>
      <c r="F122" s="3225">
        <v>15</v>
      </c>
    </row>
    <row r="123" spans="1:6" s="800" customFormat="1" ht="24">
      <c r="A123" s="3225">
        <v>51</v>
      </c>
      <c r="B123" s="3590"/>
      <c r="C123" s="3225" t="s">
        <v>3136</v>
      </c>
      <c r="D123" s="3205" t="s">
        <v>3137</v>
      </c>
      <c r="E123" s="3226">
        <v>0.1</v>
      </c>
      <c r="F123" s="3225">
        <v>15</v>
      </c>
    </row>
    <row r="124" spans="1:6" s="800" customFormat="1" ht="24">
      <c r="A124" s="3225">
        <v>52</v>
      </c>
      <c r="B124" s="3590" t="s">
        <v>3138</v>
      </c>
      <c r="C124" s="3225" t="s">
        <v>3139</v>
      </c>
      <c r="D124" s="3205" t="s">
        <v>3140</v>
      </c>
      <c r="E124" s="3226">
        <v>0.1</v>
      </c>
      <c r="F124" s="3225">
        <v>15</v>
      </c>
    </row>
    <row r="125" spans="1:6" s="800" customFormat="1" ht="24">
      <c r="A125" s="3225">
        <v>53</v>
      </c>
      <c r="B125" s="3590"/>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90" t="s">
        <v>3146</v>
      </c>
      <c r="C127" s="3225" t="s">
        <v>3147</v>
      </c>
      <c r="D127" s="3205" t="s">
        <v>3148</v>
      </c>
      <c r="E127" s="3226">
        <v>0.1</v>
      </c>
      <c r="F127" s="3225">
        <v>15</v>
      </c>
    </row>
    <row r="128" spans="1:6" ht="13.5">
      <c r="A128" s="3225">
        <v>56</v>
      </c>
      <c r="B128" s="3590"/>
      <c r="C128" s="3225" t="s">
        <v>3149</v>
      </c>
      <c r="D128" s="3205" t="s">
        <v>3150</v>
      </c>
      <c r="E128" s="3226">
        <v>0.1</v>
      </c>
      <c r="F128" s="3225">
        <v>15</v>
      </c>
    </row>
    <row r="129" spans="1:6" ht="24">
      <c r="A129" s="3225">
        <v>57</v>
      </c>
      <c r="B129" s="3590"/>
      <c r="C129" s="3225" t="s">
        <v>3151</v>
      </c>
      <c r="D129" s="3205" t="s">
        <v>3152</v>
      </c>
      <c r="E129" s="3226">
        <v>0.1</v>
      </c>
      <c r="F129" s="3225">
        <v>15</v>
      </c>
    </row>
    <row r="130" spans="1:6" ht="24">
      <c r="A130" s="3225">
        <v>58</v>
      </c>
      <c r="B130" s="3590" t="s">
        <v>3153</v>
      </c>
      <c r="C130" s="3225" t="s">
        <v>3154</v>
      </c>
      <c r="D130" s="3205" t="s">
        <v>3155</v>
      </c>
      <c r="E130" s="3226">
        <v>0.1</v>
      </c>
      <c r="F130" s="3225">
        <v>15</v>
      </c>
    </row>
    <row r="131" spans="1:6" ht="24">
      <c r="A131" s="3225">
        <v>59</v>
      </c>
      <c r="B131" s="3590"/>
      <c r="C131" s="3225" t="s">
        <v>3156</v>
      </c>
      <c r="D131" s="3205" t="s">
        <v>3157</v>
      </c>
      <c r="E131" s="3226">
        <v>0.1</v>
      </c>
      <c r="F131" s="3225">
        <v>15</v>
      </c>
    </row>
    <row r="132" spans="1:6" ht="24">
      <c r="A132" s="3225">
        <v>60</v>
      </c>
      <c r="B132" s="3585" t="s">
        <v>3158</v>
      </c>
      <c r="C132" s="3225" t="s">
        <v>3159</v>
      </c>
      <c r="D132" s="3205" t="s">
        <v>3160</v>
      </c>
      <c r="E132" s="3226">
        <v>0.1</v>
      </c>
      <c r="F132" s="3225">
        <v>15</v>
      </c>
    </row>
    <row r="133" spans="1:6" ht="24">
      <c r="A133" s="3225">
        <v>61</v>
      </c>
      <c r="B133" s="3589"/>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90" t="s">
        <v>3166</v>
      </c>
      <c r="C135" s="3225" t="s">
        <v>3167</v>
      </c>
      <c r="D135" s="3205" t="s">
        <v>3168</v>
      </c>
      <c r="E135" s="3226">
        <v>0.1</v>
      </c>
      <c r="F135" s="3225">
        <v>15</v>
      </c>
    </row>
    <row r="136" spans="1:6" ht="13.5">
      <c r="A136" s="3225">
        <v>64</v>
      </c>
      <c r="B136" s="3590"/>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6" t="s">
        <v>877</v>
      </c>
      <c r="C1" s="3596"/>
      <c r="D1" s="3596"/>
      <c r="E1" s="3596"/>
      <c r="F1" s="3596"/>
      <c r="G1" s="3592" t="s">
        <v>878</v>
      </c>
      <c r="H1" s="3592"/>
      <c r="I1" s="3592"/>
      <c r="J1" s="3592"/>
      <c r="K1" s="3592"/>
      <c r="L1" s="3592"/>
      <c r="N1" s="3592" t="s">
        <v>879</v>
      </c>
      <c r="O1" s="3592"/>
      <c r="P1" s="3592"/>
      <c r="Q1" s="3592"/>
      <c r="S1" s="3592" t="s">
        <v>880</v>
      </c>
      <c r="T1" s="3592"/>
      <c r="U1" s="3592"/>
      <c r="V1" s="3592"/>
      <c r="X1" s="3591" t="s">
        <v>881</v>
      </c>
      <c r="Y1" s="3592"/>
      <c r="Z1" s="3592"/>
      <c r="AA1" s="3592"/>
      <c r="AB1" s="3592"/>
      <c r="AD1" s="3591" t="s">
        <v>882</v>
      </c>
      <c r="AE1" s="3592"/>
      <c r="AF1" s="3592"/>
      <c r="AG1" s="3592"/>
      <c r="AH1" s="3592"/>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9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605" t="s">
        <v>2584</v>
      </c>
      <c r="D1" s="3606"/>
      <c r="E1" s="3606"/>
      <c r="F1" s="3606"/>
      <c r="G1" s="3606"/>
      <c r="H1" s="3606"/>
      <c r="I1" s="3606"/>
      <c r="J1" s="3606"/>
      <c r="K1" s="3606"/>
      <c r="L1" s="3606"/>
      <c r="M1" s="3606"/>
      <c r="N1" s="3606"/>
      <c r="O1" s="3606"/>
      <c r="P1" s="3606"/>
      <c r="Q1" s="3606"/>
      <c r="R1" s="3606"/>
      <c r="S1" s="3607"/>
      <c r="T1" s="1094" t="s">
        <v>2585</v>
      </c>
    </row>
    <row r="2" spans="1:45" s="663" customFormat="1" ht="38.25">
      <c r="A2" s="1095"/>
      <c r="B2" s="659" t="s">
        <v>2586</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2000(含)-3000</v>
      </c>
      <c r="I2" s="661" t="str">
        <f t="shared" si="0"/>
        <v>3000(含)-4000</v>
      </c>
      <c r="J2" s="661" t="str">
        <f t="shared" si="0"/>
        <v>4000(含)-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'比较法-商业'!C103</f>
        <v>0</v>
      </c>
      <c r="D3" s="665">
        <f>'比较法-商业'!D103</f>
        <v>100</v>
      </c>
      <c r="E3" s="665">
        <f>'比较法-商业'!E103</f>
        <v>200</v>
      </c>
      <c r="F3" s="665">
        <f>'比较法-商业'!F103</f>
        <v>500</v>
      </c>
      <c r="G3" s="665">
        <f>'比较法-商业'!G103</f>
        <v>1000</v>
      </c>
      <c r="H3" s="665">
        <f>'比较法-商业'!H103</f>
        <v>2000</v>
      </c>
      <c r="I3" s="665">
        <f>'比较法-商业'!I103</f>
        <v>3000</v>
      </c>
      <c r="J3" s="665">
        <f>'比较法-商业'!J103</f>
        <v>4000</v>
      </c>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665">
        <f>'比较法-商业'!C104</f>
        <v>100</v>
      </c>
      <c r="D4" s="665">
        <f>'比较法-商业'!D104</f>
        <v>98</v>
      </c>
      <c r="E4" s="665">
        <f>'比较法-商业'!E104</f>
        <v>96</v>
      </c>
      <c r="F4" s="665">
        <f>'比较法-商业'!F104</f>
        <v>94</v>
      </c>
      <c r="G4" s="665">
        <f>'比较法-商业'!G104</f>
        <v>92</v>
      </c>
      <c r="H4" s="665">
        <f>'比较法-商业'!H104</f>
        <v>90</v>
      </c>
      <c r="I4" s="665">
        <f>'比较法-商业'!I104</f>
        <v>88</v>
      </c>
      <c r="J4" s="665">
        <f>'比较法-商业'!J104</f>
        <v>86</v>
      </c>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2593</v>
      </c>
      <c r="B17" s="2315" t="s">
        <v>2594</v>
      </c>
      <c r="C17" s="1121">
        <v>1</v>
      </c>
      <c r="D17" s="1122">
        <v>2</v>
      </c>
      <c r="E17" s="1122">
        <v>3</v>
      </c>
      <c r="F17" s="1122">
        <v>4</v>
      </c>
      <c r="G17" s="1122" t="s">
        <v>3228</v>
      </c>
      <c r="H17" s="1122" t="s">
        <v>3230</v>
      </c>
      <c r="I17" s="3251" t="s">
        <v>3232</v>
      </c>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5" thickBot="1">
      <c r="A18" s="1131"/>
      <c r="B18" s="1132"/>
      <c r="C18" s="1133">
        <v>100</v>
      </c>
      <c r="D18" s="1134">
        <v>70</v>
      </c>
      <c r="E18" s="1134">
        <v>60</v>
      </c>
      <c r="F18" s="1134">
        <v>60</v>
      </c>
      <c r="G18" s="1134">
        <v>60</v>
      </c>
      <c r="H18" s="1134">
        <v>50</v>
      </c>
      <c r="I18" s="1134">
        <v>25</v>
      </c>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f>IF(D20="——",S22,S22-F20)</f>
        <v>40387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f>ROUND(B20*10000/B22,0)</f>
        <v>42463</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9511.0600000000031</v>
      </c>
      <c r="C22" s="3602" t="s">
        <v>33</v>
      </c>
      <c r="D22" s="3603"/>
      <c r="E22" s="3603"/>
      <c r="F22" s="3603"/>
      <c r="G22" s="3603"/>
      <c r="H22" s="3603"/>
      <c r="I22" s="3603"/>
      <c r="J22" s="3603"/>
      <c r="K22" s="3603"/>
      <c r="L22" s="3603"/>
      <c r="M22" s="3603"/>
      <c r="N22" s="3603"/>
      <c r="O22" s="3603"/>
      <c r="P22" s="3603"/>
      <c r="Q22" s="3604"/>
      <c r="R22" s="671">
        <f>ROUND(S22*10000/B22,0)</f>
        <v>42463</v>
      </c>
      <c r="S22" s="24">
        <f>SUM(S24:S10000)</f>
        <v>40387</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Sheet1!B3</f>
        <v>1</v>
      </c>
      <c r="B24" s="673">
        <f>Sheet1!D3</f>
        <v>2143.5700000000002</v>
      </c>
      <c r="C24" s="2990">
        <v>1</v>
      </c>
      <c r="D24" s="2991"/>
      <c r="E24" s="2990">
        <v>1</v>
      </c>
      <c r="F24" s="2991"/>
      <c r="G24" s="2990">
        <v>1</v>
      </c>
      <c r="H24" s="2991"/>
      <c r="I24" s="2990">
        <v>1</v>
      </c>
      <c r="J24" s="2991"/>
      <c r="K24" s="2990">
        <v>1</v>
      </c>
      <c r="L24" s="2991"/>
      <c r="M24" s="2990">
        <v>1</v>
      </c>
      <c r="N24" s="2991"/>
      <c r="O24" s="2990">
        <v>1</v>
      </c>
      <c r="P24" s="2991">
        <v>1</v>
      </c>
      <c r="Q24" s="2990">
        <v>1</v>
      </c>
      <c r="R24" s="676">
        <f>'比较法-商业'!C49</f>
        <v>62275</v>
      </c>
      <c r="S24" s="674">
        <f t="shared" ref="S24:S54" si="11">ROUND(R24*B24/10000,0)</f>
        <v>13349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Sheet1!B4</f>
        <v>2</v>
      </c>
      <c r="B25" s="673">
        <f>Sheet1!D4</f>
        <v>2213.5500000000002</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43593</v>
      </c>
      <c r="S25" s="322">
        <f t="shared" si="11"/>
        <v>9650</v>
      </c>
    </row>
    <row r="26" spans="1:45">
      <c r="A26" s="673">
        <f>Sheet1!B5</f>
        <v>3</v>
      </c>
      <c r="B26" s="673">
        <f>Sheet1!D5</f>
        <v>1698.7800000000002</v>
      </c>
      <c r="C26" s="24">
        <f t="shared" ref="C26:C89" si="12">IF(B26="",1,(LOOKUP(B26,$3:$3,$4:$4)-LOOKUP($B$24,$3:$3,$4:$4)+100)/100)</f>
        <v>1.02</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v>
      </c>
      <c r="R26" s="671">
        <f t="shared" ref="R26:R89" si="20">IF(B26="",0,ROUND($R$24*C26*E26*G26*I26*K26*M26*O26*Q26,0))</f>
        <v>38112</v>
      </c>
      <c r="S26" s="322">
        <f t="shared" si="11"/>
        <v>6474</v>
      </c>
    </row>
    <row r="27" spans="1:45">
      <c r="A27" s="673">
        <f>Sheet1!B6</f>
        <v>4</v>
      </c>
      <c r="B27" s="673">
        <f>Sheet1!D6</f>
        <v>462.89000000000004</v>
      </c>
      <c r="C27" s="24">
        <f t="shared" si="12"/>
        <v>1.06</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0.6</v>
      </c>
      <c r="R27" s="671">
        <f t="shared" si="20"/>
        <v>39607</v>
      </c>
      <c r="S27" s="322">
        <f t="shared" si="11"/>
        <v>1833</v>
      </c>
    </row>
    <row r="28" spans="1:45">
      <c r="A28" s="673" t="str">
        <f>Sheet1!B7</f>
        <v>B1</v>
      </c>
      <c r="B28" s="673">
        <f>Sheet1!D7</f>
        <v>1150.7300000000002</v>
      </c>
      <c r="C28" s="24">
        <f t="shared" si="12"/>
        <v>1.02</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t="s">
        <v>3227</v>
      </c>
      <c r="Q28" s="24">
        <f t="shared" si="19"/>
        <v>0.6</v>
      </c>
      <c r="R28" s="671">
        <f t="shared" si="20"/>
        <v>38112</v>
      </c>
      <c r="S28" s="322">
        <f t="shared" si="11"/>
        <v>4386</v>
      </c>
    </row>
    <row r="29" spans="1:45">
      <c r="A29" s="673" t="str">
        <f>Sheet1!B8</f>
        <v>B2</v>
      </c>
      <c r="B29" s="673">
        <f>Sheet1!D8</f>
        <v>1100.4400000000003</v>
      </c>
      <c r="C29" s="24">
        <f t="shared" si="12"/>
        <v>1.02</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t="s">
        <v>3229</v>
      </c>
      <c r="Q29" s="24">
        <f t="shared" si="19"/>
        <v>0.5</v>
      </c>
      <c r="R29" s="671">
        <f t="shared" si="20"/>
        <v>31760</v>
      </c>
      <c r="S29" s="322">
        <f t="shared" si="11"/>
        <v>3495</v>
      </c>
    </row>
    <row r="30" spans="1:45">
      <c r="A30" s="3250" t="s">
        <v>3231</v>
      </c>
      <c r="B30" s="57">
        <f>Sheet1!E7+Sheet1!E8</f>
        <v>741.1</v>
      </c>
      <c r="C30" s="24">
        <f t="shared" si="12"/>
        <v>1.04</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t="s">
        <v>3185</v>
      </c>
      <c r="Q30" s="24">
        <f t="shared" si="19"/>
        <v>0.25</v>
      </c>
      <c r="R30" s="671">
        <f t="shared" si="20"/>
        <v>16192</v>
      </c>
      <c r="S30" s="322">
        <f t="shared" si="11"/>
        <v>1200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估价结果一览表（市场价值不需“结果表-1”）</v>
      </c>
      <c r="B3" s="3271"/>
      <c r="C3" s="3271"/>
      <c r="D3" s="3271"/>
      <c r="E3" s="3271"/>
    </row>
    <row r="4" spans="1:5" ht="19.5" thickBot="1">
      <c r="A4" s="1628"/>
      <c r="B4" s="3269" t="s">
        <v>1354</v>
      </c>
      <c r="C4" s="3269"/>
      <c r="D4" s="3269"/>
      <c r="E4" s="1628"/>
    </row>
    <row r="5" spans="1:5" ht="16.5" thickTop="1">
      <c r="A5" s="1626"/>
      <c r="B5" s="3267" t="s">
        <v>1346</v>
      </c>
      <c r="C5" s="1629" t="s">
        <v>1347</v>
      </c>
      <c r="D5" s="939">
        <f ca="1">结果表!H101</f>
        <v>39462</v>
      </c>
      <c r="E5" s="1626"/>
    </row>
    <row r="6" spans="1:5" ht="15.75">
      <c r="A6" s="1626"/>
      <c r="B6" s="3267"/>
      <c r="C6" s="1629" t="s">
        <v>1348</v>
      </c>
      <c r="D6" s="939" t="str">
        <f ca="1">NUMBERSTRING(INT(D5*10000),2)&amp;"元整"</f>
        <v>叁亿玖仟肆佰陆拾贰万元整</v>
      </c>
      <c r="E6" s="1626"/>
    </row>
    <row r="7" spans="1:5" ht="15.75">
      <c r="A7" s="1626"/>
      <c r="B7" s="3272"/>
      <c r="C7" s="1630" t="s">
        <v>1349</v>
      </c>
      <c r="D7" s="940">
        <f ca="1">结果表!H102</f>
        <v>41491</v>
      </c>
      <c r="E7" s="1626"/>
    </row>
    <row r="8" spans="1:5" ht="15.75">
      <c r="A8" s="1626"/>
      <c r="B8" s="3273" t="str">
        <f>结果表!E103</f>
        <v>2.估价师知悉的法定优先受偿款</v>
      </c>
      <c r="C8" s="1631" t="s">
        <v>1350</v>
      </c>
      <c r="D8" s="940">
        <f>结果表!H103</f>
        <v>0</v>
      </c>
      <c r="E8" s="1626"/>
    </row>
    <row r="9" spans="1:5" ht="15.75">
      <c r="A9" s="1626"/>
      <c r="B9" s="3275"/>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66" t="str">
        <f>结果表!E107</f>
        <v>3.房地产抵押价值</v>
      </c>
      <c r="C13" s="1634" t="s">
        <v>1347</v>
      </c>
      <c r="D13" s="942">
        <f ca="1">结果表!H107</f>
        <v>39462</v>
      </c>
      <c r="E13" s="1626"/>
    </row>
    <row r="14" spans="1:5" ht="15.75">
      <c r="A14" s="1626"/>
      <c r="B14" s="3267"/>
      <c r="C14" s="1629" t="s">
        <v>1348</v>
      </c>
      <c r="D14" s="939" t="str">
        <f ca="1">NUMBERSTRING(INT(D13*10000),2)&amp;"元整"</f>
        <v>叁亿玖仟肆佰陆拾贰万元整</v>
      </c>
      <c r="E14" s="1626"/>
    </row>
    <row r="15" spans="1:5" ht="15">
      <c r="A15" s="1626"/>
      <c r="B15" s="3272"/>
      <c r="C15" s="1630" t="s">
        <v>1358</v>
      </c>
      <c r="D15" s="948">
        <f ca="1">结果表!H108</f>
        <v>41491</v>
      </c>
      <c r="E15" s="1626"/>
    </row>
    <row r="16" spans="1:5" ht="15">
      <c r="A16" s="1626"/>
      <c r="B16" s="3273" t="str">
        <f>结果表!E109</f>
        <v>——</v>
      </c>
      <c r="C16" s="1634" t="s">
        <v>1359</v>
      </c>
      <c r="D16" s="1635" t="str">
        <f>结果表!H109</f>
        <v>——</v>
      </c>
      <c r="E16" s="1626"/>
    </row>
    <row r="17" spans="1:5" ht="15.75">
      <c r="A17" s="1626"/>
      <c r="B17" s="3274"/>
      <c r="C17" s="1629" t="s">
        <v>1360</v>
      </c>
      <c r="D17" s="939" t="e">
        <f>NUMBERSTRING(INT(D16*10000),2)&amp;"元整"</f>
        <v>#VALUE!</v>
      </c>
      <c r="E17" s="1626"/>
    </row>
    <row r="18" spans="1:5" ht="15">
      <c r="A18" s="1626"/>
      <c r="B18" s="3275"/>
      <c r="C18" s="1630" t="s">
        <v>1349</v>
      </c>
      <c r="D18" s="948" t="str">
        <f>结果表!H110</f>
        <v>——</v>
      </c>
      <c r="E18" s="1626"/>
    </row>
    <row r="19" spans="1:5" ht="15.75">
      <c r="A19" s="1626"/>
      <c r="B19" s="3266" t="str">
        <f>结果表!E111</f>
        <v>——</v>
      </c>
      <c r="C19" s="1634" t="s">
        <v>1347</v>
      </c>
      <c r="D19" s="940" t="str">
        <f>结果表!H111</f>
        <v>——</v>
      </c>
      <c r="E19" s="1626"/>
    </row>
    <row r="20" spans="1:5" ht="15.75">
      <c r="A20" s="1626"/>
      <c r="B20" s="3267"/>
      <c r="C20" s="1629" t="s">
        <v>1360</v>
      </c>
      <c r="D20" s="939" t="e">
        <f>NUMBERSTRING(INT(D19*10000),2)&amp;"元整"</f>
        <v>#VALUE!</v>
      </c>
      <c r="E20" s="1626"/>
    </row>
    <row r="21" spans="1:5" ht="15.75" thickBot="1">
      <c r="A21" s="1626"/>
      <c r="B21" s="3268"/>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30572</v>
      </c>
      <c r="C2" s="2" t="s">
        <v>133</v>
      </c>
      <c r="D2" s="205"/>
      <c r="E2" s="205"/>
      <c r="F2" s="205"/>
      <c r="G2" s="205"/>
    </row>
    <row r="3" spans="1:7" s="206" customFormat="1" ht="18" customHeight="1" thickBot="1">
      <c r="A3" s="209" t="s">
        <v>85</v>
      </c>
      <c r="B3" s="210">
        <f ca="1">ROUND(B2*10000/'数据-汇总表'!E3,0)</f>
        <v>32144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190</v>
      </c>
      <c r="D10" s="934">
        <f>'数据-汇总表'!E6</f>
        <v>9511.0600000000031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190</v>
      </c>
      <c r="D19" s="938">
        <f>'数据-汇总表'!E3</f>
        <v>9511.0600000000031</v>
      </c>
      <c r="E19" s="217">
        <f>'数据-取费表'!B31</f>
        <v>200</v>
      </c>
      <c r="F19" s="237"/>
      <c r="G19" s="1" t="s">
        <v>861</v>
      </c>
    </row>
    <row r="20" spans="1:7" s="220" customFormat="1" ht="13.5" customHeight="1">
      <c r="A20" s="865" t="s">
        <v>844</v>
      </c>
      <c r="B20" s="216" t="s">
        <v>104</v>
      </c>
      <c r="C20" s="238">
        <f>ROUND((C5+C19)*F20,0)</f>
        <v>416</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872</v>
      </c>
      <c r="D22" s="241">
        <f ca="1">C26</f>
        <v>4.0000000000000002E-4</v>
      </c>
      <c r="E22" s="242" t="s">
        <v>126</v>
      </c>
      <c r="F22" s="243">
        <f ca="1">'数据-取费表'!B40</f>
        <v>4.1499999999999995E-2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855</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8</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2122</v>
      </c>
      <c r="D27" s="241">
        <f>C29</f>
        <v>2E-3</v>
      </c>
      <c r="E27" s="242" t="s">
        <v>126</v>
      </c>
      <c r="F27" s="252">
        <f>'数据-取费表'!Q16</f>
        <v>0.1</v>
      </c>
      <c r="G27" s="253" t="s">
        <v>856</v>
      </c>
    </row>
    <row r="28" spans="1:7" s="220" customFormat="1" ht="13.5" customHeight="1">
      <c r="A28" s="868" t="s">
        <v>613</v>
      </c>
      <c r="B28" s="254" t="s">
        <v>849</v>
      </c>
      <c r="C28" s="255">
        <f>ROUND((C5+C19+C20)*F27*'数据-取费表'!B21/'数据-取费表'!B20,0)</f>
        <v>2122</v>
      </c>
      <c r="D28" s="241"/>
      <c r="E28" s="242"/>
      <c r="F28" s="252"/>
      <c r="G28" s="253"/>
    </row>
    <row r="29" spans="1:7" s="220" customFormat="1" ht="13.5" customHeight="1">
      <c r="A29" s="868" t="s">
        <v>611</v>
      </c>
      <c r="B29" s="254" t="s">
        <v>850</v>
      </c>
      <c r="C29" s="244">
        <f>ROUND(C21*F27*'数据-取费表'!B21/'数据-取费表'!B20,4)</f>
        <v>2E-3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26194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4165</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3804</v>
      </c>
      <c r="D34" s="223"/>
      <c r="E34" s="226"/>
      <c r="F34" s="263">
        <f>IF('数据-取费表'!B24=0,1,'数据-取费表'!N16)</f>
        <v>1</v>
      </c>
      <c r="G34" s="225" t="s">
        <v>116</v>
      </c>
    </row>
    <row r="35" spans="1:7" ht="13.5" customHeight="1">
      <c r="A35" s="868" t="s">
        <v>615</v>
      </c>
      <c r="B35" s="221" t="s">
        <v>60</v>
      </c>
      <c r="C35" s="226">
        <f>ROUND(C34*F35,0)</f>
        <v>114</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8" t="s">
        <v>617</v>
      </c>
      <c r="B37" s="221" t="s">
        <v>118</v>
      </c>
      <c r="C37" s="255">
        <f>ROUND(E37*D37*F34/10000,0)</f>
        <v>190</v>
      </c>
      <c r="D37" s="223">
        <f>'数据-汇总表'!E3</f>
        <v>9511.0600000000031</v>
      </c>
      <c r="E37" s="255">
        <f>'数据-取费表'!B35</f>
        <v>200</v>
      </c>
      <c r="F37" s="265"/>
      <c r="G37" s="267" t="s">
        <v>119</v>
      </c>
    </row>
    <row r="38" spans="1:7" ht="13.5" customHeight="1">
      <c r="A38" s="868" t="s">
        <v>618</v>
      </c>
      <c r="B38" s="221" t="s">
        <v>63</v>
      </c>
      <c r="C38" s="226">
        <f>ROUND(C34*F38,0)</f>
        <v>57</v>
      </c>
      <c r="D38" s="226"/>
      <c r="E38" s="226"/>
      <c r="F38" s="265">
        <f>'数据-取费表'!B36</f>
        <v>1.4999999999999999E-2</v>
      </c>
      <c r="G38" s="225" t="s">
        <v>117</v>
      </c>
    </row>
    <row r="39" spans="1:7" s="220" customFormat="1" ht="13.5" customHeight="1">
      <c r="A39" s="865" t="s">
        <v>602</v>
      </c>
      <c r="B39" s="216" t="s">
        <v>104</v>
      </c>
      <c r="C39" s="238">
        <f>ROUND(C33*F20,0)</f>
        <v>83</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88</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86</v>
      </c>
      <c r="D42" s="244"/>
      <c r="E42" s="244"/>
      <c r="F42" s="245"/>
      <c r="G42" s="3454" t="s">
        <v>121</v>
      </c>
    </row>
    <row r="43" spans="1:7" ht="13.5" customHeight="1">
      <c r="A43" s="868" t="s">
        <v>611</v>
      </c>
      <c r="B43" s="221" t="s">
        <v>851</v>
      </c>
      <c r="C43" s="244">
        <f ca="1">ROUND(IF('数据-取费表'!B22&lt;=1,C39*F22*'数据-取费表'!B21/2,C39*(POWER((1+F22),'数据-取费表'!B21/2)-1)),0)</f>
        <v>2</v>
      </c>
      <c r="D43" s="244"/>
      <c r="E43" s="244"/>
      <c r="F43" s="245"/>
      <c r="G43" s="3455"/>
    </row>
    <row r="44" spans="1:7" ht="13.5" customHeight="1">
      <c r="A44" s="868" t="s">
        <v>612</v>
      </c>
      <c r="B44" s="221" t="s">
        <v>853</v>
      </c>
      <c r="C44" s="244">
        <f ca="1">ROUND(IF('数据-取费表'!B22&lt;=1,C40*F22*'数据-取费表'!B21/2,C40*(POWER((1+F22),'数据-取费表'!B21/2)-1)),4)</f>
        <v>4.0000000000000002E-4</v>
      </c>
      <c r="D44" s="244"/>
      <c r="E44" s="244"/>
      <c r="F44" s="245"/>
      <c r="G44" s="3456"/>
    </row>
    <row r="45" spans="1:7" s="220" customFormat="1" ht="13.5" customHeight="1">
      <c r="A45" s="865" t="s">
        <v>605</v>
      </c>
      <c r="B45" s="250" t="s">
        <v>112</v>
      </c>
      <c r="C45" s="251">
        <f>C46</f>
        <v>425</v>
      </c>
      <c r="D45" s="241">
        <f>C47</f>
        <v>2E-3</v>
      </c>
      <c r="E45" s="242" t="s">
        <v>129</v>
      </c>
      <c r="F45" s="252"/>
      <c r="G45" s="253" t="s">
        <v>859</v>
      </c>
    </row>
    <row r="46" spans="1:7" s="220" customFormat="1" ht="13.5" customHeight="1">
      <c r="A46" s="868" t="s">
        <v>613</v>
      </c>
      <c r="B46" s="254" t="s">
        <v>852</v>
      </c>
      <c r="C46" s="255">
        <f>ROUND((C33+C39)*F27,0)</f>
        <v>425</v>
      </c>
      <c r="D46" s="269"/>
      <c r="E46" s="242"/>
      <c r="F46" s="252"/>
      <c r="G46" s="253"/>
    </row>
    <row r="47" spans="1:7" s="220" customFormat="1" ht="13.5" customHeight="1">
      <c r="A47" s="868" t="s">
        <v>611</v>
      </c>
      <c r="B47" s="254" t="s">
        <v>854</v>
      </c>
      <c r="C47" s="244">
        <f>ROUND(C40*F27,4)</f>
        <v>2E-3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5151</v>
      </c>
      <c r="D49" s="238"/>
      <c r="E49" s="238"/>
      <c r="F49" s="270"/>
      <c r="G49" s="240" t="s">
        <v>860</v>
      </c>
    </row>
    <row r="50" spans="1:7" s="264" customFormat="1" ht="24">
      <c r="A50" s="865" t="s">
        <v>608</v>
      </c>
      <c r="B50" s="216" t="s">
        <v>124</v>
      </c>
      <c r="C50" s="238"/>
      <c r="D50" s="238"/>
      <c r="E50" s="238"/>
      <c r="F50" s="270">
        <f>IF('数据-取费表'!B24=0,'数据-取费表'!N16,1)</f>
        <v>0.85</v>
      </c>
      <c r="G50" s="253" t="s">
        <v>125</v>
      </c>
    </row>
    <row r="51" spans="1:7" ht="16.5" customHeight="1">
      <c r="A51" s="865" t="s">
        <v>609</v>
      </c>
      <c r="B51" s="216" t="s">
        <v>132</v>
      </c>
      <c r="C51" s="238">
        <f ca="1">ROUND(C49*F50,0)</f>
        <v>4378</v>
      </c>
      <c r="D51" s="238"/>
      <c r="E51" s="238"/>
      <c r="F51" s="270"/>
      <c r="G51" s="240" t="s">
        <v>64</v>
      </c>
    </row>
    <row r="52" spans="1:7" s="214" customFormat="1" ht="16.5" thickBot="1">
      <c r="A52" s="271" t="s">
        <v>65</v>
      </c>
      <c r="B52" s="272"/>
      <c r="C52" s="273">
        <f ca="1">C31+C51</f>
        <v>30572</v>
      </c>
      <c r="D52" s="272"/>
      <c r="E52" s="272"/>
      <c r="F52" s="272"/>
      <c r="G52" s="274"/>
    </row>
    <row r="55" spans="1:7" ht="15">
      <c r="B55" s="276" t="s">
        <v>66</v>
      </c>
      <c r="C55" s="277"/>
    </row>
    <row r="56" spans="1:7">
      <c r="B56" s="279" t="s">
        <v>67</v>
      </c>
      <c r="C56" s="280">
        <f ca="1">ROUND(C51/C52,3)</f>
        <v>0.14299999999999999</v>
      </c>
    </row>
    <row r="57" spans="1:7">
      <c r="B57" s="279" t="s">
        <v>68</v>
      </c>
      <c r="C57" s="281">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8" t="s">
        <v>156</v>
      </c>
      <c r="B1" s="3608"/>
      <c r="C1" s="3608"/>
      <c r="D1" s="3608"/>
      <c r="E1" s="3608"/>
      <c r="F1" s="360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9" t="s">
        <v>169</v>
      </c>
      <c r="B2" s="3609"/>
      <c r="C2" s="3609"/>
      <c r="D2" s="3609"/>
      <c r="E2" s="3609"/>
      <c r="F2" s="360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10"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11"/>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8" t="s">
        <v>658</v>
      </c>
      <c r="B1" s="3608"/>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44873</v>
      </c>
      <c r="D1" s="1422" t="s">
        <v>1028</v>
      </c>
      <c r="E1" s="1417">
        <f>'数据-取费表'!B22</f>
        <v>1</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1102</v>
      </c>
      <c r="D1" s="1496" t="s">
        <v>70</v>
      </c>
      <c r="E1" s="1497" t="s">
        <v>1111</v>
      </c>
      <c r="F1" s="1173">
        <f ca="1">J53</f>
        <v>26.56</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38388</v>
      </c>
      <c r="C2" s="1521" t="s">
        <v>1240</v>
      </c>
      <c r="D2" s="1521"/>
      <c r="E2" s="1522"/>
      <c r="F2" s="1523"/>
      <c r="G2" s="2884"/>
      <c r="H2" s="2873"/>
      <c r="I2" s="2873"/>
      <c r="J2" s="2873"/>
      <c r="K2" s="2874"/>
      <c r="L2" s="2873"/>
      <c r="M2" s="2873"/>
    </row>
    <row r="3" spans="1:37" ht="18" customHeight="1" thickBot="1">
      <c r="A3" s="1524" t="s">
        <v>1241</v>
      </c>
      <c r="B3" s="1525">
        <f ca="1">IF(ISERROR(B2*10000/F43),0,ROUND(B2*10000/F43,0))</f>
        <v>40361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1743</v>
      </c>
      <c r="D5" s="1498" t="s">
        <v>1126</v>
      </c>
      <c r="E5" s="1183"/>
      <c r="F5" s="1184"/>
      <c r="G5" s="1518"/>
      <c r="H5" s="305">
        <v>1</v>
      </c>
      <c r="I5" s="306" t="s">
        <v>1125</v>
      </c>
      <c r="J5" s="1182">
        <f ca="1">J6+J10+J12</f>
        <v>0</v>
      </c>
      <c r="K5" s="1498" t="s">
        <v>1126</v>
      </c>
      <c r="L5" s="1183"/>
      <c r="M5" s="1184"/>
    </row>
    <row r="6" spans="1:37" ht="18" customHeight="1">
      <c r="A6" s="1181" t="s">
        <v>822</v>
      </c>
      <c r="B6" s="3457" t="s">
        <v>1127</v>
      </c>
      <c r="C6" s="1186">
        <f ca="1">ROUND(F6*F8*F7*(1-F9)/10000,0)</f>
        <v>1736</v>
      </c>
      <c r="D6" s="160" t="s">
        <v>2608</v>
      </c>
      <c r="E6" s="308" t="s">
        <v>1129</v>
      </c>
      <c r="F6" s="309">
        <f ca="1">INDIRECT("'数据-取费表'!u"&amp;$G$1)</f>
        <v>5</v>
      </c>
      <c r="G6" s="1518"/>
      <c r="H6" s="1181" t="s">
        <v>822</v>
      </c>
      <c r="I6" s="3457" t="s">
        <v>1127</v>
      </c>
      <c r="J6" s="307">
        <f ca="1">ROUND(M6*M8*M7*(1-M9)/10000,0)</f>
        <v>0</v>
      </c>
      <c r="K6" s="160" t="s">
        <v>2607</v>
      </c>
      <c r="L6" s="308" t="s">
        <v>1129</v>
      </c>
      <c r="M6" s="309">
        <f ca="1">INDIRECT("'数据-取费表'!z"&amp;$G$1)</f>
        <v>0</v>
      </c>
    </row>
    <row r="7" spans="1:37" ht="18" customHeight="1">
      <c r="A7" s="1185"/>
      <c r="B7" s="3458"/>
      <c r="C7" s="1187"/>
      <c r="D7" s="313"/>
      <c r="E7" s="1188" t="s">
        <v>1130</v>
      </c>
      <c r="F7" s="309">
        <f ca="1">IF(INDIRECT("'数据-取费表'!ah"&amp;$G$1)="",INDIRECT("'数据-取费表'!k"&amp;$G$1),INDIRECT("'数据-取费表'!ah"&amp;$G$1))</f>
        <v>9511.0600000000013</v>
      </c>
      <c r="G7" s="1518"/>
      <c r="H7" s="310"/>
      <c r="I7" s="3458"/>
      <c r="J7" s="312"/>
      <c r="K7" s="313"/>
      <c r="L7" s="308" t="s">
        <v>1130</v>
      </c>
      <c r="M7" s="309">
        <f ca="1">F7</f>
        <v>9511.0600000000013</v>
      </c>
    </row>
    <row r="8" spans="1:37" ht="18" customHeight="1">
      <c r="A8" s="310"/>
      <c r="B8" s="3458"/>
      <c r="C8" s="312"/>
      <c r="D8" s="313"/>
      <c r="E8" s="308" t="s">
        <v>1131</v>
      </c>
      <c r="F8" s="309">
        <f ca="1">INDIRECT("'数据-取费表'!ai"&amp;$G$1)</f>
        <v>365</v>
      </c>
      <c r="G8" s="1518"/>
      <c r="H8" s="310"/>
      <c r="I8" s="3458"/>
      <c r="J8" s="312"/>
      <c r="K8" s="313"/>
      <c r="L8" s="308" t="s">
        <v>1131</v>
      </c>
      <c r="M8" s="309">
        <f ca="1">INDIRECT("'数据-取费表'!ai"&amp;$G$1)</f>
        <v>365</v>
      </c>
    </row>
    <row r="9" spans="1:37" ht="18" customHeight="1">
      <c r="A9" s="310"/>
      <c r="B9" s="3459"/>
      <c r="C9" s="312"/>
      <c r="D9" s="313"/>
      <c r="E9" s="308" t="s">
        <v>1132</v>
      </c>
      <c r="F9" s="318">
        <f ca="1">INDIRECT("'数据-取费表'!w"&amp;$G$1)</f>
        <v>0</v>
      </c>
      <c r="G9" s="1518"/>
      <c r="H9" s="310"/>
      <c r="I9" s="3459"/>
      <c r="J9" s="312"/>
      <c r="K9" s="313"/>
      <c r="L9" s="319" t="s">
        <v>1132</v>
      </c>
      <c r="M9" s="320">
        <f ca="1">INDIRECT("'数据-取费表'!ab"&amp;$G$1)</f>
        <v>0</v>
      </c>
    </row>
    <row r="10" spans="1:37" ht="18" customHeight="1">
      <c r="A10" s="1181" t="s">
        <v>826</v>
      </c>
      <c r="B10" s="1499" t="s">
        <v>1133</v>
      </c>
      <c r="C10" s="322">
        <f ca="1">ROUND(IF(F10="押一",C6/12*F11,IF(F10="押二",C6/12*2*F11,IF(F10="押三",C6/12*3*F11,C11*F11))),0)</f>
        <v>7</v>
      </c>
      <c r="D10" s="1500" t="s">
        <v>2616</v>
      </c>
      <c r="E10" s="319" t="s">
        <v>1134</v>
      </c>
      <c r="F10" s="1228" t="s">
        <v>3244</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4378</v>
      </c>
      <c r="D13" s="1193" t="s">
        <v>1139</v>
      </c>
      <c r="E13" s="1193" t="s">
        <v>1140</v>
      </c>
      <c r="F13" s="1194">
        <f ca="1">INDIRECT("'数据-取费表'!y"&amp;$G$1)</f>
        <v>0.85</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3804</v>
      </c>
      <c r="D14" s="1479" t="s">
        <v>1142</v>
      </c>
      <c r="E14" s="1476"/>
      <c r="F14" s="325"/>
      <c r="G14" s="1518"/>
      <c r="H14" s="1093" t="s">
        <v>822</v>
      </c>
      <c r="I14" s="308" t="s">
        <v>1143</v>
      </c>
      <c r="J14" s="24">
        <f ca="1">C29</f>
        <v>5151</v>
      </c>
      <c r="K14" s="15"/>
      <c r="L14" s="896"/>
      <c r="M14" s="897"/>
    </row>
    <row r="15" spans="1:37" s="1531" customFormat="1" ht="18" customHeight="1" thickBot="1">
      <c r="A15" s="1093" t="s">
        <v>823</v>
      </c>
      <c r="B15" s="308" t="s">
        <v>1144</v>
      </c>
      <c r="C15" s="24">
        <f ca="1">ROUND(C14*F15,0)</f>
        <v>114</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74</v>
      </c>
      <c r="K16" s="1199" t="s">
        <v>1149</v>
      </c>
      <c r="L16" s="1200"/>
      <c r="M16" s="1184"/>
    </row>
    <row r="17" spans="1:37" s="1531" customFormat="1" ht="18" customHeight="1">
      <c r="A17" s="1093" t="s">
        <v>1114</v>
      </c>
      <c r="B17" s="308" t="s">
        <v>1150</v>
      </c>
      <c r="C17" s="24">
        <f ca="1">ROUND(F17*(F43+INDIRECT("'数据-取费表'!S"&amp;$G$1))/10000,0)</f>
        <v>190</v>
      </c>
      <c r="D17" s="308" t="s">
        <v>1151</v>
      </c>
      <c r="E17" s="308" t="s">
        <v>1152</v>
      </c>
      <c r="F17" s="26">
        <f>'数据-取费表'!B35</f>
        <v>200</v>
      </c>
      <c r="G17" s="1530"/>
      <c r="H17" s="1093" t="s">
        <v>822</v>
      </c>
      <c r="I17" s="308" t="s">
        <v>1153</v>
      </c>
      <c r="J17" s="2484">
        <f ca="1">ROUND(IF(AND(项目基本情况!B11="自然人",项目基本情况!B10="北京市"),J6*M17/(1+'数据-取费表'!C42),J18+J19+J20),0)</f>
        <v>48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57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4165</v>
      </c>
      <c r="D19" s="136" t="s">
        <v>1160</v>
      </c>
      <c r="E19" s="1494"/>
      <c r="F19" s="26"/>
      <c r="G19" s="1518"/>
      <c r="H19" s="1093" t="s">
        <v>823</v>
      </c>
      <c r="I19" s="308" t="s">
        <v>1161</v>
      </c>
      <c r="J19" s="24">
        <f ca="1">IF(K19="按租金收入计税",ROUND(J6*M19/(1+'数据-取费表'!C42),2),ROUND(C29*M19*0.7,2))</f>
        <v>43.27</v>
      </c>
      <c r="K19" s="1504" t="s">
        <v>1162</v>
      </c>
      <c r="L19" s="308" t="s">
        <v>1146</v>
      </c>
      <c r="M19" s="328">
        <f>IF(K19="按租金收入计税",'数据-取费表'!B51,'数据-取费表'!B50)</f>
        <v>1.2E-2</v>
      </c>
    </row>
    <row r="20" spans="1:37" s="1531" customFormat="1" ht="18" customHeight="1">
      <c r="A20" s="1093" t="s">
        <v>826</v>
      </c>
      <c r="B20" s="308" t="s">
        <v>1163</v>
      </c>
      <c r="C20" s="24">
        <f ca="1">ROUND(C19*F20,0)</f>
        <v>83</v>
      </c>
      <c r="D20" s="329" t="s">
        <v>1164</v>
      </c>
      <c r="E20" s="308" t="s">
        <v>1146</v>
      </c>
      <c r="F20" s="328">
        <f>'数据-取费表'!B37</f>
        <v>0.02</v>
      </c>
      <c r="G20" s="1530"/>
      <c r="H20" s="1093" t="s">
        <v>1113</v>
      </c>
      <c r="I20" s="160" t="s">
        <v>1165</v>
      </c>
      <c r="J20" s="25">
        <f ca="1">ROUND(M20*M21/10000,2)</f>
        <v>4.3099999999999996</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3589.08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25.8</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88</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-74</v>
      </c>
      <c r="K25" s="1207" t="s">
        <v>1188</v>
      </c>
      <c r="L25" s="1208"/>
      <c r="M25" s="1209"/>
    </row>
    <row r="26" spans="1:37">
      <c r="A26" s="1093" t="s">
        <v>821</v>
      </c>
      <c r="B26" s="308" t="s">
        <v>1189</v>
      </c>
      <c r="C26" s="24">
        <f ca="1">ROUND((C19+C20)*F26,0)</f>
        <v>425</v>
      </c>
      <c r="D26" s="329" t="s">
        <v>1190</v>
      </c>
      <c r="E26" s="319" t="s">
        <v>1191</v>
      </c>
      <c r="F26" s="318">
        <f ca="1">INDIRECT("'数据-取费表'!q"&amp;$G$1)</f>
        <v>0.1</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2E-3</v>
      </c>
      <c r="D27" s="329" t="s">
        <v>1196</v>
      </c>
      <c r="E27" s="326"/>
      <c r="F27" s="327"/>
      <c r="G27" s="1518"/>
      <c r="H27" s="310"/>
      <c r="I27" s="311"/>
      <c r="J27" s="312"/>
      <c r="K27" s="338" t="s">
        <v>1197</v>
      </c>
      <c r="L27" s="308" t="s">
        <v>1198</v>
      </c>
      <c r="M27" s="339">
        <f ca="1">INDIRECT("'数据-取费表'!ag"&amp;$G$1)</f>
        <v>21.56</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5151</v>
      </c>
      <c r="D29" s="1204"/>
      <c r="E29" s="1202"/>
      <c r="F29" s="1205"/>
      <c r="G29" s="1530"/>
      <c r="H29" s="340" t="s">
        <v>820</v>
      </c>
      <c r="I29" s="341" t="s">
        <v>1203</v>
      </c>
      <c r="J29" s="3255">
        <f ca="1">J37</f>
        <v>32139</v>
      </c>
      <c r="K29" s="343" t="s">
        <v>1204</v>
      </c>
      <c r="L29" s="344"/>
      <c r="M29" s="345">
        <f ca="1">INDIRECT("'数据-取费表'!k"&amp;$G$1)</f>
        <v>9511.0600000000013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334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295</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92.59</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198.4</v>
      </c>
      <c r="D33" s="1504" t="s">
        <v>3208</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4.3099999999999996</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3589.08</v>
      </c>
      <c r="G35" s="1518"/>
      <c r="H35" s="2875"/>
      <c r="I35" s="3254"/>
      <c r="J35" s="1532"/>
      <c r="K35" s="2879"/>
      <c r="L35" s="2878"/>
      <c r="M35" s="2878"/>
    </row>
    <row r="36" spans="1:18" ht="18" customHeight="1">
      <c r="A36" s="1214" t="s">
        <v>826</v>
      </c>
      <c r="B36" s="308" t="s">
        <v>1173</v>
      </c>
      <c r="C36" s="24">
        <f ca="1">ROUND(C29*F36,1)</f>
        <v>25.8</v>
      </c>
      <c r="D36" s="1478" t="s">
        <v>1206</v>
      </c>
      <c r="E36" s="308" t="s">
        <v>1146</v>
      </c>
      <c r="F36" s="334">
        <f ca="1">INDIRECT("'数据-取费表'!Ak"&amp;$G$1)</f>
        <v>5.0000000000000001E-3</v>
      </c>
      <c r="G36" s="1518"/>
      <c r="H36" s="2878"/>
      <c r="J36" s="3256"/>
      <c r="K36" s="2719"/>
      <c r="L36" s="2878"/>
      <c r="M36" s="2878"/>
    </row>
    <row r="37" spans="1:18" ht="18" customHeight="1">
      <c r="A37" s="1093" t="s">
        <v>862</v>
      </c>
      <c r="B37" s="308" t="s">
        <v>1177</v>
      </c>
      <c r="C37" s="24">
        <f ca="1">ROUND(C13*F37,1)</f>
        <v>4.4000000000000004</v>
      </c>
      <c r="D37" s="1478" t="s">
        <v>1178</v>
      </c>
      <c r="E37" s="308" t="s">
        <v>1179</v>
      </c>
      <c r="F37" s="336">
        <f ca="1">INDIRECT("'数据-取费表'!Al"&amp;$G$1)</f>
        <v>1E-3</v>
      </c>
      <c r="G37" s="1518"/>
      <c r="H37" s="2878"/>
      <c r="I37" s="3257" t="s">
        <v>3243</v>
      </c>
      <c r="J37" s="3258">
        <f ca="1">ROUND(J40/((1+J41)^F41),0)</f>
        <v>32139</v>
      </c>
    </row>
    <row r="38" spans="1:18" ht="18" customHeight="1" thickBot="1">
      <c r="A38" s="1201" t="s">
        <v>1117</v>
      </c>
      <c r="B38" s="1202" t="s">
        <v>1163</v>
      </c>
      <c r="C38" s="1203">
        <f ca="1">ROUND(C5*F38,1)</f>
        <v>8.6999999999999993</v>
      </c>
      <c r="D38" s="1204" t="s">
        <v>1183</v>
      </c>
      <c r="E38" s="1202" t="s">
        <v>1179</v>
      </c>
      <c r="F38" s="1198">
        <f ca="1">INDIRECT("'数据-取费表'!Am"&amp;$G$1)</f>
        <v>5.0000000000000001E-3</v>
      </c>
      <c r="G38" s="1518"/>
      <c r="H38" s="2878"/>
      <c r="I38" s="3262" t="s">
        <v>3249</v>
      </c>
      <c r="J38" s="3263">
        <v>40000</v>
      </c>
      <c r="M38" s="2878"/>
    </row>
    <row r="39" spans="1:18" ht="24.6" customHeight="1" thickTop="1">
      <c r="A39" s="1191" t="s">
        <v>818</v>
      </c>
      <c r="B39" s="1206" t="s">
        <v>1207</v>
      </c>
      <c r="C39" s="316">
        <f ca="1">C5-C30</f>
        <v>1409</v>
      </c>
      <c r="D39" s="1207" t="s">
        <v>1208</v>
      </c>
      <c r="E39" s="1208"/>
      <c r="F39" s="1209"/>
      <c r="G39" s="1518"/>
      <c r="H39" s="2878"/>
      <c r="I39" s="3262" t="s">
        <v>3245</v>
      </c>
      <c r="J39" s="3259">
        <f ca="1">ROUND(J38*(1+J42)^F41,0)</f>
        <v>44163</v>
      </c>
      <c r="M39" s="2878"/>
    </row>
    <row r="40" spans="1:18" ht="18" customHeight="1">
      <c r="A40" s="305" t="s">
        <v>819</v>
      </c>
      <c r="B40" s="306" t="s">
        <v>1209</v>
      </c>
      <c r="C40" s="307">
        <f ca="1">ROUND(C39*(1-((1+F42)/(1+F40))^F41)/(F40-F42),0)</f>
        <v>6249</v>
      </c>
      <c r="D40" s="330" t="s">
        <v>1193</v>
      </c>
      <c r="E40" s="308" t="s">
        <v>1194</v>
      </c>
      <c r="F40" s="318">
        <f ca="1">INDIRECT("'数据-取费表'!I"&amp;$G$1)</f>
        <v>5.5E-2</v>
      </c>
      <c r="G40" s="1518"/>
      <c r="H40" s="1595"/>
      <c r="I40" s="3262" t="s">
        <v>3246</v>
      </c>
      <c r="J40" s="3259">
        <f ca="1">ROUND(J39*F43/10000,0)</f>
        <v>42004</v>
      </c>
      <c r="M40" s="1595"/>
    </row>
    <row r="41" spans="1:18" ht="18" customHeight="1">
      <c r="A41" s="310"/>
      <c r="B41" s="311"/>
      <c r="C41" s="312"/>
      <c r="D41" s="338" t="s">
        <v>1210</v>
      </c>
      <c r="E41" s="308" t="s">
        <v>1198</v>
      </c>
      <c r="F41" s="339">
        <f ca="1">IF(INDIRECT("'数据-取费表'!af"&amp;$G$1)=0,INDIRECT("'数据-取费表'!ae"&amp;$G$1),INDIRECT("'数据-取费表'!af"&amp;$G$1))</f>
        <v>5</v>
      </c>
      <c r="G41" s="1518"/>
      <c r="H41" s="1305"/>
      <c r="I41" s="3262" t="s">
        <v>3247</v>
      </c>
      <c r="J41" s="3260">
        <f ca="1">F40</f>
        <v>5.5E-2</v>
      </c>
      <c r="K41" s="2719"/>
      <c r="L41" s="1305"/>
      <c r="M41" s="1305"/>
    </row>
    <row r="42" spans="1:18" ht="18" customHeight="1">
      <c r="A42" s="314"/>
      <c r="B42" s="315"/>
      <c r="C42" s="316"/>
      <c r="D42" s="333"/>
      <c r="E42" s="308" t="s">
        <v>1201</v>
      </c>
      <c r="F42" s="318">
        <f ca="1">INDIRECT("'数据-取费表'!v"&amp;$G$1)</f>
        <v>0.02</v>
      </c>
      <c r="G42" s="1518"/>
      <c r="H42" s="1305"/>
      <c r="I42" s="3264" t="s">
        <v>3248</v>
      </c>
      <c r="J42" s="3261">
        <v>0.02</v>
      </c>
      <c r="K42" s="2719"/>
      <c r="L42" s="1305"/>
      <c r="M42" s="1305"/>
    </row>
    <row r="43" spans="1:18" ht="18" customHeight="1" thickBot="1">
      <c r="A43" s="340" t="s">
        <v>820</v>
      </c>
      <c r="B43" s="341" t="s">
        <v>1211</v>
      </c>
      <c r="C43" s="342">
        <f ca="1">ROUND(C40*10000/F43,0)</f>
        <v>6570</v>
      </c>
      <c r="D43" s="343" t="s">
        <v>1212</v>
      </c>
      <c r="E43" s="344" t="s">
        <v>1213</v>
      </c>
      <c r="F43" s="345">
        <f ca="1">INDIRECT("'数据-取费表'!k"&amp;$G$1)</f>
        <v>9511.0600000000013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-8243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3209</v>
      </c>
      <c r="K47" s="1550" t="s">
        <v>1251</v>
      </c>
      <c r="L47" s="1551">
        <f ca="1">INDIRECT("'数据-取费表'!d"&amp;$G$1)</f>
        <v>40</v>
      </c>
      <c r="M47" s="1514" t="str">
        <f>IF(ISNUMBER(FIND("住宅",C1)),"住宅","非住宅")</f>
        <v>非住宅</v>
      </c>
      <c r="O47" s="1552" t="s">
        <v>827</v>
      </c>
      <c r="P47" s="1553" t="s">
        <v>1252</v>
      </c>
      <c r="Q47" s="1554">
        <f ca="1">C40+J29</f>
        <v>38388</v>
      </c>
      <c r="R47" s="1554" t="s">
        <v>1253</v>
      </c>
    </row>
    <row r="48" spans="1:18" s="1518" customFormat="1" ht="28.5" thickBot="1">
      <c r="A48" s="1222" t="s">
        <v>863</v>
      </c>
      <c r="B48" s="306" t="s">
        <v>1125</v>
      </c>
      <c r="C48" s="1493">
        <f ca="1">C49+C53+C55</f>
        <v>0</v>
      </c>
      <c r="D48" s="1224"/>
      <c r="E48" s="1225"/>
      <c r="F48" s="1073"/>
      <c r="G48" s="730"/>
      <c r="H48" s="731"/>
      <c r="I48" s="1555" t="s">
        <v>1254</v>
      </c>
      <c r="J48" s="1556" t="s">
        <v>3210</v>
      </c>
      <c r="K48" s="1557" t="s">
        <v>1255</v>
      </c>
      <c r="L48" s="1558">
        <f ca="1">INDIRECT("'数据-取费表'!f"&amp;$G$1)</f>
        <v>26.56</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2013</v>
      </c>
      <c r="K49" s="1557" t="s">
        <v>1259</v>
      </c>
      <c r="L49" s="1561"/>
      <c r="O49" s="1562" t="s">
        <v>829</v>
      </c>
      <c r="P49" s="1553" t="s">
        <v>1260</v>
      </c>
      <c r="Q49" s="1554">
        <f ca="1">C29</f>
        <v>5151</v>
      </c>
      <c r="R49" s="1554" t="s">
        <v>1253</v>
      </c>
    </row>
    <row r="50" spans="1:18" s="1518" customFormat="1" ht="13.5" thickBot="1">
      <c r="A50" s="1087"/>
      <c r="B50" s="1090"/>
      <c r="C50" s="1230"/>
      <c r="D50" s="1064"/>
      <c r="E50" s="1167" t="s">
        <v>1130</v>
      </c>
      <c r="F50" s="1168">
        <f ca="1">F7</f>
        <v>9511.0600000000013</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51</v>
      </c>
      <c r="K51" s="1568" t="s">
        <v>1265</v>
      </c>
      <c r="L51" s="1569">
        <f ca="1">ROUND(-PV(INDIRECT("'数据-取费表'!h"&amp;$G$1),J51,(C39-C13*C76),0),0)</f>
        <v>19417</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26.56</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26.56</v>
      </c>
      <c r="K53" s="3460" t="s">
        <v>1272</v>
      </c>
      <c r="L53" s="3461"/>
      <c r="O53" s="1552" t="s">
        <v>833</v>
      </c>
      <c r="P53" s="1553" t="s">
        <v>1273</v>
      </c>
      <c r="Q53" s="1554">
        <f ca="1">Q47+Q48</f>
        <v>38388</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4378</v>
      </c>
      <c r="D56" s="1581"/>
      <c r="E56" s="1582"/>
      <c r="F56" s="1574"/>
      <c r="I56" s="1583" t="s">
        <v>1278</v>
      </c>
      <c r="J56" s="1584" t="s">
        <v>3179</v>
      </c>
      <c r="K56" s="1555" t="s">
        <v>1279</v>
      </c>
      <c r="L56" s="1558" t="str">
        <f ca="1">IF(L48&lt;J51,"——",L48-J53)</f>
        <v>——</v>
      </c>
      <c r="O56" s="1552" t="s">
        <v>827</v>
      </c>
      <c r="P56" s="1553" t="s">
        <v>1252</v>
      </c>
      <c r="Q56" s="1554">
        <f ca="1">C40+J29</f>
        <v>38388</v>
      </c>
      <c r="R56" s="1554" t="s">
        <v>1253</v>
      </c>
    </row>
    <row r="57" spans="1:18" s="1518" customFormat="1" ht="24.75" thickBot="1">
      <c r="A57" s="1585"/>
      <c r="B57" s="1061" t="s">
        <v>1202</v>
      </c>
      <c r="C57" s="244">
        <f ca="1">C29</f>
        <v>5151</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467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437</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432.68</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4.3099999999999996</v>
      </c>
      <c r="D62" s="1076" t="s">
        <v>1221</v>
      </c>
      <c r="E62" s="1061" t="s">
        <v>1222</v>
      </c>
      <c r="F62" s="331">
        <f t="shared" si="0"/>
        <v>12</v>
      </c>
      <c r="I62" s="1596" t="s">
        <v>1294</v>
      </c>
      <c r="J62" s="1597" t="s">
        <v>1295</v>
      </c>
      <c r="K62" s="1597" t="s">
        <v>1296</v>
      </c>
      <c r="L62" s="1597" t="s">
        <v>1297</v>
      </c>
      <c r="M62" s="1598" t="s">
        <v>1298</v>
      </c>
      <c r="O62" s="1552" t="s">
        <v>833</v>
      </c>
      <c r="P62" s="1553" t="s">
        <v>1299</v>
      </c>
      <c r="Q62" s="1554">
        <f ca="1">Q56+Q57</f>
        <v>38388</v>
      </c>
      <c r="R62" s="1554" t="s">
        <v>834</v>
      </c>
    </row>
    <row r="63" spans="1:18" s="1518" customFormat="1" ht="13.5" thickBot="1">
      <c r="A63" s="332"/>
      <c r="B63" s="1067"/>
      <c r="C63" s="29"/>
      <c r="D63" s="1077"/>
      <c r="E63" s="1061" t="s">
        <v>1223</v>
      </c>
      <c r="F63" s="309">
        <f t="shared" ca="1" si="0"/>
        <v>3589.08</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25.8</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4.4000000000000004</v>
      </c>
      <c r="D65" s="1075" t="s">
        <v>1178</v>
      </c>
      <c r="E65" s="1061" t="s">
        <v>1179</v>
      </c>
      <c r="F65" s="336">
        <f t="shared" ca="1" si="0"/>
        <v>1E-3</v>
      </c>
      <c r="I65" s="1596" t="s">
        <v>1303</v>
      </c>
      <c r="J65" s="1597">
        <v>40</v>
      </c>
      <c r="K65" s="1597">
        <v>30</v>
      </c>
      <c r="L65" s="1597">
        <v>50</v>
      </c>
      <c r="M65" s="1599">
        <v>0.02</v>
      </c>
      <c r="O65" s="1552" t="s">
        <v>827</v>
      </c>
      <c r="P65" s="1553" t="s">
        <v>1304</v>
      </c>
      <c r="Q65" s="1554">
        <f ca="1">C40+J29</f>
        <v>38388</v>
      </c>
      <c r="R65" s="1554" t="s">
        <v>1253</v>
      </c>
    </row>
    <row r="66" spans="1:18" s="1518" customFormat="1" ht="16.5" thickBot="1">
      <c r="A66" s="1093" t="s">
        <v>1228</v>
      </c>
      <c r="B66" s="1061" t="s">
        <v>1163</v>
      </c>
      <c r="C66" s="24">
        <f ca="1">ROUND(C48*F66,1)</f>
        <v>0</v>
      </c>
      <c r="D66" s="1075" t="s">
        <v>1229</v>
      </c>
      <c r="E66" s="1061" t="s">
        <v>1146</v>
      </c>
      <c r="F66" s="318">
        <f t="shared" ca="1" si="0"/>
        <v>5.0000000000000001E-3</v>
      </c>
      <c r="O66" s="1552" t="s">
        <v>828</v>
      </c>
      <c r="P66" s="1553" t="s">
        <v>1282</v>
      </c>
      <c r="Q66" s="1554">
        <f ca="1">L60</f>
        <v>0</v>
      </c>
      <c r="R66" s="1554" t="s">
        <v>1305</v>
      </c>
    </row>
    <row r="67" spans="1:18" s="1518" customFormat="1" ht="16.5" thickBot="1">
      <c r="A67" s="1068" t="s">
        <v>818</v>
      </c>
      <c r="B67" s="1078" t="s">
        <v>1187</v>
      </c>
      <c r="C67" s="322">
        <f ca="1">C48-C58</f>
        <v>-467</v>
      </c>
      <c r="D67" s="1074" t="s">
        <v>1188</v>
      </c>
      <c r="E67" s="1079"/>
      <c r="F67" s="1080"/>
      <c r="O67" s="1562" t="s">
        <v>829</v>
      </c>
      <c r="P67" s="1553" t="s">
        <v>1286</v>
      </c>
      <c r="Q67" s="1600">
        <f ca="1">L51</f>
        <v>19417</v>
      </c>
      <c r="R67" s="1554" t="s">
        <v>1306</v>
      </c>
    </row>
    <row r="68" spans="1:18" s="1518" customFormat="1" ht="16.5" thickBot="1">
      <c r="A68" s="1058" t="s">
        <v>819</v>
      </c>
      <c r="B68" s="1059" t="s">
        <v>1209</v>
      </c>
      <c r="C68" s="307">
        <f ca="1">ROUND(C67*(1-((1+F70)/(1+F68))^F69)/(F68-F70),0)</f>
        <v>-1994</v>
      </c>
      <c r="D68" s="1076" t="s">
        <v>1193</v>
      </c>
      <c r="E68" s="1061" t="s">
        <v>1194</v>
      </c>
      <c r="F68" s="318">
        <f ca="1">F40</f>
        <v>5.5E-2</v>
      </c>
      <c r="O68" s="1562" t="s">
        <v>830</v>
      </c>
      <c r="P68" s="1601" t="s">
        <v>1307</v>
      </c>
      <c r="Q68" s="1554">
        <f ca="1">ROUND(Q69-Q70*Q71,0)</f>
        <v>1059</v>
      </c>
      <c r="R68" s="1554" t="s">
        <v>838</v>
      </c>
    </row>
    <row r="69" spans="1:18" s="1518" customFormat="1" ht="13.5" thickBot="1">
      <c r="A69" s="1062"/>
      <c r="B69" s="1063"/>
      <c r="C69" s="312"/>
      <c r="D69" s="1081" t="s">
        <v>1197</v>
      </c>
      <c r="E69" s="1061" t="s">
        <v>1198</v>
      </c>
      <c r="F69" s="339">
        <f ca="1">F41</f>
        <v>5</v>
      </c>
      <c r="O69" s="1562" t="s">
        <v>835</v>
      </c>
      <c r="P69" s="1601" t="s">
        <v>1308</v>
      </c>
      <c r="Q69" s="1554">
        <f ca="1">C39</f>
        <v>1409</v>
      </c>
      <c r="R69" s="1554" t="s">
        <v>1253</v>
      </c>
    </row>
    <row r="70" spans="1:18" s="1518" customFormat="1" ht="13.5" thickBot="1">
      <c r="A70" s="1065"/>
      <c r="B70" s="1066"/>
      <c r="C70" s="316"/>
      <c r="D70" s="1077"/>
      <c r="E70" s="1061" t="s">
        <v>1201</v>
      </c>
      <c r="F70" s="1165"/>
      <c r="O70" s="1562" t="s">
        <v>836</v>
      </c>
      <c r="P70" s="1601" t="s">
        <v>1309</v>
      </c>
      <c r="Q70" s="1554">
        <f ca="1">C13</f>
        <v>4378</v>
      </c>
      <c r="R70" s="1554" t="s">
        <v>1253</v>
      </c>
    </row>
    <row r="71" spans="1:18" s="1518" customFormat="1" ht="13.5" thickBot="1">
      <c r="A71" s="1082" t="s">
        <v>820</v>
      </c>
      <c r="B71" s="1083" t="s">
        <v>1211</v>
      </c>
      <c r="C71" s="342">
        <f ca="1">ROUND(C68*10000/F71,0)</f>
        <v>-2097</v>
      </c>
      <c r="D71" s="1084" t="s">
        <v>1212</v>
      </c>
      <c r="E71" s="1085" t="s">
        <v>1213</v>
      </c>
      <c r="F71" s="345">
        <f ca="1">F43</f>
        <v>9511.0600000000013</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350</v>
      </c>
      <c r="D75" s="1518"/>
      <c r="E75" s="1518"/>
      <c r="F75" s="1518"/>
      <c r="K75" s="1536"/>
      <c r="L75" s="1518"/>
      <c r="O75" s="1552" t="s">
        <v>833</v>
      </c>
      <c r="P75" s="1553" t="s">
        <v>1273</v>
      </c>
      <c r="Q75" s="1554">
        <f ca="1">Q65+Q66</f>
        <v>38388</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0.752</v>
      </c>
    </row>
    <row r="80" spans="1:18">
      <c r="B80" s="346" t="s">
        <v>1235</v>
      </c>
      <c r="C80" s="280">
        <f ca="1">ROUND(C75/C39,3)</f>
        <v>0.248</v>
      </c>
    </row>
    <row r="81" spans="2:3">
      <c r="B81" s="276" t="s">
        <v>1236</v>
      </c>
      <c r="C81" s="244"/>
    </row>
    <row r="82" spans="2:3">
      <c r="B82" s="279" t="s">
        <v>1237</v>
      </c>
      <c r="C82" s="281">
        <f ca="1">1-C83</f>
        <v>0.29900000000000004</v>
      </c>
    </row>
    <row r="83" spans="2:3">
      <c r="B83" s="279" t="s">
        <v>1238</v>
      </c>
      <c r="C83" s="280">
        <f ca="1">ROUND(C13/C40,3)</f>
        <v>0.70099999999999996</v>
      </c>
    </row>
  </sheetData>
  <sheetProtection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3185</v>
      </c>
      <c r="D1" s="1496" t="s">
        <v>70</v>
      </c>
      <c r="E1" s="1497" t="s">
        <v>1111</v>
      </c>
      <c r="F1" s="1173" t="e">
        <f ca="1">J53</f>
        <v>#N/A</v>
      </c>
      <c r="G1" s="1512" t="e">
        <f>MATCH(C1,'数据-取费表'!A6:A16,0)+5</f>
        <v>#N/A</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t="e">
        <f ca="1">C40+J29+L46</f>
        <v>#N/A</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457" t="s">
        <v>1127</v>
      </c>
      <c r="C6" s="1186" t="e">
        <f ca="1">ROUND(F6*F8*F7*(1-F9)/10000,0)</f>
        <v>#N/A</v>
      </c>
      <c r="D6" s="160" t="s">
        <v>2608</v>
      </c>
      <c r="E6" s="308" t="s">
        <v>1129</v>
      </c>
      <c r="F6" s="309" t="e">
        <f ca="1">INDIRECT("'数据-取费表'!u"&amp;$G$1)</f>
        <v>#N/A</v>
      </c>
      <c r="G6" s="1518"/>
      <c r="H6" s="1181" t="s">
        <v>822</v>
      </c>
      <c r="I6" s="3457" t="s">
        <v>1127</v>
      </c>
      <c r="J6" s="307" t="e">
        <f ca="1">ROUND(M6*M8*M7*(1-M9)/10000,0)</f>
        <v>#N/A</v>
      </c>
      <c r="K6" s="160" t="s">
        <v>2607</v>
      </c>
      <c r="L6" s="308" t="s">
        <v>1129</v>
      </c>
      <c r="M6" s="309" t="e">
        <f ca="1">INDIRECT("'数据-取费表'!z"&amp;$G$1)</f>
        <v>#N/A</v>
      </c>
    </row>
    <row r="7" spans="1:37" ht="18" customHeight="1">
      <c r="A7" s="1185"/>
      <c r="B7" s="3458"/>
      <c r="C7" s="1187"/>
      <c r="D7" s="313"/>
      <c r="E7" s="3245" t="s">
        <v>1130</v>
      </c>
      <c r="F7" s="309" t="e">
        <f ca="1">IF(INDIRECT("'数据-取费表'!ah"&amp;$G$1)="",INDIRECT("'数据-取费表'!k"&amp;$G$1),INDIRECT("'数据-取费表'!ah"&amp;$G$1))</f>
        <v>#N/A</v>
      </c>
      <c r="G7" s="1518"/>
      <c r="H7" s="310"/>
      <c r="I7" s="3458"/>
      <c r="J7" s="312"/>
      <c r="K7" s="313"/>
      <c r="L7" s="308" t="s">
        <v>1130</v>
      </c>
      <c r="M7" s="309" t="e">
        <f ca="1">F7</f>
        <v>#N/A</v>
      </c>
    </row>
    <row r="8" spans="1:37" ht="18" customHeight="1">
      <c r="A8" s="310"/>
      <c r="B8" s="3458"/>
      <c r="C8" s="312"/>
      <c r="D8" s="313"/>
      <c r="E8" s="308" t="s">
        <v>1131</v>
      </c>
      <c r="F8" s="309" t="e">
        <f ca="1">INDIRECT("'数据-取费表'!ai"&amp;$G$1)</f>
        <v>#N/A</v>
      </c>
      <c r="G8" s="1518"/>
      <c r="H8" s="310"/>
      <c r="I8" s="3458"/>
      <c r="J8" s="312"/>
      <c r="K8" s="313"/>
      <c r="L8" s="308" t="s">
        <v>1131</v>
      </c>
      <c r="M8" s="309" t="e">
        <f ca="1">INDIRECT("'数据-取费表'!ai"&amp;$G$1)</f>
        <v>#N/A</v>
      </c>
    </row>
    <row r="9" spans="1:37" ht="18" customHeight="1">
      <c r="A9" s="310"/>
      <c r="B9" s="3459"/>
      <c r="C9" s="312"/>
      <c r="D9" s="313"/>
      <c r="E9" s="308" t="s">
        <v>1132</v>
      </c>
      <c r="F9" s="318" t="e">
        <f ca="1">INDIRECT("'数据-取费表'!w"&amp;$G$1)</f>
        <v>#N/A</v>
      </c>
      <c r="G9" s="1518"/>
      <c r="H9" s="310"/>
      <c r="I9" s="3459"/>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2615</v>
      </c>
      <c r="E10" s="319" t="s">
        <v>1134</v>
      </c>
      <c r="F10" s="1228" t="s">
        <v>3207</v>
      </c>
      <c r="G10" s="1518"/>
      <c r="H10" s="1181" t="s">
        <v>826</v>
      </c>
      <c r="I10" s="1499" t="s">
        <v>1133</v>
      </c>
      <c r="J10" s="307" t="e">
        <f ca="1">ROUND(IF(M10="押一",J6/12*M11,IF(M10="押二",J6/12*2*M11,IF(M10="押三",J6/12*3*M11,J11*M11))),0)</f>
        <v>#N/A</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3237" t="s">
        <v>1139</v>
      </c>
      <c r="E13" s="3237" t="s">
        <v>1140</v>
      </c>
      <c r="F13" s="1194" t="e">
        <f ca="1">INDIRECT("'数据-取费表'!y"&amp;$G$1)</f>
        <v>#N/A</v>
      </c>
      <c r="G13" s="1518"/>
      <c r="H13" s="1191">
        <v>2</v>
      </c>
      <c r="I13" s="1192" t="s">
        <v>1138</v>
      </c>
      <c r="J13" s="1180" t="e">
        <f ca="1">ROUND(J14*J15,0)</f>
        <v>#N/A</v>
      </c>
      <c r="K13" s="1199" t="s">
        <v>1139</v>
      </c>
      <c r="L13" s="1526"/>
      <c r="M13" s="1527"/>
    </row>
    <row r="14" spans="1:37" ht="18" customHeight="1">
      <c r="A14" s="1093" t="s">
        <v>821</v>
      </c>
      <c r="B14" s="308" t="s">
        <v>1141</v>
      </c>
      <c r="C14" s="324" t="e">
        <f ca="1">INDIRECT("'数据-取费表'!m"&amp;$G$1)+INDIRECT("'数据-取费表'!t"&amp;$G$1)</f>
        <v>#N/A</v>
      </c>
      <c r="D14" s="3241" t="s">
        <v>1142</v>
      </c>
      <c r="E14" s="3239"/>
      <c r="F14" s="325"/>
      <c r="G14" s="1518"/>
      <c r="H14" s="1093" t="s">
        <v>822</v>
      </c>
      <c r="I14" s="308" t="s">
        <v>1143</v>
      </c>
      <c r="J14" s="24" t="e">
        <f ca="1">C29</f>
        <v>#N/A</v>
      </c>
      <c r="K14" s="3244"/>
      <c r="L14" s="896"/>
      <c r="M14" s="897"/>
    </row>
    <row r="15" spans="1:37" s="1531" customFormat="1" ht="18" customHeight="1" thickBot="1">
      <c r="A15" s="1093" t="s">
        <v>823</v>
      </c>
      <c r="B15" s="308" t="s">
        <v>1144</v>
      </c>
      <c r="C15" s="24" t="e">
        <f ca="1">ROUND(C14*F15,0)</f>
        <v>#N/A</v>
      </c>
      <c r="D15" s="3238" t="s">
        <v>1145</v>
      </c>
      <c r="E15" s="3238"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3242"/>
      <c r="M16" s="1184"/>
    </row>
    <row r="17" spans="1:37" s="1531" customFormat="1" ht="18" customHeight="1">
      <c r="A17" s="1093" t="s">
        <v>1114</v>
      </c>
      <c r="B17" s="308" t="s">
        <v>1150</v>
      </c>
      <c r="C17" s="24" t="e">
        <f ca="1">ROUND(F17*(F43+INDIRECT("'数据-取费表'!S"&amp;$G$1))/10000,0)</f>
        <v>#N/A</v>
      </c>
      <c r="D17" s="308" t="s">
        <v>1151</v>
      </c>
      <c r="E17" s="308" t="s">
        <v>1152</v>
      </c>
      <c r="F17" s="26">
        <f>'数据-取费表'!B35</f>
        <v>200</v>
      </c>
      <c r="G17" s="1530"/>
      <c r="H17" s="1093" t="s">
        <v>822</v>
      </c>
      <c r="I17" s="308" t="s">
        <v>1153</v>
      </c>
      <c r="J17" s="2484" t="e">
        <f ca="1">ROUND(IF(AND(项目基本情况!B11="自然人",项目基本情况!B10="北京市"),J6*M17/(1+'数据-取费表'!C42),J18+J19+J20),0)</f>
        <v>#N/A</v>
      </c>
      <c r="K17" s="3241" t="s">
        <v>1154</v>
      </c>
      <c r="L17" s="3240"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t="e">
        <f ca="1">ROUND(C14*F18,0)</f>
        <v>#N/A</v>
      </c>
      <c r="D18" s="308" t="s">
        <v>1145</v>
      </c>
      <c r="E18" s="308" t="s">
        <v>1146</v>
      </c>
      <c r="F18" s="328">
        <f>'数据-取费表'!B36</f>
        <v>1.4999999999999999E-2</v>
      </c>
      <c r="G18" s="1530"/>
      <c r="H18" s="1093" t="s">
        <v>821</v>
      </c>
      <c r="I18" s="308" t="s">
        <v>1157</v>
      </c>
      <c r="J18" s="24" t="e">
        <f ca="1">ROUND(J6*M18/(1+'数据-取费表'!C42),2)</f>
        <v>#N/A</v>
      </c>
      <c r="K18" s="3240"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t="e">
        <f ca="1">SUM(C14:C18)</f>
        <v>#N/A</v>
      </c>
      <c r="D19" s="136" t="s">
        <v>1160</v>
      </c>
      <c r="E19" s="3247"/>
      <c r="F19" s="26"/>
      <c r="G19" s="1518"/>
      <c r="H19" s="1093"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3" t="s">
        <v>826</v>
      </c>
      <c r="B20" s="308" t="s">
        <v>1163</v>
      </c>
      <c r="C20" s="24" t="e">
        <f ca="1">ROUND(C19*F20,0)</f>
        <v>#N/A</v>
      </c>
      <c r="D20" s="329" t="s">
        <v>1164</v>
      </c>
      <c r="E20" s="308" t="s">
        <v>1146</v>
      </c>
      <c r="F20" s="328">
        <f>'数据-取费表'!B37</f>
        <v>0.02</v>
      </c>
      <c r="G20" s="1530"/>
      <c r="H20" s="1093" t="s">
        <v>1113</v>
      </c>
      <c r="I20" s="160" t="s">
        <v>1165</v>
      </c>
      <c r="J20" s="25" t="e">
        <f ca="1">ROUND(M20*M21/10000,2)</f>
        <v>#N/A</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3247"/>
      <c r="F22" s="26"/>
      <c r="G22" s="1518"/>
      <c r="H22" s="1093" t="s">
        <v>826</v>
      </c>
      <c r="I22" s="308" t="s">
        <v>1173</v>
      </c>
      <c r="J22" s="24" t="e">
        <f ca="1">ROUND(J14*M22,1)</f>
        <v>#N/A</v>
      </c>
      <c r="K22" s="3240" t="s">
        <v>1174</v>
      </c>
      <c r="L22" s="308" t="s">
        <v>1146</v>
      </c>
      <c r="M22" s="334" t="e">
        <f ca="1">INDIRECT("'数据-取费表'!Ak"&amp;$G$1)</f>
        <v>#N/A</v>
      </c>
    </row>
    <row r="23" spans="1:37" s="1531" customFormat="1" ht="18" customHeight="1">
      <c r="A23" s="1093"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t="e">
        <f ca="1">ROUND(J13*M23,1)</f>
        <v>#N/A</v>
      </c>
      <c r="K23" s="3240" t="s">
        <v>1178</v>
      </c>
      <c r="L23" s="308" t="s">
        <v>1146</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0"/>
      <c r="H24" s="1201" t="s">
        <v>1116</v>
      </c>
      <c r="I24" s="1202" t="s">
        <v>1163</v>
      </c>
      <c r="J24" s="1203" t="e">
        <f ca="1">ROUND(J5*M24,1)</f>
        <v>#N/A</v>
      </c>
      <c r="K24" s="1204" t="s">
        <v>1183</v>
      </c>
      <c r="L24" s="1202" t="s">
        <v>1146</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3247"/>
      <c r="F25" s="26"/>
      <c r="G25" s="1518"/>
      <c r="H25" s="1191" t="s">
        <v>818</v>
      </c>
      <c r="I25" s="1206" t="s">
        <v>1187</v>
      </c>
      <c r="J25" s="316" t="e">
        <f ca="1">J5-J16</f>
        <v>#N/A</v>
      </c>
      <c r="K25" s="1207" t="s">
        <v>1188</v>
      </c>
      <c r="L25" s="1208"/>
      <c r="M25" s="1209"/>
    </row>
    <row r="26" spans="1:37">
      <c r="A26" s="1093"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3" t="s">
        <v>823</v>
      </c>
      <c r="B27" s="308" t="s">
        <v>1195</v>
      </c>
      <c r="C27" s="24" t="e">
        <f ca="1">ROUND(F21*F26,4)</f>
        <v>#N/A</v>
      </c>
      <c r="D27" s="329" t="s">
        <v>1196</v>
      </c>
      <c r="E27" s="3238"/>
      <c r="F27" s="327"/>
      <c r="G27" s="1518"/>
      <c r="H27" s="310"/>
      <c r="I27" s="311"/>
      <c r="J27" s="312"/>
      <c r="K27" s="338" t="s">
        <v>1197</v>
      </c>
      <c r="L27" s="308" t="s">
        <v>1198</v>
      </c>
      <c r="M27" s="339" t="e">
        <f ca="1">INDIRECT("'数据-取费表'!ag"&amp;$G$1)</f>
        <v>#N/A</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3242"/>
      <c r="F30" s="1184"/>
      <c r="G30" s="1518"/>
      <c r="H30" s="2875"/>
      <c r="I30" s="1532"/>
      <c r="J30" s="1533"/>
      <c r="K30" s="2650"/>
      <c r="L30" s="2876"/>
      <c r="M30" s="2877"/>
    </row>
    <row r="31" spans="1:37" ht="18" customHeight="1">
      <c r="A31" s="1093" t="s">
        <v>822</v>
      </c>
      <c r="B31" s="308" t="s">
        <v>1153</v>
      </c>
      <c r="C31" s="2484" t="e">
        <f ca="1">ROUND(IF(AND(项目基本情况!B11="自然人",项目基本情况!B10="北京市"),C6*F31/(1+'数据-取费表'!C42),C32+C33+C34),0)</f>
        <v>#N/A</v>
      </c>
      <c r="D31" s="3241" t="s">
        <v>1154</v>
      </c>
      <c r="E31" s="3240"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t="e">
        <f ca="1">IF(项目基本情况!B11="自然人","——",ROUND(C6*F32/(1+'数据-取费表'!C42),2))</f>
        <v>#N/A</v>
      </c>
      <c r="D32" s="3240"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t="e">
        <f ca="1">IF(项目基本情况!B11="自然人","——",IF(D33="按租金收入计税",ROUND(C6*F33/(1+'数据-取费表'!C42),2),IF(D33="按房产原值计税",ROUND(C29*F33*0.7,2),INDIRECT("'数据-取费表'!Aj"&amp;$G$1))))</f>
        <v>#N/A</v>
      </c>
      <c r="D33" s="1504" t="s">
        <v>3208</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t="e">
        <f ca="1">IF(项目基本情况!B11="自然人","——",ROUND(F34*F35/10000,2))</f>
        <v>#N/A</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t="e">
        <f ca="1">INDIRECT("'数据-取费表'!r"&amp;$G$1)</f>
        <v>#N/A</v>
      </c>
      <c r="G35" s="1518"/>
      <c r="H35" s="2875"/>
      <c r="I35" s="1532"/>
      <c r="J35" s="1533"/>
      <c r="K35" s="2879"/>
      <c r="L35" s="2878"/>
      <c r="M35" s="2878"/>
    </row>
    <row r="36" spans="1:18" ht="18" customHeight="1">
      <c r="A36" s="1214" t="s">
        <v>826</v>
      </c>
      <c r="B36" s="308" t="s">
        <v>1173</v>
      </c>
      <c r="C36" s="24" t="e">
        <f ca="1">ROUND(C29*F36,1)</f>
        <v>#N/A</v>
      </c>
      <c r="D36" s="3240" t="s">
        <v>1206</v>
      </c>
      <c r="E36" s="308" t="s">
        <v>1146</v>
      </c>
      <c r="F36" s="334" t="e">
        <f ca="1">INDIRECT("'数据-取费表'!Ak"&amp;$G$1)</f>
        <v>#N/A</v>
      </c>
      <c r="G36" s="1518"/>
      <c r="H36" s="2878"/>
      <c r="I36" s="1532"/>
      <c r="J36" s="1533"/>
      <c r="K36" s="2719"/>
      <c r="L36" s="2878"/>
      <c r="M36" s="2878"/>
    </row>
    <row r="37" spans="1:18" ht="18" customHeight="1">
      <c r="A37" s="1093" t="s">
        <v>862</v>
      </c>
      <c r="B37" s="308" t="s">
        <v>1177</v>
      </c>
      <c r="C37" s="24" t="e">
        <f ca="1">ROUND(C13*F37,1)</f>
        <v>#N/A</v>
      </c>
      <c r="D37" s="3240" t="s">
        <v>1178</v>
      </c>
      <c r="E37" s="308" t="s">
        <v>1146</v>
      </c>
      <c r="F37" s="336" t="e">
        <f ca="1">INDIRECT("'数据-取费表'!Al"&amp;$G$1)</f>
        <v>#N/A</v>
      </c>
      <c r="G37" s="1518"/>
      <c r="H37" s="2878"/>
      <c r="I37" s="1532"/>
      <c r="J37" s="1533"/>
      <c r="K37" s="2719"/>
      <c r="L37" s="2878"/>
      <c r="M37" s="2878"/>
    </row>
    <row r="38" spans="1:18" ht="18" customHeight="1" thickBot="1">
      <c r="A38" s="1201" t="s">
        <v>1116</v>
      </c>
      <c r="B38" s="1202" t="s">
        <v>1163</v>
      </c>
      <c r="C38" s="1203" t="e">
        <f ca="1">ROUND(C5*F38,1)</f>
        <v>#N/A</v>
      </c>
      <c r="D38" s="1204" t="s">
        <v>1183</v>
      </c>
      <c r="E38" s="1202" t="s">
        <v>1146</v>
      </c>
      <c r="F38" s="1198" t="e">
        <f ca="1">INDIRECT("'数据-取费表'!Am"&amp;$G$1)</f>
        <v>#N/A</v>
      </c>
      <c r="G38" s="1518"/>
      <c r="H38" s="2878"/>
      <c r="I38" s="1532"/>
      <c r="J38" s="1533"/>
      <c r="K38" s="2882"/>
      <c r="L38" s="2878"/>
      <c r="M38" s="2878"/>
    </row>
    <row r="39" spans="1:18" ht="24.6" customHeight="1" thickTop="1">
      <c r="A39" s="1191" t="s">
        <v>818</v>
      </c>
      <c r="B39" s="1206" t="s">
        <v>1187</v>
      </c>
      <c r="C39" s="316" t="e">
        <f ca="1">C5-C30</f>
        <v>#N/A</v>
      </c>
      <c r="D39" s="1207" t="s">
        <v>1188</v>
      </c>
      <c r="E39" s="1208"/>
      <c r="F39" s="1209"/>
      <c r="G39" s="1518"/>
      <c r="H39" s="2878"/>
      <c r="I39" s="1532"/>
      <c r="J39" s="1533"/>
      <c r="K39" s="2882"/>
      <c r="L39" s="2878"/>
      <c r="M39" s="2878"/>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82"/>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9"/>
      <c r="L41" s="1305"/>
      <c r="M41" s="1305"/>
    </row>
    <row r="42" spans="1:18" ht="18" customHeight="1">
      <c r="A42" s="314"/>
      <c r="B42" s="315"/>
      <c r="C42" s="316"/>
      <c r="D42" s="333"/>
      <c r="E42" s="308" t="s">
        <v>1201</v>
      </c>
      <c r="F42" s="318" t="e">
        <f ca="1">INDIRECT("'数据-取费表'!v"&amp;$G$1)</f>
        <v>#N/A</v>
      </c>
      <c r="G42" s="1518"/>
      <c r="H42" s="1305"/>
      <c r="I42" s="1532"/>
      <c r="J42" s="1533"/>
      <c r="K42" s="2719"/>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3209</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3246" t="e">
        <f ca="1">C49+C53+C55</f>
        <v>#N/A</v>
      </c>
      <c r="D48" s="1224"/>
      <c r="E48" s="1225"/>
      <c r="F48" s="1073"/>
      <c r="G48" s="730"/>
      <c r="H48" s="731"/>
      <c r="I48" s="1555" t="s">
        <v>1254</v>
      </c>
      <c r="J48" s="1556" t="s">
        <v>3210</v>
      </c>
      <c r="K48" s="1557" t="s">
        <v>1255</v>
      </c>
      <c r="L48" s="1558" t="e">
        <f ca="1">INDIRECT("'数据-取费表'!f"&amp;$G$1)</f>
        <v>#N/A</v>
      </c>
      <c r="O48" s="1552" t="s">
        <v>828</v>
      </c>
      <c r="P48" s="1553" t="s">
        <v>1256</v>
      </c>
      <c r="Q48" s="1554" t="e">
        <f ca="1">J60</f>
        <v>#N/A</v>
      </c>
      <c r="R48" s="1554" t="s">
        <v>1257</v>
      </c>
    </row>
    <row r="49" spans="1:18" s="1518" customFormat="1" ht="13.5" thickBot="1">
      <c r="A49" s="1086" t="s">
        <v>864</v>
      </c>
      <c r="B49" s="1505" t="s">
        <v>1214</v>
      </c>
      <c r="C49" s="1226" t="e">
        <f ca="1">ROUND(F49*F51*F50*(1-F52)/10000,0)</f>
        <v>#N/A</v>
      </c>
      <c r="D49" s="1166" t="s">
        <v>2607</v>
      </c>
      <c r="E49" s="1506" t="s">
        <v>1215</v>
      </c>
      <c r="F49" s="1171"/>
      <c r="G49" s="1559"/>
      <c r="H49" s="731"/>
      <c r="I49" s="1555" t="s">
        <v>1258</v>
      </c>
      <c r="J49" s="1560">
        <v>2013</v>
      </c>
      <c r="K49" s="1557" t="s">
        <v>1259</v>
      </c>
      <c r="L49" s="1561"/>
      <c r="O49" s="1562" t="s">
        <v>829</v>
      </c>
      <c r="P49" s="1553" t="s">
        <v>1260</v>
      </c>
      <c r="Q49" s="1554" t="e">
        <f ca="1">C29</f>
        <v>#N/A</v>
      </c>
      <c r="R49" s="1554" t="s">
        <v>1253</v>
      </c>
    </row>
    <row r="50" spans="1:18" s="1518" customFormat="1" ht="13.5" thickBot="1">
      <c r="A50" s="1087"/>
      <c r="B50" s="1090"/>
      <c r="C50" s="1230"/>
      <c r="D50" s="1064"/>
      <c r="E50" s="1167" t="s">
        <v>1130</v>
      </c>
      <c r="F50" s="1168" t="e">
        <f ca="1">F7</f>
        <v>#N/A</v>
      </c>
      <c r="H50" s="731"/>
      <c r="I50" s="1555" t="s">
        <v>1261</v>
      </c>
      <c r="J50" s="1563">
        <f>SUMPRODUCT((I63:I65=J47)*(J62:L62=J48)*(J63:L65))</f>
        <v>60</v>
      </c>
      <c r="K50" s="1557" t="s">
        <v>1262</v>
      </c>
      <c r="L50" s="1561"/>
      <c r="M50" s="1564"/>
      <c r="O50" s="1562" t="s">
        <v>830</v>
      </c>
      <c r="P50" s="1553" t="s">
        <v>1263</v>
      </c>
      <c r="Q50" s="1565" t="e">
        <f ca="1">J58</f>
        <v>#N/A</v>
      </c>
      <c r="R50" s="1554"/>
    </row>
    <row r="51" spans="1:18" s="1518" customFormat="1" ht="13.5" thickBot="1">
      <c r="A51" s="1088"/>
      <c r="B51" s="1090"/>
      <c r="C51" s="1091"/>
      <c r="D51" s="1064"/>
      <c r="E51" s="1092" t="s">
        <v>1131</v>
      </c>
      <c r="F51" s="309" t="e">
        <f ca="1">F8</f>
        <v>#N/A</v>
      </c>
      <c r="I51" s="1566" t="s">
        <v>1264</v>
      </c>
      <c r="J51" s="1567">
        <f>IF(J49="",J50,J49+J50-YEAR('数据-取费表'!B2))</f>
        <v>51</v>
      </c>
      <c r="K51" s="1568" t="s">
        <v>1265</v>
      </c>
      <c r="L51" s="1569" t="e">
        <f ca="1">ROUND(-PV(INDIRECT("'数据-取费表'!h"&amp;$G$1),J51,(C39-C13*C76),0),0)</f>
        <v>#N/A</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t="e">
        <f ca="1">IF(M47="住宅",IF(D1="——",MAX(J51,L48),MAX(J51,L48-'数据-取费表'!B24)),IF(D1="——",MIN(J51,L48),MIN(J51,L48-'数据-取费表'!B24)))</f>
        <v>#N/A</v>
      </c>
      <c r="K53" s="3460" t="s">
        <v>1272</v>
      </c>
      <c r="L53" s="3461"/>
      <c r="O53" s="1552" t="s">
        <v>833</v>
      </c>
      <c r="P53" s="1553" t="s">
        <v>1273</v>
      </c>
      <c r="Q53" s="1554" t="e">
        <f ca="1">Q47+Q48</f>
        <v>#N/A</v>
      </c>
      <c r="R53" s="1554" t="s">
        <v>834</v>
      </c>
    </row>
    <row r="54" spans="1:18" s="1518" customFormat="1" ht="13.5" thickBot="1">
      <c r="A54" s="1267"/>
      <c r="B54" s="1501" t="s">
        <v>1112</v>
      </c>
      <c r="C54" s="1070"/>
      <c r="D54" s="1500"/>
      <c r="E54" s="3243"/>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3243"/>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8">
        <v>2</v>
      </c>
      <c r="B56" s="1069" t="s">
        <v>1138</v>
      </c>
      <c r="C56" s="238" t="e">
        <f ca="1">C13</f>
        <v>#N/A</v>
      </c>
      <c r="D56" s="1581"/>
      <c r="E56" s="1582"/>
      <c r="F56" s="1574"/>
      <c r="I56" s="1583" t="s">
        <v>1278</v>
      </c>
      <c r="J56" s="1584" t="s">
        <v>3211</v>
      </c>
      <c r="K56" s="1555" t="s">
        <v>1279</v>
      </c>
      <c r="L56" s="1558" t="e">
        <f ca="1">IF(L48&lt;J51,"——",L48-J53)</f>
        <v>#N/A</v>
      </c>
      <c r="O56" s="1552" t="s">
        <v>827</v>
      </c>
      <c r="P56" s="1553" t="s">
        <v>1252</v>
      </c>
      <c r="Q56" s="1554" t="e">
        <f ca="1">C40+J29</f>
        <v>#N/A</v>
      </c>
      <c r="R56" s="1554" t="s">
        <v>1253</v>
      </c>
    </row>
    <row r="57" spans="1:18" s="1518" customFormat="1" ht="24.75" thickBot="1">
      <c r="A57" s="1585"/>
      <c r="B57" s="1061"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69" t="s">
        <v>1148</v>
      </c>
      <c r="C58" s="322" t="e">
        <f ca="1">ROUND(C59+C64+C65+C66,0)</f>
        <v>#N/A</v>
      </c>
      <c r="D58" s="1071" t="s">
        <v>1149</v>
      </c>
      <c r="E58" s="1072"/>
      <c r="F58" s="1073"/>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3" t="s">
        <v>822</v>
      </c>
      <c r="B59" s="1061" t="s">
        <v>1153</v>
      </c>
      <c r="C59" s="2484" t="e">
        <f ca="1">ROUND(IF(AND(项目基本情况!B11="自然人",项目基本情况!B10="北京市"),C49*F59/(1+'数据-取费表'!C42),C60+C61+C62),0)</f>
        <v>#N/A</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3" t="s">
        <v>821</v>
      </c>
      <c r="B60" s="1061" t="s">
        <v>1157</v>
      </c>
      <c r="C60" s="24" t="e">
        <f ca="1">IF(项目基本情况!B11="自然人","——",ROUND(C48*F60/(1+'数据-取费表'!C42),2))</f>
        <v>#N/A</v>
      </c>
      <c r="D60" s="1075" t="s">
        <v>1158</v>
      </c>
      <c r="E60" s="1061"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3" t="s">
        <v>1216</v>
      </c>
      <c r="B61" s="1061" t="s">
        <v>1161</v>
      </c>
      <c r="C61" s="24" t="e">
        <f ca="1">IF(项目基本情况!B11="自然人","——",IF(D61="按租金收入计税",ROUND(C49*F61/(1+'数据-取费表'!C42),2),IF(D61="按房产原值计税",ROUND(C57*F61*0.7,2),INDIRECT("'数据-取费表'!Aj"&amp;$G$1))))</f>
        <v>#N/A</v>
      </c>
      <c r="D61" s="1504" t="s">
        <v>1162</v>
      </c>
      <c r="E61" s="1061" t="s">
        <v>1146</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3" t="s">
        <v>1219</v>
      </c>
      <c r="B62" s="1060" t="s">
        <v>1165</v>
      </c>
      <c r="C62" s="25" t="e">
        <f ca="1">IF(项目基本情况!B11="自然人","——",ROUND(F62*F63/10000,2))</f>
        <v>#N/A</v>
      </c>
      <c r="D62" s="1076" t="s">
        <v>1166</v>
      </c>
      <c r="E62" s="1061" t="s">
        <v>1167</v>
      </c>
      <c r="F62" s="331">
        <f t="shared" si="0"/>
        <v>12</v>
      </c>
      <c r="I62" s="1596" t="s">
        <v>1294</v>
      </c>
      <c r="J62" s="1597" t="s">
        <v>1295</v>
      </c>
      <c r="K62" s="1597" t="s">
        <v>1296</v>
      </c>
      <c r="L62" s="1597" t="s">
        <v>1297</v>
      </c>
      <c r="M62" s="1598" t="s">
        <v>1298</v>
      </c>
      <c r="O62" s="1552" t="s">
        <v>833</v>
      </c>
      <c r="P62" s="1553" t="s">
        <v>1273</v>
      </c>
      <c r="Q62" s="1554" t="e">
        <f ca="1">Q56+Q57</f>
        <v>#N/A</v>
      </c>
      <c r="R62" s="1554" t="s">
        <v>834</v>
      </c>
    </row>
    <row r="63" spans="1:18" s="1518" customFormat="1" ht="13.5" thickBot="1">
      <c r="A63" s="332"/>
      <c r="B63" s="1067"/>
      <c r="C63" s="29"/>
      <c r="D63" s="1077"/>
      <c r="E63" s="1061" t="s">
        <v>1171</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3" t="s">
        <v>826</v>
      </c>
      <c r="B64" s="1061" t="s">
        <v>1173</v>
      </c>
      <c r="C64" s="24" t="e">
        <f ca="1">ROUND(C57*F64,1)</f>
        <v>#N/A</v>
      </c>
      <c r="D64" s="1075" t="s">
        <v>1206</v>
      </c>
      <c r="E64" s="1061" t="s">
        <v>1146</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t="e">
        <f ca="1">ROUND(C56*F65,1)</f>
        <v>#N/A</v>
      </c>
      <c r="D65" s="1075" t="s">
        <v>1178</v>
      </c>
      <c r="E65" s="1061" t="s">
        <v>1146</v>
      </c>
      <c r="F65" s="336" t="e">
        <f t="shared" ca="1" si="0"/>
        <v>#N/A</v>
      </c>
      <c r="I65" s="1596" t="s">
        <v>1303</v>
      </c>
      <c r="J65" s="1597">
        <v>40</v>
      </c>
      <c r="K65" s="1597">
        <v>30</v>
      </c>
      <c r="L65" s="1597">
        <v>50</v>
      </c>
      <c r="M65" s="1599">
        <v>0.02</v>
      </c>
      <c r="O65" s="1552" t="s">
        <v>827</v>
      </c>
      <c r="P65" s="1553" t="s">
        <v>1252</v>
      </c>
      <c r="Q65" s="1554" t="e">
        <f ca="1">C40+J29</f>
        <v>#N/A</v>
      </c>
      <c r="R65" s="1554" t="s">
        <v>1253</v>
      </c>
    </row>
    <row r="66" spans="1:18" s="1518" customFormat="1" ht="16.5" thickBot="1">
      <c r="A66" s="1093" t="s">
        <v>1228</v>
      </c>
      <c r="B66" s="1061" t="s">
        <v>1163</v>
      </c>
      <c r="C66" s="24" t="e">
        <f ca="1">ROUND(C48*F66,1)</f>
        <v>#N/A</v>
      </c>
      <c r="D66" s="1075" t="s">
        <v>1183</v>
      </c>
      <c r="E66" s="1061" t="s">
        <v>1146</v>
      </c>
      <c r="F66" s="318" t="e">
        <f t="shared" ca="1" si="0"/>
        <v>#N/A</v>
      </c>
      <c r="O66" s="1552" t="s">
        <v>828</v>
      </c>
      <c r="P66" s="1553" t="s">
        <v>1282</v>
      </c>
      <c r="Q66" s="1554" t="e">
        <f ca="1">L60</f>
        <v>#N/A</v>
      </c>
      <c r="R66" s="1554" t="s">
        <v>1305</v>
      </c>
    </row>
    <row r="67" spans="1:18" s="1518" customFormat="1" ht="16.5" thickBot="1">
      <c r="A67" s="1068" t="s">
        <v>818</v>
      </c>
      <c r="B67" s="1078" t="s">
        <v>1187</v>
      </c>
      <c r="C67" s="322" t="e">
        <f ca="1">C48-C58</f>
        <v>#N/A</v>
      </c>
      <c r="D67" s="1074" t="s">
        <v>1188</v>
      </c>
      <c r="E67" s="1079"/>
      <c r="F67" s="1080"/>
      <c r="O67" s="1562" t="s">
        <v>829</v>
      </c>
      <c r="P67" s="1553" t="s">
        <v>1286</v>
      </c>
      <c r="Q67" s="1600" t="e">
        <f ca="1">L51</f>
        <v>#N/A</v>
      </c>
      <c r="R67" s="1554" t="s">
        <v>1306</v>
      </c>
    </row>
    <row r="68" spans="1:18" s="1518" customFormat="1" ht="16.5" thickBot="1">
      <c r="A68" s="1058" t="s">
        <v>819</v>
      </c>
      <c r="B68" s="1059" t="s">
        <v>1209</v>
      </c>
      <c r="C68" s="307" t="e">
        <f ca="1">ROUND(C67*(1-((1+F70)/(1+F68))^F69)/(F68-F70),0)</f>
        <v>#N/A</v>
      </c>
      <c r="D68" s="1076" t="s">
        <v>1193</v>
      </c>
      <c r="E68" s="1061" t="s">
        <v>1194</v>
      </c>
      <c r="F68" s="318" t="e">
        <f ca="1">F40</f>
        <v>#N/A</v>
      </c>
      <c r="O68" s="1562" t="s">
        <v>830</v>
      </c>
      <c r="P68" s="1601" t="s">
        <v>1307</v>
      </c>
      <c r="Q68" s="1554" t="e">
        <f ca="1">ROUND(Q69-Q70*Q71,0)</f>
        <v>#N/A</v>
      </c>
      <c r="R68" s="1554" t="s">
        <v>838</v>
      </c>
    </row>
    <row r="69" spans="1:18" s="1518" customFormat="1" ht="13.5" thickBot="1">
      <c r="A69" s="1062"/>
      <c r="B69" s="1063"/>
      <c r="C69" s="312"/>
      <c r="D69" s="1081" t="s">
        <v>1197</v>
      </c>
      <c r="E69" s="1061" t="s">
        <v>1198</v>
      </c>
      <c r="F69" s="339" t="e">
        <f ca="1">F41</f>
        <v>#N/A</v>
      </c>
      <c r="O69" s="1562" t="s">
        <v>835</v>
      </c>
      <c r="P69" s="1601" t="s">
        <v>1308</v>
      </c>
      <c r="Q69" s="1554" t="e">
        <f ca="1">C39</f>
        <v>#N/A</v>
      </c>
      <c r="R69" s="1554" t="s">
        <v>1253</v>
      </c>
    </row>
    <row r="70" spans="1:18" s="1518" customFormat="1" ht="13.5" thickBot="1">
      <c r="A70" s="1065"/>
      <c r="B70" s="1066"/>
      <c r="C70" s="316"/>
      <c r="D70" s="1077"/>
      <c r="E70" s="1061" t="s">
        <v>1201</v>
      </c>
      <c r="F70" s="1165"/>
      <c r="O70" s="1562" t="s">
        <v>836</v>
      </c>
      <c r="P70" s="1601" t="s">
        <v>1309</v>
      </c>
      <c r="Q70" s="1554" t="e">
        <f ca="1">C13</f>
        <v>#N/A</v>
      </c>
      <c r="R70" s="1554" t="s">
        <v>1253</v>
      </c>
    </row>
    <row r="71" spans="1:18" s="1518" customFormat="1" ht="13.5" thickBot="1">
      <c r="A71" s="1082" t="s">
        <v>820</v>
      </c>
      <c r="B71" s="1083" t="s">
        <v>1211</v>
      </c>
      <c r="C71" s="342" t="e">
        <f ca="1">ROUND(C68*10000/F71,0)</f>
        <v>#N/A</v>
      </c>
      <c r="D71" s="1084" t="s">
        <v>1212</v>
      </c>
      <c r="E71" s="1085" t="s">
        <v>1213</v>
      </c>
      <c r="F71" s="345" t="e">
        <f ca="1">F43</f>
        <v>#N/A</v>
      </c>
      <c r="O71" s="1562" t="s">
        <v>837</v>
      </c>
      <c r="P71" s="1601" t="s">
        <v>1310</v>
      </c>
      <c r="Q71" s="1565" t="e">
        <f ca="1">C76</f>
        <v>#N/A</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32"/>
  <sheetViews>
    <sheetView zoomScaleNormal="100" workbookViewId="0">
      <selection activeCell="J16" sqref="J16"/>
    </sheetView>
  </sheetViews>
  <sheetFormatPr defaultRowHeight="13.5"/>
  <sheetData>
    <row r="2" spans="2:12">
      <c r="B2" s="3230" t="s">
        <v>3182</v>
      </c>
      <c r="C2" s="3230" t="s">
        <v>3183</v>
      </c>
      <c r="D2" s="3230" t="s">
        <v>3184</v>
      </c>
      <c r="E2" s="3230" t="s">
        <v>3186</v>
      </c>
      <c r="F2" s="3230" t="s">
        <v>3195</v>
      </c>
      <c r="J2" s="3230" t="s">
        <v>3233</v>
      </c>
    </row>
    <row r="3" spans="2:12">
      <c r="B3">
        <v>1</v>
      </c>
      <c r="C3">
        <f>C133</f>
        <v>2143.5700000000002</v>
      </c>
      <c r="D3">
        <f>C3</f>
        <v>2143.5700000000002</v>
      </c>
      <c r="H3">
        <v>1</v>
      </c>
      <c r="I3">
        <f>H3*D3</f>
        <v>2143.5700000000002</v>
      </c>
      <c r="J3">
        <f>L8/I9*10000</f>
        <v>54568.376181545769</v>
      </c>
    </row>
    <row r="4" spans="2:12">
      <c r="B4">
        <v>2</v>
      </c>
      <c r="C4">
        <f>C176</f>
        <v>2213.5500000000002</v>
      </c>
      <c r="D4">
        <f>C4</f>
        <v>2213.5500000000002</v>
      </c>
      <c r="H4">
        <v>0.7</v>
      </c>
      <c r="I4">
        <f t="shared" ref="I4:I8" si="0">H4*D4</f>
        <v>1549.4850000000001</v>
      </c>
      <c r="J4">
        <f>H4*$J$3</f>
        <v>38197.863327082036</v>
      </c>
    </row>
    <row r="5" spans="2:12">
      <c r="B5">
        <v>3</v>
      </c>
      <c r="C5">
        <f>C218</f>
        <v>1698.7800000000002</v>
      </c>
      <c r="D5">
        <f>C5</f>
        <v>1698.7800000000002</v>
      </c>
      <c r="H5">
        <v>0.6</v>
      </c>
      <c r="I5">
        <f t="shared" si="0"/>
        <v>1019.268</v>
      </c>
      <c r="J5">
        <f t="shared" ref="J5:J8" si="1">H5*$J$3</f>
        <v>32741.02570892746</v>
      </c>
    </row>
    <row r="6" spans="2:12">
      <c r="B6">
        <v>4</v>
      </c>
      <c r="C6">
        <f>C232</f>
        <v>462.89000000000004</v>
      </c>
      <c r="D6">
        <f>C6</f>
        <v>462.89000000000004</v>
      </c>
      <c r="H6">
        <v>0.6</v>
      </c>
      <c r="I6">
        <f t="shared" si="0"/>
        <v>277.73400000000004</v>
      </c>
      <c r="J6">
        <f t="shared" si="1"/>
        <v>32741.02570892746</v>
      </c>
    </row>
    <row r="7" spans="2:12">
      <c r="B7" s="3230" t="s">
        <v>3180</v>
      </c>
      <c r="C7">
        <f>C89</f>
        <v>1541.47</v>
      </c>
      <c r="D7">
        <f>SUM(C52:C81)</f>
        <v>1150.7300000000002</v>
      </c>
      <c r="E7">
        <f>SUM(C82:C88)</f>
        <v>390.74</v>
      </c>
      <c r="H7">
        <v>0.6</v>
      </c>
      <c r="I7">
        <f t="shared" si="0"/>
        <v>690.4380000000001</v>
      </c>
      <c r="J7">
        <f t="shared" si="1"/>
        <v>32741.02570892746</v>
      </c>
    </row>
    <row r="8" spans="2:12">
      <c r="B8" s="3230" t="s">
        <v>3181</v>
      </c>
      <c r="C8">
        <f>C51</f>
        <v>1506.9800000000005</v>
      </c>
      <c r="D8">
        <f>SUM(C14:C41)</f>
        <v>1100.4400000000003</v>
      </c>
      <c r="E8">
        <f>SUM(C42:C48)</f>
        <v>350.36</v>
      </c>
      <c r="F8">
        <f>SUM(C49:C50)</f>
        <v>56.18</v>
      </c>
      <c r="H8">
        <v>0.5</v>
      </c>
      <c r="I8">
        <f t="shared" si="0"/>
        <v>550.22000000000014</v>
      </c>
      <c r="J8">
        <f t="shared" si="1"/>
        <v>27284.188090772885</v>
      </c>
      <c r="L8">
        <v>34000</v>
      </c>
    </row>
    <row r="9" spans="2:12">
      <c r="C9">
        <f>SUM(C3:C8)</f>
        <v>9567.2400000000016</v>
      </c>
      <c r="I9">
        <f>SUM(I3:I8)</f>
        <v>6230.7150000000011</v>
      </c>
    </row>
    <row r="11" spans="2:12">
      <c r="E11">
        <f>SUM(C14:C50,C52:C88,C90:C132,C134:C175,C177:C217,C219:C231)</f>
        <v>9567.2400000000052</v>
      </c>
    </row>
    <row r="14" spans="2:12">
      <c r="B14" s="3230" t="s">
        <v>3187</v>
      </c>
      <c r="C14">
        <v>72.680000000000007</v>
      </c>
      <c r="D14" s="3230" t="s">
        <v>3184</v>
      </c>
    </row>
    <row r="15" spans="2:12">
      <c r="C15">
        <v>34.51</v>
      </c>
      <c r="D15" s="3230" t="s">
        <v>3184</v>
      </c>
    </row>
    <row r="16" spans="2:12">
      <c r="C16">
        <v>34.51</v>
      </c>
      <c r="D16" s="3230" t="s">
        <v>3184</v>
      </c>
    </row>
    <row r="17" spans="3:4">
      <c r="C17">
        <v>36.270000000000003</v>
      </c>
      <c r="D17" s="3230" t="s">
        <v>3184</v>
      </c>
    </row>
    <row r="18" spans="3:4">
      <c r="C18">
        <v>34.51</v>
      </c>
      <c r="D18" s="3230" t="s">
        <v>3184</v>
      </c>
    </row>
    <row r="19" spans="3:4">
      <c r="C19">
        <v>34.93</v>
      </c>
      <c r="D19" s="3230" t="s">
        <v>3184</v>
      </c>
    </row>
    <row r="20" spans="3:4">
      <c r="C20">
        <v>36.22</v>
      </c>
      <c r="D20" s="3230" t="s">
        <v>3184</v>
      </c>
    </row>
    <row r="21" spans="3:4">
      <c r="C21">
        <v>58.87</v>
      </c>
      <c r="D21" s="3230" t="s">
        <v>3184</v>
      </c>
    </row>
    <row r="22" spans="3:4">
      <c r="C22">
        <v>34.51</v>
      </c>
      <c r="D22" s="3230" t="s">
        <v>3184</v>
      </c>
    </row>
    <row r="23" spans="3:4">
      <c r="C23">
        <v>34.69</v>
      </c>
      <c r="D23" s="3230" t="s">
        <v>3184</v>
      </c>
    </row>
    <row r="24" spans="3:4">
      <c r="C24">
        <v>34.51</v>
      </c>
      <c r="D24" s="3230" t="s">
        <v>3184</v>
      </c>
    </row>
    <row r="25" spans="3:4">
      <c r="C25" s="3230">
        <v>36.46</v>
      </c>
      <c r="D25" s="3230" t="s">
        <v>3184</v>
      </c>
    </row>
    <row r="26" spans="3:4">
      <c r="C26" s="3230">
        <v>34.51</v>
      </c>
      <c r="D26" s="3230" t="s">
        <v>3184</v>
      </c>
    </row>
    <row r="27" spans="3:4">
      <c r="C27" s="3230">
        <v>36.22</v>
      </c>
      <c r="D27" s="3230" t="s">
        <v>3184</v>
      </c>
    </row>
    <row r="28" spans="3:4">
      <c r="C28" s="3230">
        <v>36.06</v>
      </c>
      <c r="D28" s="3230" t="s">
        <v>3184</v>
      </c>
    </row>
    <row r="29" spans="3:4">
      <c r="C29" s="3230">
        <v>34.51</v>
      </c>
      <c r="D29" s="3230" t="s">
        <v>3184</v>
      </c>
    </row>
    <row r="30" spans="3:4">
      <c r="C30" s="3230">
        <v>34.69</v>
      </c>
      <c r="D30" s="3230" t="s">
        <v>3184</v>
      </c>
    </row>
    <row r="31" spans="3:4">
      <c r="C31" s="3230">
        <v>34.51</v>
      </c>
      <c r="D31" s="3230" t="s">
        <v>3184</v>
      </c>
    </row>
    <row r="32" spans="3:4">
      <c r="C32" s="3230">
        <v>70.989999999999995</v>
      </c>
      <c r="D32" s="3230" t="s">
        <v>3184</v>
      </c>
    </row>
    <row r="33" spans="1:4">
      <c r="C33" s="3230">
        <v>34.51</v>
      </c>
      <c r="D33" s="3230" t="s">
        <v>3184</v>
      </c>
    </row>
    <row r="34" spans="1:4">
      <c r="C34" s="3230">
        <v>34.630000000000003</v>
      </c>
      <c r="D34" s="3230" t="s">
        <v>3184</v>
      </c>
    </row>
    <row r="35" spans="1:4">
      <c r="C35" s="3230">
        <v>36.22</v>
      </c>
      <c r="D35" s="3230" t="s">
        <v>3184</v>
      </c>
    </row>
    <row r="36" spans="1:4">
      <c r="C36" s="3230">
        <v>34.630000000000003</v>
      </c>
      <c r="D36" s="3230" t="s">
        <v>3184</v>
      </c>
    </row>
    <row r="37" spans="1:4">
      <c r="C37" s="3230">
        <v>34.630000000000003</v>
      </c>
      <c r="D37" s="3230" t="s">
        <v>3184</v>
      </c>
    </row>
    <row r="38" spans="1:4">
      <c r="C38" s="3230">
        <v>36.22</v>
      </c>
      <c r="D38" s="3230" t="s">
        <v>3184</v>
      </c>
    </row>
    <row r="39" spans="1:4">
      <c r="C39" s="3230">
        <v>34.630000000000003</v>
      </c>
      <c r="D39" s="3230" t="s">
        <v>3184</v>
      </c>
    </row>
    <row r="40" spans="1:4">
      <c r="C40" s="3230">
        <v>34.630000000000003</v>
      </c>
      <c r="D40" s="3230" t="s">
        <v>3184</v>
      </c>
    </row>
    <row r="41" spans="1:4">
      <c r="C41" s="3230">
        <v>56.18</v>
      </c>
      <c r="D41" s="3230" t="s">
        <v>3184</v>
      </c>
    </row>
    <row r="42" spans="1:4">
      <c r="A42" s="3231"/>
      <c r="C42" s="3230">
        <v>14.44</v>
      </c>
      <c r="D42" s="3230" t="s">
        <v>3186</v>
      </c>
    </row>
    <row r="43" spans="1:4">
      <c r="C43" s="3230">
        <v>14.52</v>
      </c>
      <c r="D43" s="3230" t="s">
        <v>3186</v>
      </c>
    </row>
    <row r="44" spans="1:4">
      <c r="C44" s="3230">
        <v>70.290000000000006</v>
      </c>
      <c r="D44" s="3230" t="s">
        <v>3186</v>
      </c>
    </row>
    <row r="45" spans="1:4">
      <c r="C45" s="3230">
        <v>44.4</v>
      </c>
      <c r="D45" s="3230" t="s">
        <v>3186</v>
      </c>
    </row>
    <row r="46" spans="1:4">
      <c r="C46" s="3230">
        <v>68.959999999999994</v>
      </c>
      <c r="D46" s="3230" t="s">
        <v>3186</v>
      </c>
    </row>
    <row r="47" spans="1:4">
      <c r="C47" s="3230">
        <v>70.540000000000006</v>
      </c>
      <c r="D47" s="3230" t="s">
        <v>3186</v>
      </c>
    </row>
    <row r="48" spans="1:4">
      <c r="C48" s="3230">
        <v>67.209999999999994</v>
      </c>
      <c r="D48" s="3230" t="s">
        <v>3186</v>
      </c>
    </row>
    <row r="49" spans="2:4">
      <c r="C49" s="3230">
        <v>48.14</v>
      </c>
      <c r="D49" s="3230" t="s">
        <v>3193</v>
      </c>
    </row>
    <row r="50" spans="2:4">
      <c r="C50" s="3230">
        <v>8.0399999999999991</v>
      </c>
      <c r="D50" s="3230" t="s">
        <v>3194</v>
      </c>
    </row>
    <row r="51" spans="2:4">
      <c r="C51" s="3232">
        <f>SUM(C14:C50)</f>
        <v>1506.9800000000005</v>
      </c>
    </row>
    <row r="52" spans="2:4">
      <c r="B52" s="3230" t="s">
        <v>3188</v>
      </c>
      <c r="C52">
        <v>72.25</v>
      </c>
      <c r="D52" s="3230" t="s">
        <v>3184</v>
      </c>
    </row>
    <row r="53" spans="2:4">
      <c r="C53">
        <v>34.51</v>
      </c>
      <c r="D53" s="3230" t="s">
        <v>3184</v>
      </c>
    </row>
    <row r="54" spans="2:4">
      <c r="C54">
        <v>36.159999999999997</v>
      </c>
      <c r="D54" s="3230" t="s">
        <v>3184</v>
      </c>
    </row>
    <row r="55" spans="2:4">
      <c r="C55">
        <v>34.51</v>
      </c>
      <c r="D55" s="3230" t="s">
        <v>3184</v>
      </c>
    </row>
    <row r="56" spans="2:4">
      <c r="C56">
        <v>34.630000000000003</v>
      </c>
      <c r="D56" s="3230" t="s">
        <v>3184</v>
      </c>
    </row>
    <row r="57" spans="2:4">
      <c r="C57">
        <v>34.51</v>
      </c>
      <c r="D57" s="3230" t="s">
        <v>3184</v>
      </c>
    </row>
    <row r="58" spans="2:4">
      <c r="C58">
        <v>34.630000000000003</v>
      </c>
      <c r="D58" s="3230" t="s">
        <v>3184</v>
      </c>
    </row>
    <row r="59" spans="2:4">
      <c r="C59">
        <v>36.22</v>
      </c>
      <c r="D59" s="3230" t="s">
        <v>3184</v>
      </c>
    </row>
    <row r="60" spans="2:4">
      <c r="C60">
        <v>36.159999999999997</v>
      </c>
      <c r="D60" s="3230" t="s">
        <v>3184</v>
      </c>
    </row>
    <row r="61" spans="2:4">
      <c r="C61">
        <v>34.51</v>
      </c>
      <c r="D61" s="3230" t="s">
        <v>3184</v>
      </c>
    </row>
    <row r="62" spans="2:4">
      <c r="C62">
        <v>34.590000000000003</v>
      </c>
      <c r="D62" s="3230" t="s">
        <v>3184</v>
      </c>
    </row>
    <row r="63" spans="2:4">
      <c r="C63">
        <v>34.51</v>
      </c>
      <c r="D63" s="3230" t="s">
        <v>3184</v>
      </c>
    </row>
    <row r="64" spans="2:4">
      <c r="C64">
        <v>36.159999999999997</v>
      </c>
      <c r="D64" s="3230" t="s">
        <v>3184</v>
      </c>
    </row>
    <row r="65" spans="1:4">
      <c r="C65">
        <v>34.51</v>
      </c>
      <c r="D65" s="3230" t="s">
        <v>3184</v>
      </c>
    </row>
    <row r="66" spans="1:4">
      <c r="C66">
        <v>36.22</v>
      </c>
      <c r="D66" s="3230" t="s">
        <v>3184</v>
      </c>
    </row>
    <row r="67" spans="1:4">
      <c r="C67">
        <v>39.61</v>
      </c>
      <c r="D67" s="3230" t="s">
        <v>3184</v>
      </c>
    </row>
    <row r="68" spans="1:4">
      <c r="C68">
        <v>34.51</v>
      </c>
      <c r="D68" s="3230" t="s">
        <v>3184</v>
      </c>
    </row>
    <row r="69" spans="1:4">
      <c r="C69">
        <v>36.159999999999997</v>
      </c>
      <c r="D69" s="3230" t="s">
        <v>3184</v>
      </c>
    </row>
    <row r="70" spans="1:4">
      <c r="C70">
        <v>34.51</v>
      </c>
      <c r="D70" s="3230" t="s">
        <v>3184</v>
      </c>
    </row>
    <row r="71" spans="1:4">
      <c r="C71" s="3230">
        <v>34.51</v>
      </c>
      <c r="D71" s="3230" t="s">
        <v>3184</v>
      </c>
    </row>
    <row r="72" spans="1:4">
      <c r="C72" s="3230">
        <v>34.590000000000003</v>
      </c>
      <c r="D72" s="3230" t="s">
        <v>3184</v>
      </c>
    </row>
    <row r="73" spans="1:4">
      <c r="C73" s="3230">
        <v>34.630000000000003</v>
      </c>
      <c r="D73" s="3230" t="s">
        <v>3184</v>
      </c>
    </row>
    <row r="74" spans="1:4">
      <c r="A74" s="3231"/>
      <c r="C74" s="3230">
        <v>70.989999999999995</v>
      </c>
      <c r="D74" s="3230" t="s">
        <v>3184</v>
      </c>
    </row>
    <row r="75" spans="1:4">
      <c r="C75" s="3230">
        <v>36.22</v>
      </c>
      <c r="D75" s="3230" t="s">
        <v>3184</v>
      </c>
    </row>
    <row r="76" spans="1:4">
      <c r="C76" s="3230">
        <v>34.630000000000003</v>
      </c>
      <c r="D76" s="3230" t="s">
        <v>3184</v>
      </c>
    </row>
    <row r="77" spans="1:4">
      <c r="C77" s="3230">
        <v>34.630000000000003</v>
      </c>
      <c r="D77" s="3230" t="s">
        <v>3184</v>
      </c>
    </row>
    <row r="78" spans="1:4">
      <c r="C78" s="3230">
        <v>36.22</v>
      </c>
      <c r="D78" s="3230" t="s">
        <v>3184</v>
      </c>
    </row>
    <row r="79" spans="1:4">
      <c r="C79" s="3230">
        <v>34.630000000000003</v>
      </c>
      <c r="D79" s="3230" t="s">
        <v>3184</v>
      </c>
    </row>
    <row r="80" spans="1:4">
      <c r="C80" s="3230">
        <v>34.630000000000003</v>
      </c>
      <c r="D80" s="3230" t="s">
        <v>3184</v>
      </c>
    </row>
    <row r="81" spans="2:4">
      <c r="C81" s="3230">
        <v>56.18</v>
      </c>
      <c r="D81" s="3230" t="s">
        <v>3184</v>
      </c>
    </row>
    <row r="82" spans="2:4">
      <c r="C82" s="3230">
        <v>15.11</v>
      </c>
      <c r="D82" s="3230" t="s">
        <v>3186</v>
      </c>
    </row>
    <row r="83" spans="2:4">
      <c r="C83" s="3230">
        <v>28.09</v>
      </c>
      <c r="D83" s="3230" t="s">
        <v>3186</v>
      </c>
    </row>
    <row r="84" spans="2:4">
      <c r="C84" s="3230">
        <v>70.290000000000006</v>
      </c>
      <c r="D84" s="3230" t="s">
        <v>3186</v>
      </c>
    </row>
    <row r="85" spans="2:4">
      <c r="C85" s="3230">
        <v>70.540000000000006</v>
      </c>
      <c r="D85" s="3230" t="s">
        <v>3186</v>
      </c>
    </row>
    <row r="86" spans="2:4">
      <c r="C86" s="3230">
        <v>68.959999999999994</v>
      </c>
      <c r="D86" s="3230" t="s">
        <v>3186</v>
      </c>
    </row>
    <row r="87" spans="2:4">
      <c r="C87" s="3230">
        <v>70.540000000000006</v>
      </c>
      <c r="D87" s="3230" t="s">
        <v>3186</v>
      </c>
    </row>
    <row r="88" spans="2:4">
      <c r="C88" s="3230">
        <v>67.209999999999994</v>
      </c>
      <c r="D88" s="3230" t="s">
        <v>3186</v>
      </c>
    </row>
    <row r="89" spans="2:4">
      <c r="C89" s="3232">
        <f>SUM(C52:C88)</f>
        <v>1541.47</v>
      </c>
    </row>
    <row r="90" spans="2:4">
      <c r="B90" s="3230" t="s">
        <v>3189</v>
      </c>
      <c r="C90">
        <v>37.520000000000003</v>
      </c>
      <c r="D90" s="3230" t="s">
        <v>3184</v>
      </c>
    </row>
    <row r="91" spans="2:4">
      <c r="C91">
        <v>68.540000000000006</v>
      </c>
      <c r="D91" s="3230" t="s">
        <v>3184</v>
      </c>
    </row>
    <row r="92" spans="2:4">
      <c r="C92">
        <v>34.450000000000003</v>
      </c>
      <c r="D92" s="3230" t="s">
        <v>3184</v>
      </c>
    </row>
    <row r="93" spans="2:4">
      <c r="C93">
        <v>36.020000000000003</v>
      </c>
      <c r="D93" s="3230" t="s">
        <v>3184</v>
      </c>
    </row>
    <row r="94" spans="2:4">
      <c r="C94">
        <v>34.21</v>
      </c>
      <c r="D94" s="3230" t="s">
        <v>3184</v>
      </c>
    </row>
    <row r="95" spans="2:4">
      <c r="C95">
        <v>34.450000000000003</v>
      </c>
      <c r="D95" s="3230" t="s">
        <v>3184</v>
      </c>
    </row>
    <row r="96" spans="2:4">
      <c r="C96">
        <v>35.9</v>
      </c>
      <c r="D96" s="3230" t="s">
        <v>3184</v>
      </c>
    </row>
    <row r="97" spans="1:4">
      <c r="C97">
        <v>34.450000000000003</v>
      </c>
      <c r="D97" s="3230" t="s">
        <v>3184</v>
      </c>
    </row>
    <row r="98" spans="1:4">
      <c r="C98">
        <v>34.21</v>
      </c>
      <c r="D98" s="3230" t="s">
        <v>3184</v>
      </c>
    </row>
    <row r="99" spans="1:4">
      <c r="C99">
        <v>36.020000000000003</v>
      </c>
      <c r="D99" s="3230" t="s">
        <v>3184</v>
      </c>
    </row>
    <row r="100" spans="1:4">
      <c r="C100">
        <v>34.21</v>
      </c>
      <c r="D100" s="3230" t="s">
        <v>3184</v>
      </c>
    </row>
    <row r="101" spans="1:4">
      <c r="C101">
        <v>34.450000000000003</v>
      </c>
      <c r="D101" s="3230" t="s">
        <v>3184</v>
      </c>
    </row>
    <row r="102" spans="1:4">
      <c r="C102">
        <v>34.21</v>
      </c>
      <c r="D102" s="3230" t="s">
        <v>3184</v>
      </c>
    </row>
    <row r="103" spans="1:4">
      <c r="C103">
        <v>36.020000000000003</v>
      </c>
      <c r="D103" s="3230" t="s">
        <v>3184</v>
      </c>
    </row>
    <row r="104" spans="1:4">
      <c r="A104" s="3231"/>
      <c r="C104">
        <v>35.9</v>
      </c>
      <c r="D104" s="3230" t="s">
        <v>3184</v>
      </c>
    </row>
    <row r="105" spans="1:4">
      <c r="C105">
        <v>36.020000000000003</v>
      </c>
      <c r="D105" s="3230" t="s">
        <v>3184</v>
      </c>
    </row>
    <row r="106" spans="1:4">
      <c r="C106">
        <v>34.21</v>
      </c>
      <c r="D106" s="3230" t="s">
        <v>3184</v>
      </c>
    </row>
    <row r="107" spans="1:4">
      <c r="C107">
        <v>34.450000000000003</v>
      </c>
      <c r="D107" s="3230" t="s">
        <v>3184</v>
      </c>
    </row>
    <row r="108" spans="1:4">
      <c r="C108">
        <v>34.21</v>
      </c>
      <c r="D108" s="3230" t="s">
        <v>3184</v>
      </c>
    </row>
    <row r="109" spans="1:4">
      <c r="C109">
        <v>36.020000000000003</v>
      </c>
      <c r="D109" s="3230" t="s">
        <v>3184</v>
      </c>
    </row>
    <row r="110" spans="1:4">
      <c r="C110">
        <v>34.21</v>
      </c>
      <c r="D110" s="3230" t="s">
        <v>3184</v>
      </c>
    </row>
    <row r="111" spans="1:4">
      <c r="C111">
        <v>34.86</v>
      </c>
      <c r="D111" s="3230" t="s">
        <v>3184</v>
      </c>
    </row>
    <row r="112" spans="1:4">
      <c r="C112">
        <v>34.33</v>
      </c>
      <c r="D112" s="3230" t="s">
        <v>3184</v>
      </c>
    </row>
    <row r="113" spans="3:4">
      <c r="C113">
        <v>35.9</v>
      </c>
      <c r="D113" s="3230" t="s">
        <v>3184</v>
      </c>
    </row>
    <row r="114" spans="3:4">
      <c r="C114">
        <v>37.46</v>
      </c>
      <c r="D114" s="3230" t="s">
        <v>3184</v>
      </c>
    </row>
    <row r="115" spans="3:4">
      <c r="C115">
        <v>34.33</v>
      </c>
      <c r="D115" s="3230" t="s">
        <v>3184</v>
      </c>
    </row>
    <row r="116" spans="3:4">
      <c r="C116">
        <v>36.020000000000003</v>
      </c>
      <c r="D116" s="3230" t="s">
        <v>3184</v>
      </c>
    </row>
    <row r="117" spans="3:4">
      <c r="C117">
        <v>34.33</v>
      </c>
      <c r="D117" s="3230" t="s">
        <v>3184</v>
      </c>
    </row>
    <row r="118" spans="3:4">
      <c r="C118">
        <v>34.450000000000003</v>
      </c>
      <c r="D118" s="3230" t="s">
        <v>3184</v>
      </c>
    </row>
    <row r="119" spans="3:4">
      <c r="C119">
        <v>35.9</v>
      </c>
      <c r="D119" s="3230" t="s">
        <v>3184</v>
      </c>
    </row>
    <row r="120" spans="3:4">
      <c r="C120">
        <v>36.020000000000003</v>
      </c>
      <c r="D120" s="3230" t="s">
        <v>3184</v>
      </c>
    </row>
    <row r="121" spans="3:4">
      <c r="C121">
        <v>34.33</v>
      </c>
      <c r="D121" s="3230" t="s">
        <v>3184</v>
      </c>
    </row>
    <row r="122" spans="3:4">
      <c r="C122">
        <v>34.450000000000003</v>
      </c>
      <c r="D122" s="3230" t="s">
        <v>3184</v>
      </c>
    </row>
    <row r="123" spans="3:4">
      <c r="C123">
        <v>34.33</v>
      </c>
      <c r="D123" s="3230" t="s">
        <v>3184</v>
      </c>
    </row>
    <row r="124" spans="3:4">
      <c r="C124">
        <v>34.450000000000003</v>
      </c>
      <c r="D124" s="3230" t="s">
        <v>3184</v>
      </c>
    </row>
    <row r="125" spans="3:4">
      <c r="C125">
        <v>34.450000000000003</v>
      </c>
      <c r="D125" s="3230" t="s">
        <v>3184</v>
      </c>
    </row>
    <row r="126" spans="3:4">
      <c r="C126">
        <v>36.020000000000003</v>
      </c>
      <c r="D126" s="3230" t="s">
        <v>3184</v>
      </c>
    </row>
    <row r="127" spans="3:4">
      <c r="C127">
        <v>34.450000000000003</v>
      </c>
      <c r="D127" s="3230" t="s">
        <v>3184</v>
      </c>
    </row>
    <row r="128" spans="3:4">
      <c r="C128">
        <v>12.79</v>
      </c>
      <c r="D128" s="3230" t="s">
        <v>3184</v>
      </c>
    </row>
    <row r="129" spans="1:4">
      <c r="C129">
        <v>29.35</v>
      </c>
      <c r="D129" s="3230" t="s">
        <v>3184</v>
      </c>
    </row>
    <row r="130" spans="1:4">
      <c r="C130">
        <v>18.61</v>
      </c>
      <c r="D130" s="3230" t="s">
        <v>3184</v>
      </c>
    </row>
    <row r="131" spans="1:4">
      <c r="C131">
        <v>669.16</v>
      </c>
      <c r="D131" s="3230" t="s">
        <v>3184</v>
      </c>
    </row>
    <row r="132" spans="1:4">
      <c r="C132">
        <v>47.9</v>
      </c>
      <c r="D132" s="3230" t="s">
        <v>3184</v>
      </c>
    </row>
    <row r="133" spans="1:4">
      <c r="C133" s="3232">
        <f>SUM(C90:C132)</f>
        <v>2143.5700000000002</v>
      </c>
    </row>
    <row r="134" spans="1:4">
      <c r="A134" s="3231"/>
      <c r="B134" s="3230" t="s">
        <v>3190</v>
      </c>
      <c r="C134">
        <v>37.520000000000003</v>
      </c>
      <c r="D134" s="3230" t="s">
        <v>3184</v>
      </c>
    </row>
    <row r="135" spans="1:4">
      <c r="C135">
        <v>34.33</v>
      </c>
      <c r="D135" s="3230" t="s">
        <v>3184</v>
      </c>
    </row>
    <row r="136" spans="1:4">
      <c r="C136">
        <v>34.450000000000003</v>
      </c>
      <c r="D136" s="3230" t="s">
        <v>3184</v>
      </c>
    </row>
    <row r="137" spans="1:4">
      <c r="C137">
        <v>34.21</v>
      </c>
      <c r="D137" s="3230" t="s">
        <v>3184</v>
      </c>
    </row>
    <row r="138" spans="1:4">
      <c r="C138">
        <v>36.020000000000003</v>
      </c>
      <c r="D138" s="3230" t="s">
        <v>3184</v>
      </c>
    </row>
    <row r="139" spans="1:4">
      <c r="C139">
        <v>34.21</v>
      </c>
      <c r="D139" s="3230" t="s">
        <v>3184</v>
      </c>
    </row>
    <row r="140" spans="1:4">
      <c r="C140">
        <v>34.450000000000003</v>
      </c>
      <c r="D140" s="3230" t="s">
        <v>3184</v>
      </c>
    </row>
    <row r="141" spans="1:4">
      <c r="C141">
        <v>35.9</v>
      </c>
      <c r="D141" s="3230" t="s">
        <v>3184</v>
      </c>
    </row>
    <row r="142" spans="1:4">
      <c r="C142">
        <v>34.450000000000003</v>
      </c>
      <c r="D142" s="3230" t="s">
        <v>3184</v>
      </c>
    </row>
    <row r="143" spans="1:4">
      <c r="C143">
        <v>34.21</v>
      </c>
      <c r="D143" s="3230" t="s">
        <v>3184</v>
      </c>
    </row>
    <row r="144" spans="1:4">
      <c r="C144">
        <v>36.020000000000003</v>
      </c>
      <c r="D144" s="3230" t="s">
        <v>3184</v>
      </c>
    </row>
    <row r="145" spans="3:4">
      <c r="C145">
        <v>34.21</v>
      </c>
      <c r="D145" s="3230" t="s">
        <v>3184</v>
      </c>
    </row>
    <row r="146" spans="3:4">
      <c r="C146">
        <v>34.450000000000003</v>
      </c>
      <c r="D146" s="3230" t="s">
        <v>3184</v>
      </c>
    </row>
    <row r="147" spans="3:4">
      <c r="C147">
        <v>34.21</v>
      </c>
      <c r="D147" s="3230" t="s">
        <v>3184</v>
      </c>
    </row>
    <row r="148" spans="3:4">
      <c r="C148">
        <v>36.020000000000003</v>
      </c>
      <c r="D148" s="3230" t="s">
        <v>3184</v>
      </c>
    </row>
    <row r="149" spans="3:4">
      <c r="C149">
        <v>35.9</v>
      </c>
      <c r="D149" s="3230" t="s">
        <v>3184</v>
      </c>
    </row>
    <row r="150" spans="3:4">
      <c r="C150">
        <v>36.020000000000003</v>
      </c>
      <c r="D150" s="3230" t="s">
        <v>3184</v>
      </c>
    </row>
    <row r="151" spans="3:4">
      <c r="C151">
        <v>34.21</v>
      </c>
      <c r="D151" s="3230" t="s">
        <v>3184</v>
      </c>
    </row>
    <row r="152" spans="3:4">
      <c r="C152">
        <v>34.450000000000003</v>
      </c>
      <c r="D152" s="3230" t="s">
        <v>3184</v>
      </c>
    </row>
    <row r="153" spans="3:4">
      <c r="C153">
        <v>34.21</v>
      </c>
      <c r="D153" s="3230" t="s">
        <v>3184</v>
      </c>
    </row>
    <row r="154" spans="3:4">
      <c r="C154">
        <v>36.020000000000003</v>
      </c>
      <c r="D154" s="3230" t="s">
        <v>3184</v>
      </c>
    </row>
    <row r="155" spans="3:4">
      <c r="C155">
        <v>34.21</v>
      </c>
      <c r="D155" s="3230" t="s">
        <v>3184</v>
      </c>
    </row>
    <row r="156" spans="3:4">
      <c r="C156">
        <v>34.86</v>
      </c>
      <c r="D156" s="3230" t="s">
        <v>3184</v>
      </c>
    </row>
    <row r="157" spans="3:4">
      <c r="C157">
        <v>34.33</v>
      </c>
      <c r="D157" s="3230" t="s">
        <v>3184</v>
      </c>
    </row>
    <row r="158" spans="3:4">
      <c r="C158">
        <v>35.9</v>
      </c>
      <c r="D158" s="3230" t="s">
        <v>3184</v>
      </c>
    </row>
    <row r="159" spans="3:4">
      <c r="C159">
        <v>37.46</v>
      </c>
      <c r="D159" s="3230" t="s">
        <v>3184</v>
      </c>
    </row>
    <row r="160" spans="3:4">
      <c r="C160">
        <v>34.33</v>
      </c>
      <c r="D160" s="3230" t="s">
        <v>3184</v>
      </c>
    </row>
    <row r="161" spans="1:4">
      <c r="C161">
        <v>36.020000000000003</v>
      </c>
      <c r="D161" s="3230" t="s">
        <v>3184</v>
      </c>
    </row>
    <row r="162" spans="1:4">
      <c r="C162">
        <v>34.33</v>
      </c>
      <c r="D162" s="3230" t="s">
        <v>3184</v>
      </c>
    </row>
    <row r="163" spans="1:4">
      <c r="C163">
        <v>34.450000000000003</v>
      </c>
      <c r="D163" s="3230" t="s">
        <v>3184</v>
      </c>
    </row>
    <row r="164" spans="1:4">
      <c r="A164" s="3231"/>
      <c r="C164">
        <v>35.9</v>
      </c>
      <c r="D164" s="3230" t="s">
        <v>3184</v>
      </c>
    </row>
    <row r="165" spans="1:4">
      <c r="C165">
        <v>36.020000000000003</v>
      </c>
      <c r="D165" s="3230" t="s">
        <v>3184</v>
      </c>
    </row>
    <row r="166" spans="1:4">
      <c r="C166">
        <v>34.33</v>
      </c>
      <c r="D166" s="3230" t="s">
        <v>3184</v>
      </c>
    </row>
    <row r="167" spans="1:4">
      <c r="C167">
        <v>34.450000000000003</v>
      </c>
      <c r="D167" s="3230" t="s">
        <v>3184</v>
      </c>
    </row>
    <row r="168" spans="1:4">
      <c r="C168">
        <v>34.33</v>
      </c>
      <c r="D168" s="3230" t="s">
        <v>3184</v>
      </c>
    </row>
    <row r="169" spans="1:4">
      <c r="C169">
        <v>34.450000000000003</v>
      </c>
      <c r="D169" s="3230" t="s">
        <v>3184</v>
      </c>
    </row>
    <row r="170" spans="1:4">
      <c r="C170">
        <v>34.450000000000003</v>
      </c>
      <c r="D170" s="3230" t="s">
        <v>3184</v>
      </c>
    </row>
    <row r="171" spans="1:4">
      <c r="C171">
        <v>36.020000000000003</v>
      </c>
      <c r="D171" s="3230" t="s">
        <v>3184</v>
      </c>
    </row>
    <row r="172" spans="1:4">
      <c r="C172">
        <v>34.450000000000003</v>
      </c>
      <c r="D172" s="3230" t="s">
        <v>3184</v>
      </c>
    </row>
    <row r="173" spans="1:4">
      <c r="C173">
        <v>68.33</v>
      </c>
      <c r="D173" s="3230" t="s">
        <v>3184</v>
      </c>
    </row>
    <row r="174" spans="1:4">
      <c r="C174">
        <v>516.52</v>
      </c>
      <c r="D174" s="3230" t="s">
        <v>3184</v>
      </c>
    </row>
    <row r="175" spans="1:4">
      <c r="C175">
        <v>262.94</v>
      </c>
      <c r="D175" s="3230" t="s">
        <v>3184</v>
      </c>
    </row>
    <row r="176" spans="1:4">
      <c r="C176" s="3232">
        <f>SUM(C134:C175)</f>
        <v>2213.5500000000002</v>
      </c>
      <c r="D176" s="3230"/>
    </row>
    <row r="177" spans="2:4">
      <c r="B177" s="3230" t="s">
        <v>3191</v>
      </c>
      <c r="C177" s="3230">
        <v>37.520000000000003</v>
      </c>
      <c r="D177" s="3230" t="s">
        <v>3184</v>
      </c>
    </row>
    <row r="178" spans="2:4">
      <c r="C178" s="3230">
        <v>34.33</v>
      </c>
      <c r="D178" s="3230" t="s">
        <v>3184</v>
      </c>
    </row>
    <row r="179" spans="2:4">
      <c r="C179" s="3230">
        <v>34.450000000000003</v>
      </c>
      <c r="D179" s="3230" t="s">
        <v>3184</v>
      </c>
    </row>
    <row r="180" spans="2:4">
      <c r="C180" s="3230">
        <v>34.21</v>
      </c>
      <c r="D180" s="3230" t="s">
        <v>3184</v>
      </c>
    </row>
    <row r="181" spans="2:4">
      <c r="C181" s="3230">
        <v>36.020000000000003</v>
      </c>
      <c r="D181" s="3230" t="s">
        <v>3184</v>
      </c>
    </row>
    <row r="182" spans="2:4">
      <c r="C182" s="3230">
        <v>34.21</v>
      </c>
      <c r="D182" s="3230" t="s">
        <v>3184</v>
      </c>
    </row>
    <row r="183" spans="2:4">
      <c r="C183" s="3230">
        <v>34.450000000000003</v>
      </c>
      <c r="D183" s="3230" t="s">
        <v>3184</v>
      </c>
    </row>
    <row r="184" spans="2:4">
      <c r="C184" s="3230">
        <v>35.9</v>
      </c>
      <c r="D184" s="3230" t="s">
        <v>3184</v>
      </c>
    </row>
    <row r="185" spans="2:4">
      <c r="C185" s="3230">
        <v>34.450000000000003</v>
      </c>
      <c r="D185" s="3230" t="s">
        <v>3184</v>
      </c>
    </row>
    <row r="186" spans="2:4">
      <c r="C186" s="3230">
        <v>34.21</v>
      </c>
      <c r="D186" s="3230" t="s">
        <v>3184</v>
      </c>
    </row>
    <row r="187" spans="2:4">
      <c r="C187" s="3230">
        <v>36.020000000000003</v>
      </c>
      <c r="D187" s="3230" t="s">
        <v>3184</v>
      </c>
    </row>
    <row r="188" spans="2:4">
      <c r="C188" s="3230">
        <v>34.21</v>
      </c>
      <c r="D188" s="3230" t="s">
        <v>3184</v>
      </c>
    </row>
    <row r="189" spans="2:4">
      <c r="C189" s="3230">
        <v>34.450000000000003</v>
      </c>
      <c r="D189" s="3230" t="s">
        <v>3184</v>
      </c>
    </row>
    <row r="190" spans="2:4">
      <c r="C190" s="3230">
        <v>34.21</v>
      </c>
      <c r="D190" s="3230" t="s">
        <v>3184</v>
      </c>
    </row>
    <row r="191" spans="2:4">
      <c r="C191" s="3230">
        <v>36.020000000000003</v>
      </c>
      <c r="D191" s="3230" t="s">
        <v>3184</v>
      </c>
    </row>
    <row r="192" spans="2:4">
      <c r="C192" s="3230">
        <v>35.9</v>
      </c>
      <c r="D192" s="3230" t="s">
        <v>3184</v>
      </c>
    </row>
    <row r="193" spans="1:4">
      <c r="C193" s="3230">
        <v>36.020000000000003</v>
      </c>
      <c r="D193" s="3230" t="s">
        <v>3184</v>
      </c>
    </row>
    <row r="194" spans="1:4">
      <c r="A194" s="3231"/>
      <c r="C194" s="3230">
        <v>34.21</v>
      </c>
      <c r="D194" s="3230" t="s">
        <v>3184</v>
      </c>
    </row>
    <row r="195" spans="1:4">
      <c r="C195" s="3230">
        <v>34.450000000000003</v>
      </c>
      <c r="D195" s="3230" t="s">
        <v>3184</v>
      </c>
    </row>
    <row r="196" spans="1:4">
      <c r="C196" s="3230">
        <v>34.21</v>
      </c>
      <c r="D196" s="3230" t="s">
        <v>3184</v>
      </c>
    </row>
    <row r="197" spans="1:4">
      <c r="C197" s="3230">
        <v>36.020000000000003</v>
      </c>
      <c r="D197" s="3230" t="s">
        <v>3184</v>
      </c>
    </row>
    <row r="198" spans="1:4">
      <c r="C198" s="3230">
        <v>34.21</v>
      </c>
      <c r="D198" s="3230" t="s">
        <v>3184</v>
      </c>
    </row>
    <row r="199" spans="1:4">
      <c r="C199" s="3230">
        <v>34.86</v>
      </c>
      <c r="D199" s="3230" t="s">
        <v>3184</v>
      </c>
    </row>
    <row r="200" spans="1:4">
      <c r="C200" s="3230">
        <v>34.33</v>
      </c>
      <c r="D200" s="3230" t="s">
        <v>3184</v>
      </c>
    </row>
    <row r="201" spans="1:4">
      <c r="C201" s="3230">
        <v>35.9</v>
      </c>
      <c r="D201" s="3230" t="s">
        <v>3184</v>
      </c>
    </row>
    <row r="202" spans="1:4">
      <c r="C202" s="3230">
        <v>37.46</v>
      </c>
      <c r="D202" s="3230" t="s">
        <v>3184</v>
      </c>
    </row>
    <row r="203" spans="1:4">
      <c r="C203" s="3230">
        <v>34.33</v>
      </c>
      <c r="D203" s="3230" t="s">
        <v>3184</v>
      </c>
    </row>
    <row r="204" spans="1:4">
      <c r="C204" s="3230">
        <v>36.020000000000003</v>
      </c>
      <c r="D204" s="3230" t="s">
        <v>3184</v>
      </c>
    </row>
    <row r="205" spans="1:4">
      <c r="C205" s="3230">
        <v>34.33</v>
      </c>
      <c r="D205" s="3230" t="s">
        <v>3184</v>
      </c>
    </row>
    <row r="206" spans="1:4">
      <c r="C206" s="3230">
        <v>34.450000000000003</v>
      </c>
      <c r="D206" s="3230" t="s">
        <v>3184</v>
      </c>
    </row>
    <row r="207" spans="1:4">
      <c r="C207" s="3230">
        <v>35.9</v>
      </c>
      <c r="D207" s="3230" t="s">
        <v>3184</v>
      </c>
    </row>
    <row r="208" spans="1:4">
      <c r="C208" s="3230">
        <v>36.020000000000003</v>
      </c>
      <c r="D208" s="3230" t="s">
        <v>3184</v>
      </c>
    </row>
    <row r="209" spans="1:4">
      <c r="C209" s="3230">
        <v>34.33</v>
      </c>
      <c r="D209" s="3230" t="s">
        <v>3184</v>
      </c>
    </row>
    <row r="210" spans="1:4">
      <c r="C210" s="3230">
        <v>34.450000000000003</v>
      </c>
      <c r="D210" s="3230" t="s">
        <v>3184</v>
      </c>
    </row>
    <row r="211" spans="1:4">
      <c r="C211" s="3230">
        <v>34.33</v>
      </c>
      <c r="D211" s="3230" t="s">
        <v>3184</v>
      </c>
    </row>
    <row r="212" spans="1:4">
      <c r="C212" s="3230">
        <v>34.450000000000003</v>
      </c>
      <c r="D212" s="3230" t="s">
        <v>3184</v>
      </c>
    </row>
    <row r="213" spans="1:4">
      <c r="C213" s="3230">
        <v>34.450000000000003</v>
      </c>
      <c r="D213" s="3230" t="s">
        <v>3184</v>
      </c>
    </row>
    <row r="214" spans="1:4">
      <c r="C214" s="3230">
        <v>36.020000000000003</v>
      </c>
      <c r="D214" s="3230" t="s">
        <v>3184</v>
      </c>
    </row>
    <row r="215" spans="1:4">
      <c r="C215" s="3230">
        <v>34.450000000000003</v>
      </c>
      <c r="D215" s="3230" t="s">
        <v>3184</v>
      </c>
    </row>
    <row r="216" spans="1:4">
      <c r="C216" s="3230">
        <v>68.33</v>
      </c>
      <c r="D216" s="3230" t="s">
        <v>3184</v>
      </c>
    </row>
    <row r="217" spans="1:4">
      <c r="C217" s="3230">
        <v>264.69</v>
      </c>
      <c r="D217" s="3230" t="s">
        <v>3184</v>
      </c>
    </row>
    <row r="218" spans="1:4">
      <c r="C218" s="3233">
        <f>SUM(C177:C217)</f>
        <v>1698.7800000000002</v>
      </c>
      <c r="D218" s="3230"/>
    </row>
    <row r="219" spans="1:4">
      <c r="B219" s="3230" t="s">
        <v>3192</v>
      </c>
      <c r="C219" s="3230">
        <v>34.81</v>
      </c>
      <c r="D219" s="3230" t="s">
        <v>3184</v>
      </c>
    </row>
    <row r="220" spans="1:4">
      <c r="C220" s="3230">
        <v>36.119999999999997</v>
      </c>
      <c r="D220" s="3230" t="s">
        <v>3184</v>
      </c>
    </row>
    <row r="221" spans="1:4">
      <c r="C221" s="3230">
        <v>34.35</v>
      </c>
      <c r="D221" s="3230" t="s">
        <v>3184</v>
      </c>
    </row>
    <row r="222" spans="1:4">
      <c r="C222" s="3230">
        <v>36.119999999999997</v>
      </c>
      <c r="D222" s="3230" t="s">
        <v>3184</v>
      </c>
    </row>
    <row r="223" spans="1:4">
      <c r="C223" s="3230">
        <v>35.92</v>
      </c>
      <c r="D223" s="3230" t="s">
        <v>3184</v>
      </c>
    </row>
    <row r="224" spans="1:4">
      <c r="A224" s="3231"/>
      <c r="C224" s="3230">
        <v>34.549999999999997</v>
      </c>
      <c r="D224" s="3230" t="s">
        <v>3184</v>
      </c>
    </row>
    <row r="225" spans="3:4">
      <c r="C225" s="3230">
        <v>35.92</v>
      </c>
      <c r="D225" s="3230" t="s">
        <v>3184</v>
      </c>
    </row>
    <row r="226" spans="3:4">
      <c r="C226" s="3230">
        <v>34.96</v>
      </c>
      <c r="D226" s="3230" t="s">
        <v>3184</v>
      </c>
    </row>
    <row r="227" spans="3:4">
      <c r="C227" s="3230">
        <v>37.56</v>
      </c>
      <c r="D227" s="3230" t="s">
        <v>3184</v>
      </c>
    </row>
    <row r="228" spans="3:4">
      <c r="C228" s="3230">
        <v>35.92</v>
      </c>
      <c r="D228" s="3230" t="s">
        <v>3184</v>
      </c>
    </row>
    <row r="229" spans="3:4">
      <c r="C229" s="3230">
        <v>34.549999999999997</v>
      </c>
      <c r="D229" s="3230" t="s">
        <v>3184</v>
      </c>
    </row>
    <row r="230" spans="3:4">
      <c r="C230" s="3230">
        <v>35.92</v>
      </c>
      <c r="D230" s="3230" t="s">
        <v>3184</v>
      </c>
    </row>
    <row r="231" spans="3:4">
      <c r="C231" s="3230">
        <v>36.19</v>
      </c>
      <c r="D231" s="3230" t="s">
        <v>3184</v>
      </c>
    </row>
    <row r="232" spans="3:4">
      <c r="C232" s="3232">
        <f>SUM(C219:C231)</f>
        <v>462.89000000000004</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55:J157"/>
  <sheetViews>
    <sheetView topLeftCell="A122" workbookViewId="0">
      <selection activeCell="I159" sqref="I159"/>
    </sheetView>
  </sheetViews>
  <sheetFormatPr defaultRowHeight="13.5"/>
  <sheetData>
    <row r="155" spans="6:10">
      <c r="F155" s="3230" t="s">
        <v>3234</v>
      </c>
      <c r="G155">
        <v>356</v>
      </c>
      <c r="H155">
        <v>70000</v>
      </c>
      <c r="I155" s="3230" t="s">
        <v>3235</v>
      </c>
      <c r="J155" s="3230" t="s">
        <v>3238</v>
      </c>
    </row>
    <row r="156" spans="6:10">
      <c r="F156" s="3230" t="s">
        <v>3236</v>
      </c>
      <c r="G156">
        <v>78.599999999999994</v>
      </c>
      <c r="H156">
        <v>70500</v>
      </c>
      <c r="I156" s="3230" t="s">
        <v>3235</v>
      </c>
      <c r="J156" t="str">
        <f>J155</f>
        <v>非标高</v>
      </c>
    </row>
    <row r="157" spans="6:10">
      <c r="F157" s="3230" t="s">
        <v>3237</v>
      </c>
      <c r="G157">
        <v>212</v>
      </c>
      <c r="H157">
        <v>70000</v>
      </c>
      <c r="I157" s="3230" t="s">
        <v>3235</v>
      </c>
      <c r="J157" t="str">
        <f>J155</f>
        <v>非标高</v>
      </c>
    </row>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A64" workbookViewId="0">
      <selection activeCell="D77" sqref="D77"/>
    </sheetView>
  </sheetViews>
  <sheetFormatPr defaultRowHeight="13.5"/>
  <cols>
    <col min="1" max="5" width="9" style="3612"/>
    <col min="6" max="6" width="13" style="3612" bestFit="1" customWidth="1"/>
    <col min="7" max="7" width="9" style="3612"/>
    <col min="8" max="8" width="9.75" style="3612" customWidth="1"/>
    <col min="9" max="12" width="9" style="3612"/>
    <col min="13" max="13" width="7.875" style="3612" customWidth="1"/>
    <col min="14" max="15" width="9" style="3612"/>
    <col min="16" max="16" width="11.625" style="3612" bestFit="1" customWidth="1"/>
    <col min="17" max="16384" width="9" style="3612"/>
  </cols>
  <sheetData>
    <row r="26" spans="6:8">
      <c r="G26" s="3613" t="s">
        <v>3250</v>
      </c>
      <c r="H26" s="3613" t="s">
        <v>3251</v>
      </c>
    </row>
    <row r="27" spans="6:8">
      <c r="F27" s="3613" t="s">
        <v>3252</v>
      </c>
      <c r="G27" s="3612">
        <v>52838</v>
      </c>
      <c r="H27" s="3612">
        <v>56777</v>
      </c>
    </row>
    <row r="28" spans="6:8">
      <c r="F28" s="3613" t="s">
        <v>3253</v>
      </c>
      <c r="G28" s="3612">
        <v>6938</v>
      </c>
      <c r="H28" s="3612">
        <v>52757</v>
      </c>
    </row>
    <row r="29" spans="6:8">
      <c r="F29" s="3613" t="s">
        <v>3254</v>
      </c>
      <c r="G29" s="3612">
        <v>67392</v>
      </c>
      <c r="H29" s="3612">
        <v>56057</v>
      </c>
    </row>
    <row r="67" spans="2:16" ht="31.5">
      <c r="B67" s="3614" t="s">
        <v>3255</v>
      </c>
      <c r="C67" s="3614" t="s">
        <v>3256</v>
      </c>
      <c r="D67" s="3614" t="s">
        <v>3257</v>
      </c>
      <c r="E67" s="3615" t="s">
        <v>3258</v>
      </c>
      <c r="F67" s="3614" t="s">
        <v>3259</v>
      </c>
      <c r="G67" s="3616" t="s">
        <v>3260</v>
      </c>
      <c r="H67" s="3616" t="s">
        <v>3261</v>
      </c>
      <c r="I67" s="3615" t="s">
        <v>3262</v>
      </c>
      <c r="J67" s="3615" t="s">
        <v>3263</v>
      </c>
      <c r="K67" s="3615" t="s">
        <v>3264</v>
      </c>
      <c r="L67" s="3615" t="s">
        <v>3265</v>
      </c>
      <c r="M67" s="3612" t="s">
        <v>3266</v>
      </c>
      <c r="N67" s="3617" t="s">
        <v>3267</v>
      </c>
      <c r="O67" s="3618" t="s">
        <v>3268</v>
      </c>
      <c r="P67" s="3618" t="s">
        <v>3269</v>
      </c>
    </row>
    <row r="68" spans="2:16" ht="21">
      <c r="B68" s="3619">
        <v>1</v>
      </c>
      <c r="C68" s="3620" t="s">
        <v>3270</v>
      </c>
      <c r="D68" s="3620" t="s">
        <v>27</v>
      </c>
      <c r="E68" s="3620" t="s">
        <v>3271</v>
      </c>
      <c r="F68" s="3620" t="s">
        <v>3272</v>
      </c>
      <c r="G68" s="3621">
        <v>37.1</v>
      </c>
      <c r="H68" s="3622">
        <v>109000</v>
      </c>
      <c r="I68" s="3622">
        <v>33940</v>
      </c>
      <c r="J68" s="3620" t="s">
        <v>3273</v>
      </c>
      <c r="K68" s="3620" t="s">
        <v>3274</v>
      </c>
      <c r="L68" s="3620" t="s">
        <v>3275</v>
      </c>
    </row>
    <row r="69" spans="2:16">
      <c r="B69" s="3623">
        <v>2</v>
      </c>
      <c r="C69" s="3624" t="s">
        <v>3270</v>
      </c>
      <c r="D69" s="3624" t="s">
        <v>6</v>
      </c>
      <c r="E69" s="3624" t="s">
        <v>3276</v>
      </c>
      <c r="F69" s="3624" t="s">
        <v>3277</v>
      </c>
      <c r="G69" s="3623">
        <v>28</v>
      </c>
      <c r="H69" s="3625">
        <v>114200</v>
      </c>
      <c r="I69" s="3625">
        <v>24518</v>
      </c>
      <c r="J69" s="3624" t="s">
        <v>3273</v>
      </c>
      <c r="K69" s="3624" t="s">
        <v>3278</v>
      </c>
      <c r="L69" s="3624" t="s">
        <v>3279</v>
      </c>
    </row>
    <row r="70" spans="2:16" ht="21">
      <c r="B70" s="3619">
        <v>3</v>
      </c>
      <c r="C70" s="3620" t="s">
        <v>3270</v>
      </c>
      <c r="D70" s="3620" t="s">
        <v>3280</v>
      </c>
      <c r="E70" s="3620" t="s">
        <v>3281</v>
      </c>
      <c r="F70" s="3620" t="s">
        <v>3282</v>
      </c>
      <c r="G70" s="3626">
        <v>20.48</v>
      </c>
      <c r="H70" s="3622">
        <v>37923</v>
      </c>
      <c r="I70" s="3622">
        <v>54004</v>
      </c>
      <c r="J70" s="3620" t="s">
        <v>3273</v>
      </c>
      <c r="K70" s="3620" t="s">
        <v>3283</v>
      </c>
      <c r="L70" s="3620" t="s">
        <v>3284</v>
      </c>
    </row>
    <row r="71" spans="2:16" ht="31.5">
      <c r="B71" s="3623">
        <v>4</v>
      </c>
      <c r="C71" s="3624" t="s">
        <v>3270</v>
      </c>
      <c r="D71" s="3624" t="s">
        <v>3285</v>
      </c>
      <c r="E71" s="3624" t="s">
        <v>3286</v>
      </c>
      <c r="F71" s="3624" t="s">
        <v>3287</v>
      </c>
      <c r="G71" s="3623">
        <v>13</v>
      </c>
      <c r="H71" s="3625">
        <v>48000</v>
      </c>
      <c r="I71" s="3625">
        <v>27083</v>
      </c>
      <c r="J71" s="3624" t="s">
        <v>3288</v>
      </c>
      <c r="K71" s="3624" t="s">
        <v>3289</v>
      </c>
      <c r="L71" s="3624" t="s">
        <v>3290</v>
      </c>
    </row>
    <row r="72" spans="2:16" ht="21">
      <c r="B72" s="3619">
        <v>5</v>
      </c>
      <c r="C72" s="3620" t="s">
        <v>3270</v>
      </c>
      <c r="D72" s="3620" t="s">
        <v>27</v>
      </c>
      <c r="E72" s="3620" t="s">
        <v>3291</v>
      </c>
      <c r="F72" s="3620" t="s">
        <v>3292</v>
      </c>
      <c r="G72" s="3626">
        <v>10.84</v>
      </c>
      <c r="H72" s="3622">
        <v>24252</v>
      </c>
      <c r="I72" s="3627">
        <v>44697</v>
      </c>
      <c r="J72" s="3620" t="s">
        <v>3288</v>
      </c>
      <c r="K72" s="3620" t="s">
        <v>3293</v>
      </c>
      <c r="L72" s="3620" t="s">
        <v>3294</v>
      </c>
    </row>
    <row r="73" spans="2:16" s="3632" customFormat="1" ht="21">
      <c r="B73" s="3628">
        <v>6</v>
      </c>
      <c r="C73" s="3629" t="s">
        <v>3295</v>
      </c>
      <c r="D73" s="3629" t="s">
        <v>27</v>
      </c>
      <c r="E73" s="3629" t="s">
        <v>3296</v>
      </c>
      <c r="F73" s="3629" t="s">
        <v>3277</v>
      </c>
      <c r="G73" s="3630">
        <v>26.5</v>
      </c>
      <c r="H73" s="3631">
        <v>35940</v>
      </c>
      <c r="I73" s="3631">
        <v>73734</v>
      </c>
      <c r="J73" s="3629" t="s">
        <v>3273</v>
      </c>
      <c r="K73" s="3629" t="s">
        <v>3297</v>
      </c>
      <c r="L73" s="3629" t="s">
        <v>3298</v>
      </c>
      <c r="N73" s="3632">
        <f t="shared" ref="N73" si="0">ROUND((O73-H73)/O73,2)</f>
        <v>0.25</v>
      </c>
      <c r="O73" s="3632">
        <v>48000</v>
      </c>
      <c r="P73" s="3632">
        <f>ROUND(G73/O73*100000000,0)</f>
        <v>55208</v>
      </c>
    </row>
    <row r="74" spans="2:16" s="3636" customFormat="1" ht="31.5">
      <c r="B74" s="3633">
        <v>7</v>
      </c>
      <c r="C74" s="3634" t="s">
        <v>3295</v>
      </c>
      <c r="D74" s="3634" t="s">
        <v>27</v>
      </c>
      <c r="E74" s="3634" t="s">
        <v>3299</v>
      </c>
      <c r="F74" s="3634" t="s">
        <v>3282</v>
      </c>
      <c r="G74" s="3633">
        <v>24</v>
      </c>
      <c r="H74" s="3635">
        <v>52838</v>
      </c>
      <c r="I74" s="3635">
        <v>56777</v>
      </c>
      <c r="J74" s="3634" t="s">
        <v>3273</v>
      </c>
      <c r="K74" s="3634" t="s">
        <v>3300</v>
      </c>
      <c r="L74" s="3634" t="s">
        <v>3301</v>
      </c>
    </row>
    <row r="75" spans="2:16" s="3640" customFormat="1" ht="31.5">
      <c r="B75" s="3637">
        <v>8</v>
      </c>
      <c r="C75" s="3638" t="s">
        <v>3295</v>
      </c>
      <c r="D75" s="3638" t="s">
        <v>3302</v>
      </c>
      <c r="E75" s="3638" t="s">
        <v>3303</v>
      </c>
      <c r="F75" s="3638" t="s">
        <v>3277</v>
      </c>
      <c r="G75" s="3639">
        <v>25.64</v>
      </c>
      <c r="H75" s="3638"/>
      <c r="I75" s="3638"/>
      <c r="J75" s="3638" t="s">
        <v>3273</v>
      </c>
      <c r="K75" s="3638" t="s">
        <v>3304</v>
      </c>
      <c r="L75" s="3638" t="s">
        <v>3305</v>
      </c>
      <c r="M75" s="3640">
        <v>1</v>
      </c>
      <c r="O75" s="3640">
        <v>60000</v>
      </c>
      <c r="P75" s="3640">
        <f>ROUND(G75/O75*100000000,0)/0.5</f>
        <v>85466</v>
      </c>
    </row>
    <row r="76" spans="2:16" ht="21">
      <c r="B76" s="3619">
        <v>9</v>
      </c>
      <c r="C76" s="3620" t="s">
        <v>3306</v>
      </c>
      <c r="D76" s="3620" t="s">
        <v>27</v>
      </c>
      <c r="E76" s="3620" t="s">
        <v>3307</v>
      </c>
      <c r="F76" s="3620" t="s">
        <v>3277</v>
      </c>
      <c r="G76" s="3621">
        <v>8.5</v>
      </c>
      <c r="H76" s="3627">
        <v>15776</v>
      </c>
      <c r="I76" s="3627">
        <v>53879</v>
      </c>
      <c r="J76" s="3620" t="s">
        <v>3273</v>
      </c>
      <c r="K76" s="3620" t="s">
        <v>3308</v>
      </c>
      <c r="L76" s="3620" t="s">
        <v>3309</v>
      </c>
      <c r="N76" s="3632"/>
      <c r="P76" s="3632"/>
    </row>
    <row r="77" spans="2:16" s="3636" customFormat="1" ht="21">
      <c r="B77" s="3633">
        <v>10</v>
      </c>
      <c r="C77" s="3634" t="s">
        <v>3306</v>
      </c>
      <c r="D77" s="3634" t="s">
        <v>27</v>
      </c>
      <c r="E77" s="3641" t="s">
        <v>3310</v>
      </c>
      <c r="F77" s="3634" t="s">
        <v>3311</v>
      </c>
      <c r="G77" s="3642">
        <v>15.05</v>
      </c>
      <c r="H77" s="3643">
        <v>24205</v>
      </c>
      <c r="I77" s="3635">
        <v>62177</v>
      </c>
      <c r="J77" s="3634" t="s">
        <v>3288</v>
      </c>
      <c r="K77" s="3634" t="s">
        <v>3312</v>
      </c>
      <c r="L77" s="3634" t="s">
        <v>3313</v>
      </c>
      <c r="N77" s="3636">
        <f t="shared" ref="N77" si="1">ROUND((O77-H77)/O77,2)</f>
        <v>0.25</v>
      </c>
      <c r="O77" s="3636">
        <v>32414</v>
      </c>
      <c r="P77" s="3636">
        <f>ROUND(G77/O77*100000000,0)</f>
        <v>46431</v>
      </c>
    </row>
    <row r="78" spans="2:16" s="3636" customFormat="1">
      <c r="B78" s="3633">
        <v>11</v>
      </c>
      <c r="C78" s="3634" t="s">
        <v>3306</v>
      </c>
      <c r="D78" s="3634" t="s">
        <v>27</v>
      </c>
      <c r="E78" s="3634" t="s">
        <v>3314</v>
      </c>
      <c r="F78" s="3634" t="s">
        <v>3282</v>
      </c>
      <c r="G78" s="3642">
        <v>3.66</v>
      </c>
      <c r="H78" s="3643">
        <v>6938</v>
      </c>
      <c r="I78" s="3643">
        <v>52757</v>
      </c>
      <c r="J78" s="3634" t="s">
        <v>3273</v>
      </c>
      <c r="K78" s="3634" t="s">
        <v>3315</v>
      </c>
      <c r="L78" s="3634" t="s">
        <v>3316</v>
      </c>
    </row>
    <row r="79" spans="2:16" ht="21">
      <c r="B79" s="3623">
        <v>12</v>
      </c>
      <c r="C79" s="3624" t="s">
        <v>3317</v>
      </c>
      <c r="D79" s="3624" t="s">
        <v>3285</v>
      </c>
      <c r="E79" s="3624" t="s">
        <v>3318</v>
      </c>
      <c r="F79" s="3624" t="s">
        <v>3277</v>
      </c>
      <c r="G79" s="3623">
        <v>6</v>
      </c>
      <c r="H79" s="3644">
        <v>15000</v>
      </c>
      <c r="I79" s="3644">
        <v>40000</v>
      </c>
      <c r="J79" s="3624" t="s">
        <v>3273</v>
      </c>
      <c r="K79" s="3624" t="s">
        <v>3319</v>
      </c>
      <c r="L79" s="3624" t="s">
        <v>3320</v>
      </c>
      <c r="N79" s="3632"/>
    </row>
    <row r="80" spans="2:16">
      <c r="B80" s="3619">
        <v>13</v>
      </c>
      <c r="C80" s="3620" t="s">
        <v>3317</v>
      </c>
      <c r="D80" s="3620" t="s">
        <v>27</v>
      </c>
      <c r="E80" s="3620" t="s">
        <v>3321</v>
      </c>
      <c r="F80" s="3620" t="s">
        <v>3287</v>
      </c>
      <c r="G80" s="3626">
        <v>16.739999999999998</v>
      </c>
      <c r="H80" s="3627">
        <v>28829</v>
      </c>
      <c r="I80" s="3627">
        <v>58077</v>
      </c>
      <c r="J80" s="3620" t="s">
        <v>3288</v>
      </c>
      <c r="K80" s="3620" t="s">
        <v>3322</v>
      </c>
      <c r="L80" s="3620" t="s">
        <v>3323</v>
      </c>
      <c r="N80" s="3632"/>
    </row>
    <row r="81" spans="2:19" ht="21">
      <c r="B81" s="3623">
        <v>14</v>
      </c>
      <c r="C81" s="3624" t="s">
        <v>3317</v>
      </c>
      <c r="D81" s="3624" t="s">
        <v>3285</v>
      </c>
      <c r="E81" s="3624" t="s">
        <v>3324</v>
      </c>
      <c r="F81" s="3624" t="s">
        <v>3272</v>
      </c>
      <c r="G81" s="3645">
        <v>7.2</v>
      </c>
      <c r="H81" s="3644">
        <v>41900</v>
      </c>
      <c r="I81" s="3644">
        <v>17184</v>
      </c>
      <c r="J81" s="3624" t="s">
        <v>3288</v>
      </c>
      <c r="K81" s="3624" t="s">
        <v>3325</v>
      </c>
      <c r="L81" s="3624" t="s">
        <v>3326</v>
      </c>
      <c r="N81" s="3632"/>
    </row>
    <row r="82" spans="2:19" ht="31.5">
      <c r="B82" s="3619">
        <v>15</v>
      </c>
      <c r="C82" s="3620" t="s">
        <v>3327</v>
      </c>
      <c r="D82" s="3620" t="s">
        <v>27</v>
      </c>
      <c r="E82" s="3620" t="s">
        <v>3328</v>
      </c>
      <c r="F82" s="3620" t="s">
        <v>3277</v>
      </c>
      <c r="G82" s="3626">
        <v>5.61</v>
      </c>
      <c r="H82" s="3627">
        <v>11645</v>
      </c>
      <c r="I82" s="3627">
        <v>48158</v>
      </c>
      <c r="J82" s="3620" t="s">
        <v>3288</v>
      </c>
      <c r="K82" s="3620" t="s">
        <v>3329</v>
      </c>
      <c r="L82" s="3620" t="s">
        <v>3330</v>
      </c>
      <c r="N82" s="3632"/>
      <c r="O82" s="3646"/>
    </row>
    <row r="83" spans="2:19" ht="21">
      <c r="B83" s="3637">
        <v>16</v>
      </c>
      <c r="C83" s="3638" t="s">
        <v>3327</v>
      </c>
      <c r="D83" s="3638" t="s">
        <v>27</v>
      </c>
      <c r="E83" s="3638" t="s">
        <v>3331</v>
      </c>
      <c r="F83" s="3638" t="s">
        <v>3282</v>
      </c>
      <c r="G83" s="3647">
        <v>90.6</v>
      </c>
      <c r="H83" s="3648">
        <v>107627</v>
      </c>
      <c r="I83" s="3648">
        <v>84180</v>
      </c>
      <c r="J83" s="3638" t="s">
        <v>3273</v>
      </c>
      <c r="K83" s="3638" t="s">
        <v>3332</v>
      </c>
      <c r="L83" s="3638" t="s">
        <v>3333</v>
      </c>
      <c r="M83" s="3640">
        <f>H83/S83</f>
        <v>12.307255260676994</v>
      </c>
      <c r="N83" s="3640">
        <f>ROUND((O83-H83)/O83,2)</f>
        <v>0.12</v>
      </c>
      <c r="O83" s="3640">
        <v>122430.06</v>
      </c>
      <c r="P83" s="3640">
        <f>ROUND(G83/O83*100000000,0)</f>
        <v>74001</v>
      </c>
      <c r="R83" s="3612">
        <v>14</v>
      </c>
      <c r="S83" s="3612">
        <f>O83/R83</f>
        <v>8745.0042857142853</v>
      </c>
    </row>
    <row r="84" spans="2:19" ht="31.5">
      <c r="B84" s="3619">
        <v>17</v>
      </c>
      <c r="C84" s="3620" t="s">
        <v>3327</v>
      </c>
      <c r="D84" s="3620" t="s">
        <v>3302</v>
      </c>
      <c r="E84" s="3620" t="s">
        <v>3334</v>
      </c>
      <c r="F84" s="3620" t="s">
        <v>3292</v>
      </c>
      <c r="G84" s="3619">
        <v>40</v>
      </c>
      <c r="H84" s="3627">
        <v>100030</v>
      </c>
      <c r="I84" s="3627">
        <v>40000</v>
      </c>
      <c r="J84" s="3620" t="s">
        <v>3335</v>
      </c>
      <c r="K84" s="3620" t="s">
        <v>3336</v>
      </c>
      <c r="L84" s="3620" t="s">
        <v>3337</v>
      </c>
      <c r="M84" s="3632"/>
      <c r="N84" s="3632"/>
      <c r="O84" s="3632"/>
      <c r="P84" s="3632"/>
      <c r="Q84" s="3632"/>
    </row>
    <row r="85" spans="2:19" s="3636" customFormat="1" ht="21">
      <c r="B85" s="3633">
        <v>18</v>
      </c>
      <c r="C85" s="3634" t="s">
        <v>3338</v>
      </c>
      <c r="D85" s="3634" t="s">
        <v>3339</v>
      </c>
      <c r="E85" s="3634" t="s">
        <v>3340</v>
      </c>
      <c r="F85" s="3634" t="s">
        <v>3311</v>
      </c>
      <c r="G85" s="3649">
        <v>43.3</v>
      </c>
      <c r="H85" s="3643">
        <v>110996</v>
      </c>
      <c r="I85" s="3643">
        <v>55732</v>
      </c>
      <c r="J85" s="3634" t="s">
        <v>3341</v>
      </c>
      <c r="K85" s="3634" t="s">
        <v>3342</v>
      </c>
      <c r="L85" s="3634" t="s">
        <v>3343</v>
      </c>
      <c r="O85" s="3636">
        <v>145928</v>
      </c>
      <c r="P85" s="3636">
        <f>ROUND(G85/O85*100000000/0.7,0)</f>
        <v>42389</v>
      </c>
    </row>
    <row r="86" spans="2:19" ht="31.5">
      <c r="B86" s="3619">
        <v>19</v>
      </c>
      <c r="C86" s="3620" t="s">
        <v>3344</v>
      </c>
      <c r="D86" s="3620" t="s">
        <v>3302</v>
      </c>
      <c r="E86" s="3620" t="s">
        <v>3345</v>
      </c>
      <c r="F86" s="3620" t="s">
        <v>3282</v>
      </c>
      <c r="G86" s="3626">
        <v>16.45</v>
      </c>
      <c r="H86" s="3627">
        <v>41197</v>
      </c>
      <c r="I86" s="3627">
        <v>39930</v>
      </c>
      <c r="J86" s="3620" t="s">
        <v>3288</v>
      </c>
      <c r="K86" s="3620" t="s">
        <v>3346</v>
      </c>
      <c r="L86" s="3650" t="s">
        <v>3347</v>
      </c>
      <c r="M86" s="3632"/>
      <c r="N86" s="3632"/>
      <c r="O86" s="3632"/>
      <c r="P86" s="3632"/>
      <c r="Q86" s="3632">
        <v>230000</v>
      </c>
      <c r="R86" s="3612">
        <f>Q86*10000/H86</f>
        <v>55829.307959317426</v>
      </c>
      <c r="S86" s="3612">
        <f>G86*10000/Q86</f>
        <v>0.7152173913043478</v>
      </c>
    </row>
    <row r="87" spans="2:19">
      <c r="B87" s="3623">
        <v>20</v>
      </c>
      <c r="C87" s="3624" t="s">
        <v>3344</v>
      </c>
      <c r="D87" s="3624" t="s">
        <v>27</v>
      </c>
      <c r="E87" s="3624" t="s">
        <v>3348</v>
      </c>
      <c r="F87" s="3624" t="s">
        <v>3349</v>
      </c>
      <c r="G87" s="3651">
        <v>20</v>
      </c>
      <c r="H87" s="3644">
        <v>49000</v>
      </c>
      <c r="I87" s="3644">
        <v>40816</v>
      </c>
      <c r="J87" s="3624" t="s">
        <v>3288</v>
      </c>
      <c r="K87" s="3624" t="s">
        <v>3350</v>
      </c>
      <c r="L87" s="3624" t="s">
        <v>3351</v>
      </c>
      <c r="M87" s="3632"/>
      <c r="N87" s="3632"/>
      <c r="O87" s="3632"/>
      <c r="P87" s="3632"/>
      <c r="Q87" s="3632"/>
    </row>
    <row r="88" spans="2:19" ht="31.5">
      <c r="B88" s="3619">
        <v>21</v>
      </c>
      <c r="C88" s="3620" t="s">
        <v>3344</v>
      </c>
      <c r="D88" s="3620" t="s">
        <v>3352</v>
      </c>
      <c r="E88" s="3620" t="s">
        <v>3353</v>
      </c>
      <c r="F88" s="3620" t="s">
        <v>3354</v>
      </c>
      <c r="G88" s="3626">
        <v>6.55</v>
      </c>
      <c r="H88" s="3627">
        <v>37002</v>
      </c>
      <c r="I88" s="3627">
        <v>17702</v>
      </c>
      <c r="J88" s="3620" t="s">
        <v>3273</v>
      </c>
      <c r="K88" s="3620" t="s">
        <v>3355</v>
      </c>
      <c r="L88" s="3620" t="s">
        <v>3356</v>
      </c>
      <c r="M88" s="3632"/>
      <c r="N88" s="3632"/>
      <c r="O88" s="3632"/>
      <c r="P88" s="3632"/>
      <c r="Q88" s="3632"/>
    </row>
    <row r="89" spans="2:19" ht="21">
      <c r="B89" s="3623">
        <v>22</v>
      </c>
      <c r="C89" s="3624" t="s">
        <v>3344</v>
      </c>
      <c r="D89" s="3624" t="s">
        <v>27</v>
      </c>
      <c r="E89" s="3624" t="s">
        <v>3357</v>
      </c>
      <c r="F89" s="3624" t="s">
        <v>3354</v>
      </c>
      <c r="G89" s="3651">
        <v>8.67</v>
      </c>
      <c r="H89" s="3644">
        <v>38464</v>
      </c>
      <c r="I89" s="3644">
        <v>22547</v>
      </c>
      <c r="J89" s="3624" t="s">
        <v>3288</v>
      </c>
      <c r="K89" s="3624" t="s">
        <v>3358</v>
      </c>
      <c r="L89" s="3624" t="s">
        <v>3359</v>
      </c>
      <c r="M89" s="3632"/>
      <c r="N89" s="3632"/>
      <c r="O89" s="3632"/>
      <c r="P89" s="3632"/>
      <c r="Q89" s="3632"/>
    </row>
    <row r="90" spans="2:19" ht="21">
      <c r="B90" s="3619">
        <v>23</v>
      </c>
      <c r="C90" s="3620" t="s">
        <v>3344</v>
      </c>
      <c r="D90" s="3620" t="s">
        <v>27</v>
      </c>
      <c r="E90" s="3620" t="s">
        <v>3360</v>
      </c>
      <c r="F90" s="3620" t="s">
        <v>3361</v>
      </c>
      <c r="G90" s="3626">
        <v>8.75</v>
      </c>
      <c r="H90" s="3627">
        <v>45240</v>
      </c>
      <c r="I90" s="3627">
        <v>19343</v>
      </c>
      <c r="J90" s="3620" t="s">
        <v>3288</v>
      </c>
      <c r="K90" s="3620" t="s">
        <v>3362</v>
      </c>
      <c r="L90" s="3620" t="s">
        <v>3363</v>
      </c>
      <c r="M90" s="3632"/>
      <c r="N90" s="3632"/>
      <c r="O90" s="3632"/>
      <c r="P90" s="3632"/>
      <c r="Q90" s="3632"/>
    </row>
    <row r="91" spans="2:19" ht="21">
      <c r="B91" s="3637">
        <v>24</v>
      </c>
      <c r="C91" s="3638" t="s">
        <v>3344</v>
      </c>
      <c r="D91" s="3638" t="s">
        <v>27</v>
      </c>
      <c r="E91" s="3638" t="s">
        <v>3364</v>
      </c>
      <c r="F91" s="3638" t="s">
        <v>3272</v>
      </c>
      <c r="G91" s="3639">
        <v>2.97</v>
      </c>
      <c r="H91" s="3648">
        <v>3507</v>
      </c>
      <c r="I91" s="3648">
        <v>84688</v>
      </c>
      <c r="J91" s="3638" t="s">
        <v>3288</v>
      </c>
      <c r="K91" s="3638" t="s">
        <v>3365</v>
      </c>
      <c r="L91" s="3638" t="s">
        <v>3366</v>
      </c>
      <c r="M91" s="3640">
        <f>ROUND(24474/6992.661,2)</f>
        <v>3.5</v>
      </c>
      <c r="N91" s="3640">
        <f>ROUND(678.53/3506.47,2)</f>
        <v>0.19</v>
      </c>
      <c r="O91" s="3652">
        <f>678.53+653.03+724.97*3</f>
        <v>3506.47</v>
      </c>
      <c r="P91" s="3640">
        <f t="shared" ref="P91" si="2">ROUND(G91/O91*100000000,0)</f>
        <v>84701</v>
      </c>
    </row>
    <row r="92" spans="2:19" ht="21">
      <c r="B92" s="3619">
        <v>25</v>
      </c>
      <c r="C92" s="3620" t="s">
        <v>3367</v>
      </c>
      <c r="D92" s="3620" t="s">
        <v>27</v>
      </c>
      <c r="E92" s="3620" t="s">
        <v>3368</v>
      </c>
      <c r="F92" s="3620" t="s">
        <v>3272</v>
      </c>
      <c r="G92" s="3626">
        <v>16.440000000000001</v>
      </c>
      <c r="H92" s="3627">
        <v>66158</v>
      </c>
      <c r="I92" s="3627">
        <v>24847</v>
      </c>
      <c r="J92" s="3620" t="s">
        <v>3288</v>
      </c>
      <c r="K92" s="3620" t="s">
        <v>3369</v>
      </c>
      <c r="L92" s="3620" t="s">
        <v>3370</v>
      </c>
    </row>
    <row r="93" spans="2:19" ht="31.5">
      <c r="B93" s="3623">
        <v>26</v>
      </c>
      <c r="C93" s="3624" t="s">
        <v>3367</v>
      </c>
      <c r="D93" s="3624" t="s">
        <v>27</v>
      </c>
      <c r="E93" s="3624" t="s">
        <v>3371</v>
      </c>
      <c r="F93" s="3624" t="s">
        <v>3277</v>
      </c>
      <c r="G93" s="3651">
        <v>3.08</v>
      </c>
      <c r="H93" s="3644">
        <v>11951</v>
      </c>
      <c r="I93" s="3644">
        <v>25751</v>
      </c>
      <c r="J93" s="3624" t="s">
        <v>3288</v>
      </c>
      <c r="K93" s="3624" t="s">
        <v>3372</v>
      </c>
      <c r="L93" s="3624" t="s">
        <v>3373</v>
      </c>
    </row>
    <row r="94" spans="2:19" ht="21">
      <c r="B94" s="3619">
        <v>27</v>
      </c>
      <c r="C94" s="3620" t="s">
        <v>3374</v>
      </c>
      <c r="D94" s="3620" t="s">
        <v>6</v>
      </c>
      <c r="E94" s="3620" t="s">
        <v>3375</v>
      </c>
      <c r="F94" s="3620" t="s">
        <v>3349</v>
      </c>
      <c r="G94" s="3626">
        <v>1.7</v>
      </c>
      <c r="H94" s="3627">
        <v>5382</v>
      </c>
      <c r="I94" s="3627">
        <v>31587</v>
      </c>
      <c r="J94" s="3620" t="s">
        <v>3288</v>
      </c>
      <c r="K94" s="3620" t="s">
        <v>3376</v>
      </c>
      <c r="L94" s="3620" t="s">
        <v>3377</v>
      </c>
    </row>
    <row r="95" spans="2:19" ht="31.5">
      <c r="B95" s="3623">
        <v>28</v>
      </c>
      <c r="C95" s="3624" t="s">
        <v>3374</v>
      </c>
      <c r="D95" s="3624" t="s">
        <v>6</v>
      </c>
      <c r="E95" s="3624" t="s">
        <v>3378</v>
      </c>
      <c r="F95" s="3624" t="s">
        <v>3379</v>
      </c>
      <c r="G95" s="3651">
        <v>10.5</v>
      </c>
      <c r="H95" s="3644">
        <v>9671</v>
      </c>
      <c r="I95" s="3644">
        <v>108567</v>
      </c>
      <c r="J95" s="3624" t="s">
        <v>3273</v>
      </c>
      <c r="K95" s="3624" t="s">
        <v>3380</v>
      </c>
      <c r="L95" s="3624" t="s">
        <v>3381</v>
      </c>
    </row>
    <row r="96" spans="2:19" ht="21">
      <c r="B96" s="3619">
        <v>29</v>
      </c>
      <c r="C96" s="3620" t="s">
        <v>3374</v>
      </c>
      <c r="D96" s="3620" t="s">
        <v>27</v>
      </c>
      <c r="E96" s="3620" t="s">
        <v>3382</v>
      </c>
      <c r="F96" s="3620" t="s">
        <v>3383</v>
      </c>
      <c r="G96" s="3626">
        <v>15.75</v>
      </c>
      <c r="H96" s="3627">
        <v>27765</v>
      </c>
      <c r="I96" s="3627">
        <v>56726</v>
      </c>
      <c r="J96" s="3620" t="s">
        <v>3273</v>
      </c>
      <c r="K96" s="3620" t="s">
        <v>3384</v>
      </c>
      <c r="L96" s="3620" t="s">
        <v>3385</v>
      </c>
    </row>
    <row r="100" spans="3:9">
      <c r="C100" s="3613" t="s">
        <v>3386</v>
      </c>
    </row>
    <row r="112" spans="3:9">
      <c r="I112" s="3612">
        <f>678.53/3506</f>
        <v>0.19353394181403308</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6" t="str">
        <f>IF(项目基本情况!B9="房地产市场价值","估价结果一览表","结果表-2")</f>
        <v>估价结果一览表</v>
      </c>
      <c r="B1" s="3276"/>
      <c r="C1" s="3276"/>
      <c r="D1" s="3276"/>
      <c r="E1" s="3276"/>
      <c r="F1" s="3276"/>
      <c r="G1" s="3276"/>
      <c r="H1" s="3276"/>
      <c r="I1" s="3276"/>
    </row>
    <row r="2" spans="1:9" ht="30" customHeight="1" thickTop="1">
      <c r="A2" s="3277" t="s">
        <v>1365</v>
      </c>
      <c r="B2" s="3277" t="s">
        <v>1366</v>
      </c>
      <c r="C2" s="3277" t="s">
        <v>1367</v>
      </c>
      <c r="D2" s="3277" t="str">
        <f>结果表!D116</f>
        <v>出让国有建设用地使用权价值</v>
      </c>
      <c r="E2" s="3277"/>
      <c r="F2" s="3277" t="str">
        <f>结果表!F116</f>
        <v>在建建筑物价值</v>
      </c>
      <c r="G2" s="3277"/>
      <c r="H2" s="3277" t="str">
        <f>IF(项目基本情况!B9="房地产市场价值","房地产市场价值","房地产价值")</f>
        <v>房地产市场价值</v>
      </c>
      <c r="I2" s="3277"/>
    </row>
    <row r="3" spans="1:9" ht="15">
      <c r="A3" s="3278"/>
      <c r="B3" s="3278"/>
      <c r="C3" s="3278"/>
      <c r="D3" s="943" t="s">
        <v>1362</v>
      </c>
      <c r="E3" s="943" t="s">
        <v>1368</v>
      </c>
      <c r="F3" s="943" t="s">
        <v>1362</v>
      </c>
      <c r="G3" s="943" t="s">
        <v>1363</v>
      </c>
      <c r="H3" s="943" t="s">
        <v>1362</v>
      </c>
      <c r="I3" s="943" t="s">
        <v>1363</v>
      </c>
    </row>
    <row r="4" spans="1:9" ht="15">
      <c r="A4" s="1640" t="str">
        <f>项目基本情况!S2</f>
        <v>北京市房地产</v>
      </c>
      <c r="B4" s="943">
        <f>项目基本情况!C17</f>
        <v>9511.0600000000031</v>
      </c>
      <c r="C4" s="943">
        <f>项目基本情况!C18</f>
        <v>3589.08</v>
      </c>
      <c r="D4" s="943" t="e">
        <f ca="1">结果表!D118</f>
        <v>#REF!</v>
      </c>
      <c r="E4" s="943" t="e">
        <f ca="1">结果表!E118</f>
        <v>#REF!</v>
      </c>
      <c r="F4" s="943" t="e">
        <f ca="1">结果表!F118</f>
        <v>#REF!</v>
      </c>
      <c r="G4" s="943" t="e">
        <f ca="1">结果表!G118</f>
        <v>#REF!</v>
      </c>
      <c r="H4" s="943">
        <f ca="1">结果表!H118</f>
        <v>39462</v>
      </c>
      <c r="I4" s="943">
        <f ca="1">结果表!I118</f>
        <v>41491</v>
      </c>
    </row>
    <row r="5" spans="1:9" ht="30" customHeight="1">
      <c r="A5" s="3278" t="s">
        <v>1364</v>
      </c>
      <c r="B5" s="3278"/>
      <c r="C5" s="3278"/>
      <c r="D5" s="3279" t="e">
        <f ca="1">结果表!D119</f>
        <v>#REF!</v>
      </c>
      <c r="E5" s="3279"/>
      <c r="F5" s="3279" t="e">
        <f ca="1">结果表!F119</f>
        <v>#REF!</v>
      </c>
      <c r="G5" s="3279"/>
      <c r="H5" s="3279" t="str">
        <f ca="1">结果表!H119</f>
        <v>叁亿玖仟肆佰陆拾贰万元整</v>
      </c>
      <c r="I5" s="3279"/>
    </row>
    <row r="6" spans="1:9" ht="15.75">
      <c r="A6" s="3280" t="str">
        <f>结果表!A120</f>
        <v/>
      </c>
      <c r="B6" s="3280"/>
      <c r="C6" s="3280"/>
      <c r="D6" s="3280">
        <f>结果表!D120</f>
        <v>0</v>
      </c>
      <c r="E6" s="3280"/>
      <c r="F6" s="3280"/>
      <c r="G6" s="3280"/>
      <c r="H6" s="3280"/>
      <c r="I6" s="3280"/>
    </row>
    <row r="7" spans="1:9" ht="15">
      <c r="A7" s="3278" t="s">
        <v>1364</v>
      </c>
      <c r="B7" s="3278"/>
      <c r="C7" s="3278"/>
      <c r="D7" s="3281" t="str">
        <f>结果表!D121</f>
        <v>零元整</v>
      </c>
      <c r="E7" s="3282"/>
      <c r="F7" s="3282"/>
      <c r="G7" s="3282"/>
      <c r="H7" s="3282"/>
      <c r="I7" s="3283"/>
    </row>
    <row r="8" spans="1:9" ht="15.75">
      <c r="A8" s="3280" t="str">
        <f>结果表!A122</f>
        <v/>
      </c>
      <c r="B8" s="3280"/>
      <c r="C8" s="3280"/>
      <c r="D8" s="3280">
        <f ca="1">结果表!D122</f>
        <v>39462</v>
      </c>
      <c r="E8" s="3280"/>
      <c r="F8" s="3280"/>
      <c r="G8" s="3280"/>
      <c r="H8" s="3280"/>
      <c r="I8" s="3280"/>
    </row>
    <row r="9" spans="1:9" ht="15">
      <c r="A9" s="3278" t="s">
        <v>1364</v>
      </c>
      <c r="B9" s="3278"/>
      <c r="C9" s="3278"/>
      <c r="D9" s="3279" t="str">
        <f ca="1">结果表!D123</f>
        <v>叁亿玖仟肆佰陆拾贰万元整</v>
      </c>
      <c r="E9" s="3279"/>
      <c r="F9" s="3279"/>
      <c r="G9" s="3279"/>
      <c r="H9" s="3279"/>
      <c r="I9" s="3279"/>
    </row>
    <row r="10" spans="1:9" ht="15.75">
      <c r="A10" s="3280" t="str">
        <f>结果表!A124</f>
        <v/>
      </c>
      <c r="B10" s="3280"/>
      <c r="C10" s="3280"/>
      <c r="D10" s="3280" t="str">
        <f>结果表!D124</f>
        <v>——</v>
      </c>
      <c r="E10" s="3280"/>
      <c r="F10" s="3280"/>
      <c r="G10" s="3280"/>
      <c r="H10" s="3280"/>
      <c r="I10" s="3280"/>
    </row>
    <row r="11" spans="1:9" ht="15">
      <c r="A11" s="3278" t="s">
        <v>1364</v>
      </c>
      <c r="B11" s="3278"/>
      <c r="C11" s="3278"/>
      <c r="D11" s="3279" t="e">
        <f>结果表!D125</f>
        <v>#VALUE!</v>
      </c>
      <c r="E11" s="3279"/>
      <c r="F11" s="3279"/>
      <c r="G11" s="3279"/>
      <c r="H11" s="3279"/>
      <c r="I11" s="3279"/>
    </row>
    <row r="12" spans="1:9" ht="15.75">
      <c r="A12" s="3280" t="str">
        <f>结果表!A126</f>
        <v/>
      </c>
      <c r="B12" s="3280"/>
      <c r="C12" s="3280"/>
      <c r="D12" s="3280" t="str">
        <f>结果表!D126</f>
        <v>——</v>
      </c>
      <c r="E12" s="3280"/>
      <c r="F12" s="3280"/>
      <c r="G12" s="3280"/>
      <c r="H12" s="3280"/>
      <c r="I12" s="3280"/>
    </row>
    <row r="13" spans="1:9" ht="15.75" thickBot="1">
      <c r="A13" s="3284" t="s">
        <v>1364</v>
      </c>
      <c r="B13" s="3284"/>
      <c r="C13" s="3284"/>
      <c r="D13" s="3285" t="e">
        <f>结果表!D127</f>
        <v>#VALUE!</v>
      </c>
      <c r="E13" s="3285"/>
      <c r="F13" s="3285"/>
      <c r="G13" s="3285"/>
      <c r="H13" s="3285"/>
      <c r="I13" s="3285"/>
    </row>
    <row r="14" spans="1:9" ht="15" thickTop="1">
      <c r="A14" s="3286" t="s">
        <v>1369</v>
      </c>
      <c r="B14" s="3286"/>
      <c r="C14" s="3286"/>
      <c r="D14" s="3286"/>
      <c r="E14" s="3286"/>
      <c r="F14" s="3286"/>
      <c r="G14" s="3286"/>
      <c r="H14" s="3286"/>
      <c r="I14" s="328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7" t="s">
        <v>1386</v>
      </c>
      <c r="B1" s="3287"/>
      <c r="C1" s="3287"/>
      <c r="D1" s="3287"/>
    </row>
    <row r="2" spans="1:4" ht="18">
      <c r="A2" s="3288" t="s">
        <v>1370</v>
      </c>
      <c r="B2" s="3288"/>
      <c r="C2" s="3288"/>
      <c r="D2" s="328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8" t="s">
        <v>1376</v>
      </c>
      <c r="B6" s="3288"/>
      <c r="C6" s="3288"/>
      <c r="D6" s="3288"/>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9" t="s">
        <v>1379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1"/>
      <c r="C12" s="3291"/>
      <c r="D12" s="3291"/>
    </row>
    <row r="13" spans="1:4" ht="30" customHeight="1">
      <c r="A13" s="3290" t="str">
        <f>IF(项目基本情况!B8="抵押","3.抵押双方在办理抵押登记手续时，应使用本公司出具的正式《房地产评估报告》，特提醒报告使用者注意。","——")</f>
        <v>——</v>
      </c>
      <c r="B13" s="3291"/>
      <c r="C13" s="3291"/>
      <c r="D13" s="3291"/>
    </row>
    <row r="14" spans="1:4" ht="15.75" customHeight="1">
      <c r="A14" s="3290" t="str">
        <f>IF(项目基本情况!B8="抵押","4.本次评估估价师所知悉的法定优先受偿款情况说明如下：","——")</f>
        <v>——</v>
      </c>
      <c r="B14" s="3291"/>
      <c r="C14" s="3291"/>
      <c r="D14" s="3291"/>
    </row>
    <row r="15" spans="1:4" ht="42" customHeight="1">
      <c r="A15" s="3290" t="str">
        <f>IF(项目基本情况!B8="抵押","（1）"&amp;CONCATENATE(项目基本情况!L20,项目基本情况!L21,项目基本情况!L22),"——")</f>
        <v>——</v>
      </c>
      <c r="B15" s="3290"/>
      <c r="C15" s="3290"/>
      <c r="D15" s="3290"/>
    </row>
    <row r="16" spans="1:4" ht="30" customHeight="1">
      <c r="A16" s="3293" t="s">
        <v>1380</v>
      </c>
      <c r="B16" s="3293"/>
      <c r="C16" s="3293"/>
      <c r="D16" s="3293"/>
    </row>
    <row r="17" spans="1:4" ht="144" customHeight="1">
      <c r="A17" s="3293" t="s">
        <v>1381</v>
      </c>
      <c r="B17" s="3293"/>
      <c r="C17" s="3293"/>
      <c r="D17" s="3293"/>
    </row>
    <row r="18" spans="1:4" ht="15.75" customHeight="1">
      <c r="A18" s="3290" t="str">
        <f>IF(项目基本情况!B8="抵押",结果表!K120,"——")</f>
        <v>——</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1382</v>
      </c>
      <c r="B22" s="3295"/>
      <c r="C22" s="3295"/>
      <c r="D22" s="329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2">
        <v>42551</v>
      </c>
      <c r="D31" s="32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44874</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4" t="s">
        <v>2660</v>
      </c>
      <c r="B17" s="3304"/>
      <c r="C17" s="3304"/>
      <c r="D17" s="3304"/>
      <c r="E17" s="3304"/>
      <c r="F17" s="3304"/>
      <c r="G17" s="3304"/>
      <c r="H17" s="3304"/>
    </row>
    <row r="18" spans="1:8" ht="24" customHeight="1">
      <c r="A18" s="3305" t="s">
        <v>2661</v>
      </c>
      <c r="B18" s="3305"/>
      <c r="C18" s="3305"/>
      <c r="D18" s="2516"/>
      <c r="E18" s="3306" t="s">
        <v>2662</v>
      </c>
      <c r="F18" s="3305"/>
      <c r="G18" s="3305"/>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比较法-商业大宗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收益法-仓储</vt:lpstr>
      <vt:lpstr>Sheet1</vt:lpstr>
      <vt:lpstr>Sheet2</vt:lpstr>
      <vt:lpstr>大宗案例</vt:lpstr>
      <vt:lpstr>'比较法-办公'!Print_Area</vt:lpstr>
      <vt:lpstr>'比较法-仓储'!Print_Area</vt:lpstr>
      <vt:lpstr>'比较法-车位'!Print_Area</vt:lpstr>
      <vt:lpstr>'比较法-工业'!Print_Area</vt:lpstr>
      <vt:lpstr>'比较法-商业'!Print_Area</vt:lpstr>
      <vt:lpstr>'比较法-商业大宗'!Print_Area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'比较法-商业大宗'!商业层高</vt:lpstr>
      <vt:lpstr>商业层高</vt:lpstr>
      <vt:lpstr>'比较法-商业大宗'!商业成新度</vt:lpstr>
      <vt:lpstr>商业成新度</vt:lpstr>
      <vt:lpstr>商业繁华度</vt:lpstr>
      <vt:lpstr>'比较法-商业大宗'!商业公共部分装修</vt:lpstr>
      <vt:lpstr>商业公共部分装修</vt:lpstr>
      <vt:lpstr>'比较法-商业大宗'!商业基础设施水平</vt:lpstr>
      <vt:lpstr>商业基础设施水平</vt:lpstr>
      <vt:lpstr>'比较法-商业大宗'!商业建筑结构</vt:lpstr>
      <vt:lpstr>商业建筑结构</vt:lpstr>
      <vt:lpstr>'比较法-商业大宗'!商业交易情况</vt:lpstr>
      <vt:lpstr>商业交易情况</vt:lpstr>
      <vt:lpstr>商业街名称</vt:lpstr>
      <vt:lpstr>'比较法-商业大宗'!商业进深比</vt:lpstr>
      <vt:lpstr>商业进深比</vt:lpstr>
      <vt:lpstr>'比较法-商业大宗'!商业类型</vt:lpstr>
      <vt:lpstr>商业类型</vt:lpstr>
      <vt:lpstr>'比较法-商业大宗'!商业临街状况</vt:lpstr>
      <vt:lpstr>商业临街状况</vt:lpstr>
      <vt:lpstr>'比较法-商业大宗'!商业楼层</vt:lpstr>
      <vt:lpstr>商业楼层</vt:lpstr>
      <vt:lpstr>'比较法-商业大宗'!商业内部装修</vt:lpstr>
      <vt:lpstr>商业内部装修</vt:lpstr>
      <vt:lpstr>'比较法-商业大宗'!商业人流量</vt:lpstr>
      <vt:lpstr>商业人流量</vt:lpstr>
      <vt:lpstr>'比较法-商业大宗'!商业业态</vt:lpstr>
      <vt:lpstr>商业业态</vt:lpstr>
      <vt:lpstr>'比较法-商业大宗'!商业用途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2022-11-09T03:48:31Z</dcterms:modified>
</cp:coreProperties>
</file>