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605海淀区西二旗大街39号4套其他商服用房\"/>
    </mc:Choice>
  </mc:AlternateContent>
  <xr:revisionPtr revIDLastSave="0" documentId="13_ncr:1_{9E8C0822-3502-41AD-B6D0-F2E5D846B27F}" xr6:coauthVersionLast="47" xr6:coauthVersionMax="47" xr10:uidLastSave="{00000000-0000-0000-0000-000000000000}"/>
  <bookViews>
    <workbookView xWindow="-120" yWindow="-120" windowWidth="29040" windowHeight="158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203" sheetId="9" r:id="rId19"/>
    <sheet name="成本法" sheetId="68" state="hidden" r:id="rId20"/>
    <sheet name="成本法-203" sheetId="69" r:id="rId21"/>
    <sheet name="假设开发法" sheetId="12" state="hidden" r:id="rId22"/>
    <sheet name="收益法" sheetId="15" state="hidden" r:id="rId23"/>
    <sheet name="基准地价修正" sheetId="43" r:id="rId24"/>
    <sheet name="收益法-203" sheetId="82" r:id="rId25"/>
    <sheet name="结果表-303" sheetId="85" r:id="rId26"/>
    <sheet name="成本法-303" sheetId="83" r:id="rId27"/>
    <sheet name="收益法-303" sheetId="84" r:id="rId28"/>
    <sheet name="结果表-39-4" sheetId="86" r:id="rId29"/>
    <sheet name="成本法-39-4" sheetId="87" r:id="rId30"/>
    <sheet name="比较法-商业" sheetId="33" state="hidden" r:id="rId31"/>
    <sheet name="收益法-39-4" sheetId="67" r:id="rId32"/>
    <sheet name="收益法-酒店模型" sheetId="77" state="hidden" r:id="rId33"/>
    <sheet name="收益法（汇总）" sheetId="70"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r:id="rId41"/>
    <sheet name="租赁清单" sheetId="81" r:id="rId42"/>
    <sheet name="案例" sheetId="88" r:id="rId43"/>
    <sheet name="结果表-39-14" sheetId="89" r:id="rId44"/>
    <sheet name="比较法-住宅" sheetId="21" r:id="rId45"/>
    <sheet name="基准地价（汇总）" sheetId="76"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_________________________A11" hidden="1">{#N/A,#N/A,FALSE,"Umsatz 99";#N/A,#N/A,FALSE,"ER 99 "}</definedName>
    <definedName name="__________________________c" hidden="1">{"Fiesta Facer Page",#N/A,FALSE,"Q_C_S";"Fiesta Main Page",#N/A,FALSE,"V_L";"Fiesta 95BP Struct",#N/A,FALSE,"StructBP";"Fiesta Post 95BP Struct",#N/A,FALSE,"AdjStructBP"}</definedName>
    <definedName name="________________A11" hidden="1">{#N/A,#N/A,FALSE,"Umsatz 99";#N/A,#N/A,FALSE,"ER 99 "}</definedName>
    <definedName name="________________c" hidden="1">{"Fiesta Facer Page",#N/A,FALSE,"Q_C_S";"Fiesta Main Page",#N/A,FALSE,"V_L";"Fiesta 95BP Struct",#N/A,FALSE,"StructBP";"Fiesta Post 95BP Struct",#N/A,FALSE,"AdjStructBP"}</definedName>
    <definedName name="_______________A11" hidden="1">{#N/A,#N/A,FALSE,"Umsatz 99";#N/A,#N/A,FALSE,"ER 99 "}</definedName>
    <definedName name="_______________c" hidden="1">{"Fiesta Facer Page",#N/A,FALSE,"Q_C_S";"Fiesta Main Page",#N/A,FALSE,"V_L";"Fiesta 95BP Struct",#N/A,FALSE,"StructBP";"Fiesta Post 95BP Struct",#N/A,FALSE,"AdjStructBP"}</definedName>
    <definedName name="____________A11" hidden="1">{#N/A,#N/A,FALSE,"Umsatz 99";#N/A,#N/A,FALSE,"ER 99 "}</definedName>
    <definedName name="____________c" hidden="1">{"Fiesta Facer Page",#N/A,FALSE,"Q_C_S";"Fiesta Main Page",#N/A,FALSE,"V_L";"Fiesta 95BP Struct",#N/A,FALSE,"StructBP";"Fiesta Post 95BP Struct",#N/A,FALSE,"AdjStructBP"}</definedName>
    <definedName name="___________A11" hidden="1">{#N/A,#N/A,FALSE,"Umsatz 99";#N/A,#N/A,FALSE,"ER 99 "}</definedName>
    <definedName name="___________c" hidden="1">{"Fiesta Facer Page",#N/A,FALSE,"Q_C_S";"Fiesta Main Page",#N/A,FALSE,"V_L";"Fiesta 95BP Struct",#N/A,FALSE,"StructBP";"Fiesta Post 95BP Struct",#N/A,FALSE,"AdjStructBP"}</definedName>
    <definedName name="________A11" hidden="1">{#N/A,#N/A,FALSE,"Umsatz 99";#N/A,#N/A,FALSE,"ER 99 "}</definedName>
    <definedName name="________c" hidden="1">{"Fiesta Facer Page",#N/A,FALSE,"Q_C_S";"Fiesta Main Page",#N/A,FALSE,"V_L";"Fiesta 95BP Struct",#N/A,FALSE,"StructBP";"Fiesta Post 95BP Struct",#N/A,FALSE,"AdjStructBP"}</definedName>
    <definedName name="_______A11" hidden="1">{#N/A,#N/A,FALSE,"Umsatz 99";#N/A,#N/A,FALSE,"ER 99 "}</definedName>
    <definedName name="_______c" hidden="1">{"Fiesta Facer Page",#N/A,FALSE,"Q_C_S";"Fiesta Main Page",#N/A,FALSE,"V_L";"Fiesta 95BP Struct",#N/A,FALSE,"StructBP";"Fiesta Post 95BP Struct",#N/A,FALSE,"AdjStructBP"}</definedName>
    <definedName name="______A11" hidden="1">{#N/A,#N/A,FALSE,"Umsatz 99";#N/A,#N/A,FALSE,"ER 99 "}</definedName>
    <definedName name="______c" hidden="1">{"Fiesta Facer Page",#N/A,FALSE,"Q_C_S";"Fiesta Main Page",#N/A,FALSE,"V_L";"Fiesta 95BP Struct",#N/A,FALSE,"StructBP";"Fiesta Post 95BP Struct",#N/A,FALSE,"AdjStructBP"}</definedName>
    <definedName name="_____A11" hidden="1">{#N/A,#N/A,FALSE,"Umsatz 99";#N/A,#N/A,FALSE,"ER 99 "}</definedName>
    <definedName name="_____c" hidden="1">{"Fiesta Facer Page",#N/A,FALSE,"Q_C_S";"Fiesta Main Page",#N/A,FALSE,"V_L";"Fiesta 95BP Struct",#N/A,FALSE,"StructBP";"Fiesta Post 95BP Struct",#N/A,FALSE,"AdjStructBP"}</definedName>
    <definedName name="____A11" hidden="1">{#N/A,#N/A,FALSE,"Umsatz 99";#N/A,#N/A,FALSE,"ER 99 "}</definedName>
    <definedName name="____c" hidden="1">{"Fiesta Facer Page",#N/A,FALSE,"Q_C_S";"Fiesta Main Page",#N/A,FALSE,"V_L";"Fiesta 95BP Struct",#N/A,FALSE,"StructBP";"Fiesta Post 95BP Struct",#N/A,FALSE,"AdjStructBP"}</definedName>
    <definedName name="____fd2" hidden="1">{#N/A,#N/A,TRUE,"Cover Memo";"Complete Sys. Estimate",#N/A,TRUE,"Change Summary";"Complete Sys. Estimate",#N/A,TRUE,"Estimate Summary";"Complete Sys. Estimate",#N/A,TRUE,"Dept. Summary";"Complete Sys. Estimate",#N/A,TRUE,"DOW Detail"}</definedName>
    <definedName name="___A11" hidden="1">{#N/A,#N/A,FALSE,"Umsatz 99";#N/A,#N/A,FALSE,"ER 99 "}</definedName>
    <definedName name="___c" hidden="1">{"Fiesta Facer Page",#N/A,FALSE,"Q_C_S";"Fiesta Main Page",#N/A,FALSE,"V_L";"Fiesta 95BP Struct",#N/A,FALSE,"StructBP";"Fiesta Post 95BP Struct",#N/A,FALSE,"AdjStructBP"}</definedName>
    <definedName name="___fd2" hidden="1">{#N/A,#N/A,TRUE,"Cover Memo";"Complete Sys. Estimate",#N/A,TRUE,"Change Summary";"Complete Sys. Estimate",#N/A,TRUE,"Estimate Summary";"Complete Sys. Estimate",#N/A,TRUE,"Dept. Summary";"Complete Sys. Estimate",#N/A,TRUE,"DOW Detail"}</definedName>
    <definedName name="__123Graph_A" hidden="1">#N/A</definedName>
    <definedName name="__123Graph_B" hidden="1">#REF!</definedName>
    <definedName name="__123Graph_C" hidden="1">#N/A</definedName>
    <definedName name="__123Graph_E" hidden="1">#N/A</definedName>
    <definedName name="__123Graph_LBL_A" hidden="1">[1]CFS3!$H$42:$Q$42</definedName>
    <definedName name="__123Graph_LBL_B" hidden="1">[1]CFS3!$H$41:$Q$41</definedName>
    <definedName name="__123Graph_X" hidden="1">#REF!</definedName>
    <definedName name="__1fd2_" hidden="1">{#N/A,#N/A,TRUE,"Cover Memo";"Complete Sys. Estimate",#N/A,TRUE,"Change Summary";"Complete Sys. Estimate",#N/A,TRUE,"Estimate Summary";"Complete Sys. Estimate",#N/A,TRUE,"Dept. Summary";"Complete Sys. Estimate",#N/A,TRUE,"DOW Detail"}</definedName>
    <definedName name="__2fd2_" hidden="1">{#N/A,#N/A,TRUE,"Cover Memo";"Complete Sys. Estimate",#N/A,TRUE,"Change Summary";"Complete Sys. Estimate",#N/A,TRUE,"Estimate Summary";"Complete Sys. Estimate",#N/A,TRUE,"Dept. Summary";"Complete Sys. Estimate",#N/A,TRUE,"DOW Detail"}</definedName>
    <definedName name="__A11" hidden="1">{#N/A,#N/A,FALSE,"Umsatz 99";#N/A,#N/A,FALSE,"ER 99 "}</definedName>
    <definedName name="__c" hidden="1">{"Fiesta Facer Page",#N/A,FALSE,"Q_C_S";"Fiesta Main Page",#N/A,FALSE,"V_L";"Fiesta 95BP Struct",#N/A,FALSE,"StructBP";"Fiesta Post 95BP Struct",#N/A,FALSE,"AdjStructBP"}</definedName>
    <definedName name="__fd2" hidden="1">{#N/A,#N/A,TRUE,"Cover Memo";"Complete Sys. Estimate",#N/A,TRUE,"Change Summary";"Complete Sys. Estimate",#N/A,TRUE,"Estimate Summary";"Complete Sys. Estimate",#N/A,TRUE,"Dept. Summary";"Complete Sys. Estimate",#N/A,TRUE,"DOW Detail"}</definedName>
    <definedName name="__FDS_HYPERLINK_TOGGLE_STATE__" hidden="1">"ON"</definedName>
    <definedName name="__Quantity_Cost_Center_Desc_by_Date_in_2_00_06" hidden="1">[2]pcQueryData!$A$9</definedName>
    <definedName name="_1" hidden="1">#REF!</definedName>
    <definedName name="_1_______wrn.²Ä1­Ó¤ë1_Ü20¤H." hidden="1">{#N/A,#N/A,FALSE,"²Ä1­Ó¤ë"}</definedName>
    <definedName name="_173__123Graph_ACHART_1" hidden="1">#REF!</definedName>
    <definedName name="_174__123Graph_ACHART_2" hidden="1">#REF!</definedName>
    <definedName name="_175__123Graph_ACHART_3" hidden="1">#REF!</definedName>
    <definedName name="_176__123Graph_ACHART_4" hidden="1">#REF!</definedName>
    <definedName name="_177__123Graph_ACHART_5" hidden="1">#REF!</definedName>
    <definedName name="_178__123Graph_ACHART_6" hidden="1">#REF!</definedName>
    <definedName name="_179__123Graph_ACHART_7" hidden="1">#REF!</definedName>
    <definedName name="_180__123Graph_ACHART_8" hidden="1">#REF!</definedName>
    <definedName name="_181__123Graph_BCHART_1" hidden="1">#REF!</definedName>
    <definedName name="_182__123Graph_BCHART_2" hidden="1">#REF!</definedName>
    <definedName name="_183__123Graph_BCHART_3" hidden="1">#REF!</definedName>
    <definedName name="_184__123Graph_BCHART_4" hidden="1">#REF!</definedName>
    <definedName name="_185__123Graph_BCHART_5" hidden="1">#REF!</definedName>
    <definedName name="_186__123Graph_BCHART_6" hidden="1">#REF!</definedName>
    <definedName name="_187__123Graph_BCHART_7" hidden="1">#REF!</definedName>
    <definedName name="_188__123Graph_BCHART_8" hidden="1">#REF!</definedName>
    <definedName name="_189__123Graph_CCHART_1" hidden="1">#REF!</definedName>
    <definedName name="_190__123Graph_DCHART_1" hidden="1">#REF!</definedName>
    <definedName name="_191__123Graph_ECHART_1" hidden="1">#REF!</definedName>
    <definedName name="_192__123Graph_FCHART_1" hidden="1">#REF!</definedName>
    <definedName name="_193__123Graph_XCHART_3" hidden="1">#REF!</definedName>
    <definedName name="_194__123Graph_XCHART_6" hidden="1">#REF!</definedName>
    <definedName name="_195__123Graph_XCHART_7" hidden="1">#REF!</definedName>
    <definedName name="_196__123Graph_XCHART_8" hidden="1">#REF!</definedName>
    <definedName name="_1fd2_" hidden="1">{#N/A,#N/A,TRUE,"Cover Memo";"Complete Sys. Estimate",#N/A,TRUE,"Change Summary";"Complete Sys. Estimate",#N/A,TRUE,"Estimate Summary";"Complete Sys. Estimate",#N/A,TRUE,"Dept. Summary";"Complete Sys. Estimate",#N/A,TRUE,"DOW Detail"}</definedName>
    <definedName name="_2_______wrn.²Ä1­Ó¤ë1_Ü20¤H." hidden="1">{#N/A,#N/A,FALSE,"²Ä1­Ó¤ë"}</definedName>
    <definedName name="_2fd2_" hidden="1">{#N/A,#N/A,TRUE,"Cover Memo";"Complete Sys. Estimate",#N/A,TRUE,"Change Summary";"Complete Sys. Estimate",#N/A,TRUE,"Estimate Summary";"Complete Sys. Estimate",#N/A,TRUE,"Dept. Summary";"Complete Sys. Estimate",#N/A,TRUE,"DOW Detail"}</definedName>
    <definedName name="_3_?" hidden="1">{"M1sPrint",#N/A,FALSE,"M1s"}</definedName>
    <definedName name="_38wrn.²Ä1­Ó¤ë1_Ü20¤H." hidden="1">{#N/A,#N/A,FALSE,"²Ä1­Ó¤ë"}</definedName>
    <definedName name="_3fd2_" hidden="1">{#N/A,#N/A,TRUE,"Cover Memo";"Complete Sys. Estimate",#N/A,TRUE,"Change Summary";"Complete Sys. Estimate",#N/A,TRUE,"Estimate Summary";"Complete Sys. Estimate",#N/A,TRUE,"Dept. Summary";"Complete Sys. Estimate",#N/A,TRUE,"DOW Detail"}</definedName>
    <definedName name="_44wrn.²Ä1­Ó¤ë1_Ü20¤H." hidden="1">{#N/A,#N/A,FALSE,"²Ä1­Ó¤ë"}</definedName>
    <definedName name="_4wrn.²Ä1­Ó¤ë1_Ü20¤H." hidden="1">{#N/A,#N/A,FALSE,"²Ä1­Ó¤ë"}</definedName>
    <definedName name="_50wrn.²Ä1­Ó¤ë1_Ü20¤H." hidden="1">{#N/A,#N/A,FALSE,"²Ä1­Ó¤ë"}</definedName>
    <definedName name="_5wrn.²Ä1­Ó¤ë1_Ü20¤H." hidden="1">{#N/A,#N/A,FALSE,"²Ä1­Ó¤ë"}</definedName>
    <definedName name="_A11" hidden="1">{#N/A,#N/A,FALSE,"Umsatz 99";#N/A,#N/A,FALSE,"ER 99 "}</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ED36E9DCD2CB498282EFDB42D2737609.edm" hidden="1">#REF!</definedName>
    <definedName name="_c" hidden="1">{"Fiesta Facer Page",#N/A,FALSE,"Q_C_S";"Fiesta Main Page",#N/A,FALSE,"V_L";"Fiesta 95BP Struct",#N/A,FALSE,"StructBP";"Fiesta Post 95BP Struct",#N/A,FALSE,"AdjStructBP"}</definedName>
    <definedName name="_fd2" hidden="1">{#N/A,#N/A,TRUE,"Cover Memo";"Complete Sys. Estimate",#N/A,TRUE,"Change Summary";"Complete Sys. Estimate",#N/A,TRUE,"Estimate Summary";"Complete Sys. Estimate",#N/A,TRUE,"Dept. Summary";"Complete Sys. Estimate",#N/A,TRUE,"DOW Detail"}</definedName>
    <definedName name="_Fill" hidden="1">#REF!</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44"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_FilterDatabase" hidden="1">#REF!</definedName>
    <definedName name="_Key1" hidden="1">#REF!</definedName>
    <definedName name="_Key2" hidden="1">#REF!</definedName>
    <definedName name="_Key3" hidden="1">#REF!</definedName>
    <definedName name="_Order1" hidden="1">255</definedName>
    <definedName name="_Order2" hidden="1">255</definedName>
    <definedName name="_Parse_In" hidden="1">'[3]Total road area'!#REF!</definedName>
    <definedName name="_Regression_Int" hidden="1">1</definedName>
    <definedName name="_Sort" hidden="1">#REF!</definedName>
    <definedName name="_SR6" hidden="1">{#N/A,#N/A,FALSE,"Mech, Elec, Fitout";#N/A,#N/A,FALSE,"Mech, Elec, Fitout"}</definedName>
    <definedName name="_Table1_In1" hidden="1">#REF!</definedName>
    <definedName name="_Table1_Out" hidden="1">#REF!</definedName>
    <definedName name="_Table2_In1" hidden="1">#REF!</definedName>
    <definedName name="_Table2_In2" hidden="1">#REF!</definedName>
    <definedName name="a" hidden="1">#REF!</definedName>
    <definedName name="AAAA" hidden="1">#REF!</definedName>
    <definedName name="Access_Button" hidden="1">"見積比較鏡_引用表_List"</definedName>
    <definedName name="AccessDatabase" hidden="1">"Z:\FI\Finance\Liuxj\Export sales\pastdue-e 2004\France 04.mdb"</definedName>
    <definedName name="adas" hidden="1">{"M1Print",#N/A,TRUE,"M1";"M2Print",#N/A,TRUE,"M2";"M1sPrint",#N/A,TRUE,"M1s";"M2aPrint",#N/A,TRUE,"M2a";"M4Print",#N/A,TRUE,"M4";"M5Print",#N/A,TRUE,"M5";"M6Print",#N/A,TRUE,"M6";"M6_1Print",#N/A,TRUE,"M6_1";"M6_2Print",#N/A,TRUE,"M6_2";"M7_1Print",#N/A,TRUE,"M7_1";"M7_2Print",#N/A,TRUE,"M7_2"}</definedName>
    <definedName name="AGEDDATABASE" hidden="1">{#N/A,#N/A,FALSE,"970301";#N/A,#N/A,FALSE,"970302";#N/A,#N/A,FALSE,"970303";#N/A,#N/A,FALSE,"970304";#N/A,#N/A,FALSE,"COM1";#N/A,#N/A,FALSE,"COM2"}</definedName>
    <definedName name="ANALSIS._.9511" hidden="1">{#N/A,#N/A,FALSE,"ABB HOLDING LTD"}</definedName>
    <definedName name="anscount" hidden="1">2</definedName>
    <definedName name="Any" hidden="1">#N/A</definedName>
    <definedName name="AS2DocOpenMode" hidden="1">"AS2DocumentEdit"</definedName>
    <definedName name="AS2HasNoAutoHeaderFooter" hidden="1">" "</definedName>
    <definedName name="AS2NamedRange" hidden="1">13</definedName>
    <definedName name="AS2ReportLS" hidden="1">1</definedName>
    <definedName name="AS2SyncStepLS" hidden="1">3</definedName>
    <definedName name="AS2VersionLS" hidden="1">300</definedName>
    <definedName name="ASasS" hidden="1">{#N/A,#N/A,FALSE,"Umsatz 99";#N/A,#N/A,FALSE,"ER 99 "}</definedName>
    <definedName name="asdasdfff" hidden="1">{#N/A,#N/A,FALSE,"Umsatz 99";#N/A,#N/A,FALSE,"ER 99 "}</definedName>
    <definedName name="asSA" hidden="1">{"Fiesta Facer Page",#N/A,FALSE,"Q_C_S";"Fiesta Main Page",#N/A,FALSE,"V_L";"Fiesta 95BP Struct",#N/A,FALSE,"StructBP";"Fiesta Post 95BP Struct",#N/A,FALSE,"AdjStructBP"}</definedName>
    <definedName name="assasddd" hidden="1">{#N/A,#N/A,FALSE,"²Ä1­Ó¤ë"}</definedName>
    <definedName name="b_1">[4]Con!#REF!</definedName>
    <definedName name="b_2">[4]Con!#REF!</definedName>
    <definedName name="b_3">[4]Con!#REF!</definedName>
    <definedName name="b_4">[4]Con!#REF!</definedName>
    <definedName name="ban" hidden="1">{#N/A,#N/A,FALSE,"5YRASSPl - consol'd";#N/A,#N/A,FALSE,"5YRASSPl - hotel";#N/A,#N/A,FALSE,"5YRASSPl - excl htl";#N/A,#N/A,FALSE,"VarReport";#N/A,#N/A,FALSE,"Sensitivity";#N/A,#N/A,FALSE,"House View ";#N/A,#N/A,FALSE,"KPI"}</definedName>
    <definedName name="BBBB" hidden="1">#REF!</definedName>
    <definedName name="BG_Del" hidden="1">15</definedName>
    <definedName name="BG_Ins" hidden="1">4</definedName>
    <definedName name="BG_Mod" hidden="1">6</definedName>
    <definedName name="BHN" hidden="1">{"Fiesta Facer Page",#N/A,FALSE,"Q_C_S";"Fiesta Main Page",#N/A,FALSE,"V_L";"Fiesta 95BP Struct",#N/A,FALSE,"StructBP";"Fiesta Post 95BP Struct",#N/A,FALSE,"AdjStructBP"}</definedName>
    <definedName name="BHZA" hidden="1">{"Fiesta Facer Page",#N/A,FALSE,"Q_C_S";"Fiesta Main Page",#N/A,FALSE,"V_L";"Fiesta 95BP Struct",#N/A,FALSE,"StructBP";"Fiesta Post 95BP Struct",#N/A,FALSE,"AdjStructBP"}</definedName>
    <definedName name="BJKM" hidden="1">{#N/A,#N/A,FALSE,"²Ä1­Ó¤ë"}</definedName>
    <definedName name="bonus_1">[4]Con!#REF!</definedName>
    <definedName name="break" hidden="1">{#N/A,#N/A,TRUE,"Cover Memo";"Ride Estimate",#N/A,TRUE,"Change Summary";"Ride Estimate",#N/A,TRUE,"Estimate Summary";"Ride Estimate",#N/A,TRUE,"Dept. Summary";"Ride Estimate",#N/A,TRUE,"DOW Detail"}</definedName>
    <definedName name="b附录101会展中心">[4]Con!#REF!</definedName>
    <definedName name="case">[5]Output!$Z$3</definedName>
    <definedName name="cashflow20030930" hidden="1">{"M1Print",#N/A,TRUE,"M1";"M2Print",#N/A,TRUE,"M2";"M1sPrint",#N/A,TRUE,"M1s";"M2aPrint",#N/A,TRUE,"M2a";"M4Print",#N/A,TRUE,"M4";"M5Print",#N/A,TRUE,"M5";"M6Print",#N/A,TRUE,"M6";"M6_1Print",#N/A,TRUE,"M6_1";"M6_2Print",#N/A,TRUE,"M6_2";"M7_1Print",#N/A,TRUE,"M7_1";"M7_2Print",#N/A,TRUE,"M7_2"}</definedName>
    <definedName name="cccc" hidden="1">#REF!</definedName>
    <definedName name="CellWatch01Descn" hidden="1">""</definedName>
    <definedName name="CellWatch01Name" hidden="1">"FA OROS"</definedName>
    <definedName name="CIQWBGuid" hidden="1">"44a06660-2502-46ee-bc86-dfd5e9efed39"</definedName>
    <definedName name="Clean" hidden="1">{#N/A,#N/A,TRUE,"Cover Memo";"Complete Sys. Estimate",#N/A,TRUE,"Change Summary";"Complete Sys. Estimate",#N/A,TRUE,"Estimate Summary";"Complete Sys. Estimate",#N/A,TRUE,"Dept. Summary";"Complete Sys. Estimate",#N/A,TRUE,"DOW Detail"}</definedName>
    <definedName name="Coll" hidden="1">{#N/A,#N/A,FALSE,"970301";#N/A,#N/A,FALSE,"970302";#N/A,#N/A,FALSE,"970303";#N/A,#N/A,FALSE,"970304";#N/A,#N/A,FALSE,"COM1";#N/A,#N/A,FALSE,"COM2"}</definedName>
    <definedName name="_xlnm.Database" hidden="1">#REF!</definedName>
    <definedName name="ddd" hidden="1">{#N/A,#N/A,TRUE,"Cover Memo";"Complete Sys. Estimate",#N/A,TRUE,"Change Summary";"Complete Sys. Estimate",#N/A,TRUE,"Estimate Summary";"Complete Sys. Estimate",#N/A,TRUE,"Dept. Summary";"Complete Sys. Estimate",#N/A,TRUE,"DOW Detail"}</definedName>
    <definedName name="dddd" hidden="1">{#N/A,#N/A,TRUE,"Cover Memo";"Complete Sys. Estimate",#N/A,TRUE,"Change Summary";"Complete Sys. Estimate",#N/A,TRUE,"Estimate Summary";"Complete Sys. Estimate",#N/A,TRUE,"Dept. Summary";"Complete Sys. Estimate",#N/A,TRUE,"DOW Detail"}</definedName>
    <definedName name="dddddd" hidden="1">{"Fiesta Facer Page",#N/A,FALSE,"Q_C_S";"Fiesta Main Page",#N/A,FALSE,"V_L";"Fiesta 95BP Struct",#N/A,FALSE,"StructBP";"Fiesta Post 95BP Struct",#N/A,FALSE,"AdjStructBP"}</definedName>
    <definedName name="dfdd"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 hidden="1">{#N/A,#N/A,FALSE,"Extension Title";#N/A,#N/A,FALSE,"Extensions Main";#N/A,#N/A,FALSE,"Christchurst";#N/A,#N/A,FALSE,"Larkfield Extension";#N/A,#N/A,FALSE,"Taunton";#N/A,#N/A,FALSE,"Farlington";#N/A,#N/A,FALSE,"Sidney Street";#N/A,#N/A,FALSE,"Tamworth";#N/A,#N/A,FALSE,"New Build Main"}</definedName>
    <definedName name="dsf" hidden="1">{#N/A,#N/A,FALSE,"Aging Summary";#N/A,#N/A,FALSE,"Ratio Analysis";#N/A,#N/A,FALSE,"Test 120 Day Accts";#N/A,#N/A,FALSE,"Tickmarks"}</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IWO" hidden="1">{#N/A,#N/A,TRUE,"Capex Summ";#N/A,#N/A,TRUE,"Essential Works.tw";#N/A,#N/A,TRUE,"Desirable Works.tw";#N/A,#N/A,TRUE,"Essential Works.rt";#N/A,#N/A,TRUE,"Desirable Works.rt";#N/A,#N/A,TRUE,"Mthly";#N/A,#N/A,TRUE,"Essential Works.ht";#N/A,#N/A,TRUE,"Desirable Works.ht";#N/A,#N/A,TRUE,"Incentives"}</definedName>
    <definedName name="EJOPQ"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ntry">#REF!</definedName>
    <definedName name="exit">#REF!</definedName>
    <definedName name="EYW" hidden="1">{#N/A,#N/A,TRUE,"Capex Summ";#N/A,#N/A,TRUE,"Essential Works.tw";#N/A,#N/A,TRUE,"Desirable Works.tw";#N/A,#N/A,TRUE,"Essential Works.rt";#N/A,#N/A,TRUE,"Desirable Works.rt";#N/A,#N/A,TRUE,"Mthly";#N/A,#N/A,TRUE,"Essential Works.ht";#N/A,#N/A,TRUE,"Desirable Works.ht";#N/A,#N/A,TRUE,"Incentives"}</definedName>
    <definedName name="EYWHEIW" hidden="1">{#N/A,#N/A,TRUE,"Capex Summ";#N/A,#N/A,TRUE,"Essential Works.tw";#N/A,#N/A,TRUE,"Desirable Works.tw";#N/A,#N/A,TRUE,"Essential Works.rt";#N/A,#N/A,TRUE,"Desirable Works.rt";#N/A,#N/A,TRUE,"Mthly";#N/A,#N/A,TRUE,"Essential Works.ht";#N/A,#N/A,TRUE,"Desirable Works.ht";#N/A,#N/A,TRUE,"Incentives"}</definedName>
    <definedName name="fd" hidden="1">{#N/A,#N/A,TRUE,"Cover Memo";"Complete Sys. Estimate",#N/A,TRUE,"Change Summary";"Complete Sys. Estimate",#N/A,TRUE,"Estimate Summary";"Complete Sys. Estimate",#N/A,TRUE,"Dept. Summary";"Complete Sys. Estimate",#N/A,TRUE,"DOW Detail"}</definedName>
    <definedName name="fdf"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eijapeoigapkgap" hidden="1">{#N/A,#N/A,FALSE,"5YRASSPl - consol'd";#N/A,#N/A,FALSE,"5YRASSPl - hotel";#N/A,#N/A,FALSE,"5YRASSPl - excl htl";#N/A,#N/A,FALSE,"VarReport";#N/A,#N/A,FALSE,"Sensitivity";#N/A,#N/A,FALSE,"House View ";#N/A,#N/A,FALSE,"KPI"}</definedName>
    <definedName name="FFFF" hidden="1">{#N/A,#N/A,FALSE,"Umsatz 99";#N/A,#N/A,FALSE,"ER 99 "}</definedName>
    <definedName name="FFFFF5" hidden="1">{#N/A,#N/A,FALSE,"Umsatz 99";#N/A,#N/A,FALSE,"ER 99 "}</definedName>
    <definedName name="FHEWIU" hidden="1">{#N/A,#N/A,FALSE,"asset plan";#N/A,#N/A,FALSE,"Mgmt Report";#N/A,#N/A,FALSE,"sensitivities (2)";#N/A,#N/A,FALSE,"sensitivities";#N/A,#N/A,FALSE,"let up 10  Mort";#N/A,#N/A,FALSE,"let up 12 Mort";#N/A,#N/A,FALSE,"Capex";#N/A,#N/A,FALSE,"Capex Cashflow (2)";#N/A,#N/A,FALSE,"Capex Cashflow (3)";#N/A,#N/A,FALSE,"House View";#N/A,#N/A,FALSE,"kpi"}</definedName>
    <definedName name="FN2.2" hidden="1">{#N/A,#N/A,FALSE,"²Ä1­Ó¤ë"}</definedName>
    <definedName name="FRIJEAN" hidden="1">{#N/A,#N/A,FALSE,"asset plan";#N/A,#N/A,FALSE,"Mgmt Report";#N/A,#N/A,FALSE,"sensitivities (2)";#N/A,#N/A,FALSE,"sensitivities";#N/A,#N/A,FALSE,"let up 10  Mort";#N/A,#N/A,FALSE,"let up 12 Mort";#N/A,#N/A,FALSE,"Capex";#N/A,#N/A,FALSE,"Capex Cashflow (2)";#N/A,#N/A,FALSE,"Capex Cashflow (3)";#N/A,#N/A,FALSE,"House View";#N/A,#N/A,FALSE,"kpi"}</definedName>
    <definedName name="gday"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GGG" hidden="1">{"Fiesta Facer Page",#N/A,FALSE,"Q_C_S";"Fiesta Main Page",#N/A,FALSE,"V_L";"Fiesta 95BP Struct",#N/A,FALSE,"StructBP";"Fiesta Post 95BP Struct",#N/A,FALSE,"AdjStructBP"}</definedName>
    <definedName name="ggggg" hidden="1">{#N/A,#N/A,TRUE,"Cover Memo";"Ride Estimate",#N/A,TRUE,"Change Summary";"Ride Estimate",#N/A,TRUE,"Estimate Summary";"Ride Estimate",#N/A,TRUE,"Dept. Summary";"Ride Estimate",#N/A,TRUE,"DOW Detail"}</definedName>
    <definedName name="GGHTV" hidden="1">{"Fiesta Facer Page",#N/A,FALSE,"Q_C_S";"Fiesta Main Page",#N/A,FALSE,"V_L";"Fiesta 95BP Struct",#N/A,FALSE,"StructBP";"Fiesta Post 95BP Struct",#N/A,FALSE,"AdjStructBP"}</definedName>
    <definedName name="guestroom" hidden="1">{#N/A,#N/A,TRUE,"Cover Memo";"Complete Sys. Estimate",#N/A,TRUE,"Change Summary";"Complete Sys. Estimate",#N/A,TRUE,"Estimate Summary";"Complete Sys. Estimate",#N/A,TRUE,"Dept. Summary";"Complete Sys. Estimate",#N/A,TRUE,"DOW Detail"}</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DOUSAJFOIDAJG" hidden="1">{#N/A,#N/A,FALSE,"5YRASSPl - consol'd";#N/A,#N/A,FALSE,"5YRASSPl - hotel";#N/A,#N/A,FALSE,"5YRASSPl - excl htl";#N/A,#N/A,FALSE,"VarReport";#N/A,#N/A,FALSE,"Sensitivity";#N/A,#N/A,FALSE,"House View ";#N/A,#N/A,FALSE,"KPI"}</definedName>
    <definedName name="HEFOUW\"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EOUAHOIJAPOEAPIKGA" hidden="1">{#N/A,#N/A,FALSE,"5YRASSPl - consol'd";#N/A,#N/A,FALSE,"5YRASSPl - hotel";#N/A,#N/A,FALSE,"5YRASSPl - excl htl";#N/A,#N/A,FALSE,"VarReport";#N/A,#N/A,FALSE,"Sensitivity";#N/A,#N/A,FALSE,"House View ";#N/A,#N/A,FALSE,"KPI"}</definedName>
    <definedName name="heuiowq" hidden="1">{#N/A,#N/A,TRUE,"Capex Summ";#N/A,#N/A,TRUE,"Essential Works.tw";#N/A,#N/A,TRUE,"Desirable Works.tw";#N/A,#N/A,TRUE,"Essential Works.rt";#N/A,#N/A,TRUE,"Desirable Works.rt";#N/A,#N/A,TRUE,"Mthly";#N/A,#N/A,TRUE,"Essential Works.ht";#N/A,#N/A,TRUE,"Desirable Works.ht";#N/A,#N/A,TRUE,"Incentives"}</definedName>
    <definedName name="hfdouiasoia" hidden="1">{#N/A,#N/A,FALSE,"asset plan";#N/A,#N/A,FALSE,"Mgmt Report";#N/A,#N/A,FALSE,"sensitivities (2)";#N/A,#N/A,FALSE,"sensitivities";#N/A,#N/A,FALSE,"let up 10  Mort";#N/A,#N/A,FALSE,"let up 12 Mort";#N/A,#N/A,FALSE,"Capex";#N/A,#N/A,FALSE,"Capex Cashflow (2)";#N/A,#N/A,FALSE,"Capex Cashflow (3)";#N/A,#N/A,FALSE,"House View";#N/A,#N/A,FALSE,"kpi"}</definedName>
    <definedName name="hfdsiaofhjo" hidden="1">{#N/A,#N/A,FALSE,"5YRASSPl - consol'd";#N/A,#N/A,FALSE,"5YRASSPl - hotel";#N/A,#N/A,FALSE,"5YRASSPl - excl htl";#N/A,#N/A,FALSE,"VarReport";#N/A,#N/A,FALSE,"Sensitivity";#N/A,#N/A,FALSE,"House View ";#N/A,#N/A,FALSE,"KPI"}</definedName>
    <definedName name="hfiojeaoifioejfpoiaekpae" hidden="1">{#N/A,#N/A,FALSE,"asset plan";#N/A,#N/A,FALSE,"Mgmt Report";#N/A,#N/A,FALSE,"sensitivities (2)";#N/A,#N/A,FALSE,"sensitivities";#N/A,#N/A,FALSE,"let up 10  Mort";#N/A,#N/A,FALSE,"let up 12 Mort";#N/A,#N/A,FALSE,"Capex";#N/A,#N/A,FALSE,"Capex Cashflow (2)";#N/A,#N/A,FALSE,"Capex Cashflow (3)";#N/A,#N/A,FALSE,"House View";#N/A,#N/A,FALSE,"kpi"}</definedName>
    <definedName name="hfudihaoi" hidden="1">{#N/A,#N/A,FALSE,"asset plan";#N/A,#N/A,FALSE,"Mgmt Report";#N/A,#N/A,FALSE,"sensitivities (2)";#N/A,#N/A,FALSE,"sensitivities";#N/A,#N/A,FALSE,"let up 10  Mort";#N/A,#N/A,FALSE,"let up 12 Mort";#N/A,#N/A,FALSE,"Capex";#N/A,#N/A,FALSE,"Capex Cashflow (2)";#N/A,#N/A,FALSE,"Capex Cashflow (3)";#N/A,#N/A,FALSE,"House View";#N/A,#N/A,FALSE,"kpi"}</definedName>
    <definedName name="HFUIA" hidden="1">{#N/A,#N/A,FALSE,"asset plan";#N/A,#N/A,FALSE,"Mgmt Report";#N/A,#N/A,FALSE,"sensitivities (2)";#N/A,#N/A,FALSE,"sensitivities";#N/A,#N/A,FALSE,"let up 10  Mort";#N/A,#N/A,FALSE,"let up 12 Mort";#N/A,#N/A,FALSE,"Capex";#N/A,#N/A,FALSE,"Capex Cashflow (2)";#N/A,#N/A,FALSE,"Capex Cashflow (3)";#N/A,#N/A,FALSE,"House View";#N/A,#N/A,FALSE,"kpi"}</definedName>
    <definedName name="hfuijfoiae" hidden="1">{#N/A,#N/A,TRUE,"Capex Summ";#N/A,#N/A,TRUE,"Essential Works.tw";#N/A,#N/A,TRUE,"Desirable Works.tw";#N/A,#N/A,TRUE,"Essential Works.rt";#N/A,#N/A,TRUE,"Desirable Works.rt";#N/A,#N/A,TRUE,"Mthly";#N/A,#N/A,TRUE,"Essential Works.ht";#N/A,#N/A,TRUE,"Desirable Works.ht";#N/A,#N/A,TRUE,"Incentives"}</definedName>
    <definedName name="hfujsfoiase" hidden="1">{#N/A,#N/A,TRUE,"Capex Summ";#N/A,#N/A,TRUE,"Essential Works.tw";#N/A,#N/A,TRUE,"Desirable Works.tw";#N/A,#N/A,TRUE,"Essential Works.rt";#N/A,#N/A,TRUE,"Desirable Works.rt";#N/A,#N/A,TRUE,"Mthly";#N/A,#N/A,TRUE,"Essential Works.ht";#N/A,#N/A,TRUE,"Desirable Works.ht";#N/A,#N/A,TRUE,"Incentives"}</definedName>
    <definedName name="hfusjaoisio" hidden="1">{#N/A,#N/A,FALSE,"5YRASSPl - consol'd";#N/A,#N/A,FALSE,"5YRASSPl - hotel";#N/A,#N/A,FALSE,"5YRASSPl - excl htl";#N/A,#N/A,FALSE,"VarReport";#N/A,#N/A,FALSE,"Sensitivity";#N/A,#N/A,FALSE,"House View ";#N/A,#N/A,FALSE,"KPI"}</definedName>
    <definedName name="HGJAHGSOJFPOEWSPKPW" hidden="1">{#N/A,#N/A,FALSE,"asset plan";#N/A,#N/A,FALSE,"Mgmt Report";#N/A,#N/A,FALSE,"sensitivities (2)";#N/A,#N/A,FALSE,"sensitivities";#N/A,#N/A,FALSE,"let up 10  Mort";#N/A,#N/A,FALSE,"let up 12 Mort";#N/A,#N/A,FALSE,"Capex";#N/A,#N/A,FALSE,"Capex Cashflow (2)";#N/A,#N/A,FALSE,"Capex Cashflow (3)";#N/A,#N/A,FALSE,"House View";#N/A,#N/A,FALSE,"kpi"}</definedName>
    <definedName name="HHHM" hidden="1">{#N/A,#N/A,FALSE,"²Ä1­Ó¤ë"}</definedName>
    <definedName name="HIFHAOIJPOWAOPW3POWK" hidden="1">{#N/A,#N/A,FALSE,"asset plan";#N/A,#N/A,FALSE,"Mgmt Report";#N/A,#N/A,FALSE,"sensitivities (2)";#N/A,#N/A,FALSE,"sensitivities";#N/A,#N/A,FALSE,"let up 10  Mort";#N/A,#N/A,FALSE,"let up 12 Mort";#N/A,#N/A,FALSE,"Capex";#N/A,#N/A,FALSE,"Capex Cashflow (2)";#N/A,#N/A,FALSE,"Capex Cashflow (3)";#N/A,#N/A,FALSE,"House View";#N/A,#N/A,FALSE,"kpi"}</definedName>
    <definedName name="HIRE_1">#REF!</definedName>
    <definedName name="HIRE_2">#REF!</definedName>
    <definedName name="HIRE_3">#REF!</definedName>
    <definedName name="HIRE_4">#REF!</definedName>
    <definedName name="HIRE_MAIN">#REF!</definedName>
    <definedName name="hisdjiofjdsap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ireajgiewaopgeawk" hidden="1">{#N/A,#N/A,FALSE,"5YRASSPl - consol'd";#N/A,#N/A,FALSE,"5YRASSPl - hotel";#N/A,#N/A,FALSE,"5YRASSPl - excl htl";#N/A,#N/A,FALSE,"VarReport";#N/A,#N/A,FALSE,"Sensitivity";#N/A,#N/A,FALSE,"House View ";#N/A,#N/A,FALSE,"KPI"}</definedName>
    <definedName name="HOUHOIWOIGOPWAGPOWAIKGPWA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URHEAOIHGOIWAJGPOA" hidden="1">{#N/A,#N/A,FALSE,"5YRASSPl - consol'd";#N/A,#N/A,FALSE,"5YRASSPl - hotel";#N/A,#N/A,FALSE,"5YRASSPl - excl htl";#N/A,#N/A,FALSE,"VarReport";#N/A,#N/A,FALSE,"Sensitivity";#N/A,#N/A,FALSE,"House View ";#N/A,#N/A,FALSE,"KPI"}</definedName>
    <definedName name="hrouehioreoiajrgpag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"[PP_EUR.xls]Germany!$A$1:$K$41"</definedName>
    <definedName name="HTML1_10" hidden="1">""</definedName>
    <definedName name="HTML1_11" hidden="1">1</definedName>
    <definedName name="HTML1_12" hidden="1">"C:\INTRANET\GERMANY.htm"</definedName>
    <definedName name="HTML1_2" hidden="1">1</definedName>
    <definedName name="HTML1_3" hidden="1">"PP_EUR"</definedName>
    <definedName name="HTML1_4" hidden="1">"Germany"</definedName>
    <definedName name="HTML1_5" hidden="1">""</definedName>
    <definedName name="HTML1_6" hidden="1">-4146</definedName>
    <definedName name="HTML1_7" hidden="1">-4146</definedName>
    <definedName name="HTML1_8" hidden="1">"8/31/96"</definedName>
    <definedName name="HTML1_9" hidden="1">""</definedName>
    <definedName name="HTML2_1" hidden="1">"[PP_EUR1.XLS]Germany!$A$1:$K$44"</definedName>
    <definedName name="HTML2_10" hidden="1">""</definedName>
    <definedName name="HTML2_11" hidden="1">-4146</definedName>
    <definedName name="HTML2_12" hidden="1">"C:\My Documents\Intranet\profit plan\HTML\GERMANY.htm"</definedName>
    <definedName name="HTML2_2" hidden="1">1</definedName>
    <definedName name="HTML2_3" hidden="1">""</definedName>
    <definedName name="HTML2_4" hidden="1">""</definedName>
    <definedName name="HTML2_5" hidden="1">""</definedName>
    <definedName name="HTML2_6" hidden="1">1</definedName>
    <definedName name="HTML2_7" hidden="1">1</definedName>
    <definedName name="HTML2_8" hidden="1">""</definedName>
    <definedName name="HTML2_9" hidden="1">""</definedName>
    <definedName name="HTMLCount" hidden="1">2</definedName>
    <definedName name="HUEA" hidden="1">{#N/A,#N/A,TRUE,"Capex Summ";#N/A,#N/A,TRUE,"Essential Works.tw";#N/A,#N/A,TRUE,"Desirable Works.tw";#N/A,#N/A,TRUE,"Essential Works.rt";#N/A,#N/A,TRUE,"Desirable Works.rt";#N/A,#N/A,TRUE,"Mthly";#N/A,#N/A,TRUE,"Essential Works.ht";#N/A,#N/A,TRUE,"Desirable Works.ht";#N/A,#N/A,TRUE,"Incentives"}</definedName>
    <definedName name="HUFE" hidden="1">{#N/A,#N/A,FALSE,"5YRASSPl - consol'd";#N/A,#N/A,FALSE,"5YRASSPl - hotel";#N/A,#N/A,FALSE,"5YRASSPl - excl htl";#N/A,#N/A,FALSE,"VarReport";#N/A,#N/A,FALSE,"Sensitivity";#N/A,#N/A,FALSE,"House View ";#N/A,#N/A,FALSE,"KPI"}</definedName>
    <definedName name="hufehsaifieo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fhojivgrjepa" hidden="1">{#N/A,#N/A,FALSE,"5YRASSPl - consol'd";#N/A,#N/A,FALSE,"5YRASSPl - hotel";#N/A,#N/A,FALSE,"5YRASSPl - excl htl";#N/A,#N/A,FALSE,"VarReport";#N/A,#N/A,FALSE,"Sensitivity";#N/A,#N/A,FALSE,"House View ";#N/A,#N/A,FALSE,"KPI"}</definedName>
    <definedName name="hufwaoijgporw" hidden="1">{#N/A,#N/A,FALSE,"asset plan";#N/A,#N/A,FALSE,"Mgmt Report";#N/A,#N/A,FALSE,"sensitivities (2)";#N/A,#N/A,FALSE,"sensitivities";#N/A,#N/A,FALSE,"let up 10  Mort";#N/A,#N/A,FALSE,"let up 12 Mort";#N/A,#N/A,FALSE,"Capex";#N/A,#N/A,FALSE,"Capex Cashflow (2)";#N/A,#N/A,FALSE,"Capex Cashflow (3)";#N/A,#N/A,FALSE,"House View";#N/A,#N/A,FALSE,"kpi"}</definedName>
    <definedName name="HUGREHOIJEAJGPOE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grehsojgpekgopkeoag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 hidden="1">{#N/A,#N/A,TRUE,"Capex Summ";#N/A,#N/A,TRUE,"Essential Works.tw";#N/A,#N/A,TRUE,"Desirable Works.tw";#N/A,#N/A,TRUE,"Essential Works.rt";#N/A,#N/A,TRUE,"Desirable Works.rt";#N/A,#N/A,TRUE,"Mthly";#N/A,#N/A,TRUE,"Essential Works.ht";#N/A,#N/A,TRUE,"Desirable Works.ht";#N/A,#N/A,TRUE,"Incentives"}</definedName>
    <definedName name="HUIDHAIUHIUFRWAOIJOPDKPOK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EHW9OGHOIWJPWP" hidden="1">{#N/A,#N/A,TRUE,"Capex Summ";#N/A,#N/A,TRUE,"Essential Works.tw";#N/A,#N/A,TRUE,"Desirable Works.tw";#N/A,#N/A,TRUE,"Essential Works.rt";#N/A,#N/A,TRUE,"Desirable Works.rt";#N/A,#N/A,TRUE,"Mthly";#N/A,#N/A,TRUE,"Essential Works.ht";#N/A,#N/A,TRUE,"Desirable Works.ht";#N/A,#N/A,TRUE,"Incentives"}</definedName>
    <definedName name="HUISO" hidden="1">{#N/A,#N/A,TRUE,"Capex Summ";#N/A,#N/A,TRUE,"Essential Works.tw";#N/A,#N/A,TRUE,"Desirable Works.tw";#N/A,#N/A,TRUE,"Essential Works.rt";#N/A,#N/A,TRUE,"Desirable Works.rt";#N/A,#N/A,TRUE,"Mthly";#N/A,#N/A,TRUE,"Essential Works.ht";#N/A,#N/A,TRUE,"Desirable Works.ht";#N/A,#N/A,TRUE,"Incentives"}</definedName>
    <definedName name="HUIWHOIFROEAJPAKPFQ" hidden="1">{#N/A,#N/A,TRUE,"Capex Summ";#N/A,#N/A,TRUE,"Essential Works.tw";#N/A,#N/A,TRUE,"Desirable Works.tw";#N/A,#N/A,TRUE,"Essential Works.rt";#N/A,#N/A,TRUE,"Desirable Works.rt";#N/A,#N/A,TRUE,"Mthly";#N/A,#N/A,TRUE,"Essential Works.ht";#N/A,#N/A,TRUE,"Desirable Works.ht";#N/A,#N/A,TRUE,"Incentives"}</definedName>
    <definedName name="hurgjepagopreapo" hidden="1">{#N/A,#N/A,FALSE,"asset plan";#N/A,#N/A,FALSE,"Mgmt Report";#N/A,#N/A,FALSE,"sensitivities (2)";#N/A,#N/A,FALSE,"sensitivities";#N/A,#N/A,FALSE,"let up 10  Mort";#N/A,#N/A,FALSE,"let up 12 Mort";#N/A,#N/A,FALSE,"Capex";#N/A,#N/A,FALSE,"Capex Cashflow (2)";#N/A,#N/A,FALSE,"Capex Cashflow (3)";#N/A,#N/A,FALSE,"House View";#N/A,#N/A,FALSE,"kpi"}</definedName>
    <definedName name="hurihaghaojgpopgak" hidden="1">{#N/A,#N/A,TRUE,"Capex Summ";#N/A,#N/A,TRUE,"Essential Works.tw";#N/A,#N/A,TRUE,"Desirable Works.tw";#N/A,#N/A,TRUE,"Essential Works.rt";#N/A,#N/A,TRUE,"Desirable Works.rt";#N/A,#N/A,TRUE,"Mthly";#N/A,#N/A,TRUE,"Essential Works.ht";#N/A,#N/A,TRUE,"Desirable Works.ht";#N/A,#N/A,TRUE,"Incentives"}</definedName>
    <definedName name="husahfao" hidden="1">{#N/A,#N/A,FALSE,"5YRASSPl - consol'd";#N/A,#N/A,FALSE,"5YRASSPl - hotel";#N/A,#N/A,FALSE,"5YRASSPl - excl htl";#N/A,#N/A,FALSE,"VarReport";#N/A,#N/A,FALSE,"Sensitivity";#N/A,#N/A,FALSE,"House View ";#N/A,#N/A,FALSE,"KPI"}</definedName>
    <definedName name="hushuvai" hidden="1">{#N/A,#N/A,TRUE,"Capex Summ";#N/A,#N/A,TRUE,"Essential Works.tw";#N/A,#N/A,TRUE,"Desirable Works.tw";#N/A,#N/A,TRUE,"Essential Works.rt";#N/A,#N/A,TRUE,"Desirable Works.rt";#N/A,#N/A,TRUE,"Mthly";#N/A,#N/A,TRUE,"Essential Works.ht";#N/A,#N/A,TRUE,"Desirable Works.ht";#N/A,#N/A,TRUE,"Incentives"}</definedName>
    <definedName name="hushviao" hidden="1">{#N/A,#N/A,TRUE,"Capex Summ";#N/A,#N/A,TRUE,"Essential Works.tw";#N/A,#N/A,TRUE,"Desirable Works.tw";#N/A,#N/A,TRUE,"Essential Works.rt";#N/A,#N/A,TRUE,"Desirable Works.rt";#N/A,#N/A,TRUE,"Mthly";#N/A,#N/A,TRUE,"Essential Works.ht";#N/A,#N/A,TRUE,"Desirable Works.ht";#N/A,#N/A,TRUE,"Incentives"}</definedName>
    <definedName name="ifjaoiewapio" hidden="1">{#N/A,#N/A,FALSE,"asset plan";#N/A,#N/A,FALSE,"Mgmt Report";#N/A,#N/A,FALSE,"sensitivities (2)";#N/A,#N/A,FALSE,"sensitivities";#N/A,#N/A,FALSE,"let up 10  Mort";#N/A,#N/A,FALSE,"let up 12 Mort";#N/A,#N/A,FALSE,"Capex";#N/A,#N/A,FALSE,"Capex Cashflow (2)";#N/A,#N/A,FALSE,"Capex Cashflow (3)";#N/A,#N/A,FALSE,"House View";#N/A,#N/A,FALSE,"kpi"}</definedName>
    <definedName name="III" hidden="1">{#N/A,#N/A,TRUE,"Cover Memo";"Facility Estimate",#N/A,TRUE,"Change Summary";"Facility Estimate",#N/A,TRUE,"Estimate Summary";"Facility Estimate",#N/A,TRUE,"Dept. Summary";"Facility Estimate",#N/A,TRUE,"DOW Detail"}</definedName>
    <definedName name="IO" hidden="1">{#N/A,#N/A,FALSE,"5YRASSPl - consol'd";#N/A,#N/A,FALSE,"5YRASSPl - hotel";#N/A,#N/A,FALSE,"5YRASSPl - excl htl";#N/A,#N/A,FALSE,"VarReport";#N/A,#N/A,FALSE,"Sensitivity";#N/A,#N/A,FALSE,"House View ";#N/A,#N/A,FALSE,"KPI"}</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"11/02/2015 02:45:13"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39031.3944328704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O" hidden="1">{#N/A,#N/A,TRUE,"Capex Summ";#N/A,#N/A,TRUE,"Essential Works.tw";#N/A,#N/A,TRUE,"Desirable Works.tw";#N/A,#N/A,TRUE,"Essential Works.rt";#N/A,#N/A,TRUE,"Desirable Works.rt";#N/A,#N/A,TRUE,"Mthly";#N/A,#N/A,TRUE,"Essential Works.ht";#N/A,#N/A,TRUE,"Desirable Works.ht";#N/A,#N/A,TRUE,"Incentives"}</definedName>
    <definedName name="IUYK" hidden="1">{#N/A,#N/A,FALSE,"²Ä1­Ó¤ë"}</definedName>
    <definedName name="IV" hidden="1">{#N/A,#N/A,TRUE,"Cover Memo";"Ride Estimate",#N/A,TRUE,"Change Summary";"Ride Estimate",#N/A,TRUE,"Estimate Summary";"Ride Estimate",#N/A,TRUE,"Dept. Summary";"Ride Estimate",#N/A,TRUE,"DOW Detail"}</definedName>
    <definedName name="jciosjifaso" hidden="1">{#N/A,#N/A,TRUE,"Capex Summ";#N/A,#N/A,TRUE,"Essential Works.tw";#N/A,#N/A,TRUE,"Desirable Works.tw";#N/A,#N/A,TRUE,"Essential Works.rt";#N/A,#N/A,TRUE,"Desirable Works.rt";#N/A,#N/A,TRUE,"Mthly";#N/A,#N/A,TRUE,"Essential Works.ht";#N/A,#N/A,TRUE,"Desirable Works.ht";#N/A,#N/A,TRUE,"Incentives"}</definedName>
    <definedName name="JDISO" hidden="1">{#N/A,#N/A,TRUE,"Capex Summ";#N/A,#N/A,TRUE,"Essential Works.tw";#N/A,#N/A,TRUE,"Desirable Works.tw";#N/A,#N/A,TRUE,"Essential Works.rt";#N/A,#N/A,TRUE,"Desirable Works.rt";#N/A,#N/A,TRUE,"Mthly";#N/A,#N/A,TRUE,"Essential Works.ht";#N/A,#N/A,TRUE,"Desirable Works.ht";#N/A,#N/A,TRUE,"Incentives"}</definedName>
    <definedName name="jdsio" hidden="1">{#N/A,#N/A,FALSE,"5YRASSPl - consol'd";#N/A,#N/A,FALSE,"5YRASSPl - hotel";#N/A,#N/A,FALSE,"5YRASSPl - excl htl";#N/A,#N/A,FALSE,"VarReport";#N/A,#N/A,FALSE,"Sensitivity";#N/A,#N/A,FALSE,"House View ";#N/A,#N/A,FALSE,"KPI"}</definedName>
    <definedName name="jfeiwjogkroepkgpelpalgpkap" hidden="1">{#N/A,#N/A,TRUE,"Capex Summ";#N/A,#N/A,TRUE,"Essential Works.tw";#N/A,#N/A,TRUE,"Desirable Works.tw";#N/A,#N/A,TRUE,"Essential Works.rt";#N/A,#N/A,TRUE,"Desirable Works.rt";#N/A,#N/A,TRUE,"Mthly";#N/A,#N/A,TRUE,"Essential Works.ht";#N/A,#N/A,TRUE,"Desirable Works.ht";#N/A,#N/A,TRUE,"Incentives"}</definedName>
    <definedName name="jfiodjpofeo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ajf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jpoasopkjapokfpo" hidden="1">{#N/A,#N/A,FALSE,"asset plan";#N/A,#N/A,FALSE,"Mgmt Report";#N/A,#N/A,FALSE,"sensitivities (2)";#N/A,#N/A,FALSE,"sensitivities";#N/A,#N/A,FALSE,"let up 10  Mort";#N/A,#N/A,FALSE,"let up 12 Mort";#N/A,#N/A,FALSE,"Capex";#N/A,#N/A,FALSE,"Capex Cashflow (2)";#N/A,#N/A,FALSE,"Capex Cashflow (3)";#N/A,#N/A,FALSE,"House View";#N/A,#N/A,FALSE,"kpi"}</definedName>
    <definedName name="jfiosjoiaop" hidden="1">{#N/A,#N/A,TRUE,"Capex Summ";#N/A,#N/A,TRUE,"Essential Works.tw";#N/A,#N/A,TRUE,"Desirable Works.tw";#N/A,#N/A,TRUE,"Essential Works.rt";#N/A,#N/A,TRUE,"Desirable Works.rt";#N/A,#N/A,TRUE,"Mthly";#N/A,#N/A,TRUE,"Essential Works.ht";#N/A,#N/A,TRUE,"Desirable Works.ht";#N/A,#N/A,TRUE,"Incentives"}</definedName>
    <definedName name="JIORJEOIAJOIRJGOPAPO" hidden="1">{#N/A,#N/A,FALSE,"asset plan";#N/A,#N/A,FALSE,"Mgmt Report";#N/A,#N/A,FALSE,"sensitivities (2)";#N/A,#N/A,FALSE,"sensitivities";#N/A,#N/A,FALSE,"let up 10  Mort";#N/A,#N/A,FALSE,"let up 12 Mort";#N/A,#N/A,FALSE,"Capex";#N/A,#N/A,FALSE,"Capex Cashflow (2)";#N/A,#N/A,FALSE,"Capex Cashflow (3)";#N/A,#N/A,FALSE,"House View";#N/A,#N/A,FALSE,"kpi"}</definedName>
    <definedName name="jiosjaoigjeakopa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isajpoopakgopaekpoa" hidden="1">{#N/A,#N/A,FALSE,"5YRASSPl - consol'd";#N/A,#N/A,FALSE,"5YRASSPl - hotel";#N/A,#N/A,FALSE,"5YRASSPl - excl htl";#N/A,#N/A,FALSE,"VarReport";#N/A,#N/A,FALSE,"Sensitivity";#N/A,#N/A,FALSE,"House View ";#N/A,#N/A,FALSE,"KPI"}</definedName>
    <definedName name="JN" hidden="1">{#N/A,#N/A,FALSE,"Umsatz 99";#N/A,#N/A,FALSE,"ER 99 "}</definedName>
    <definedName name="JOP" hidden="1">{#N/A,#N/A,FALSE,"5YRASSPl - consol'd";#N/A,#N/A,FALSE,"5YRASSPl - hotel";#N/A,#N/A,FALSE,"5YRASSPl - excl htl";#N/A,#N/A,FALSE,"VarReport";#N/A,#N/A,FALSE,"Sensitivity";#N/A,#N/A,FALSE,"House View ";#N/A,#N/A,FALSE,"KPI"}</definedName>
    <definedName name="JPOEWAOPJAEIO" hidden="1">{#N/A,#N/A,FALSE,"5YRASSPl - consol'd";#N/A,#N/A,FALSE,"5YRASSPl - hotel";#N/A,#N/A,FALSE,"5YRASSPl - excl htl";#N/A,#N/A,FALSE,"VarReport";#N/A,#N/A,FALSE,"Sensitivity";#N/A,#N/A,FALSE,"House View ";#N/A,#N/A,FALSE,"KPI"}</definedName>
    <definedName name="JRIO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rioejiorewakjgopekageas" hidden="1">{#N/A,#N/A,FALSE,"asset plan";#N/A,#N/A,FALSE,"Mgmt Report";#N/A,#N/A,FALSE,"sensitivities (2)";#N/A,#N/A,FALSE,"sensitivities";#N/A,#N/A,FALSE,"let up 10  Mort";#N/A,#N/A,FALSE,"let up 12 Mort";#N/A,#N/A,FALSE,"Capex";#N/A,#N/A,FALSE,"Capex Cashflow (2)";#N/A,#N/A,FALSE,"Capex Cashflow (3)";#N/A,#N/A,FALSE,"House View";#N/A,#N/A,FALSE,"kpi"}</definedName>
    <definedName name="jriojeapoikgreakgrpleaag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SID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UUU" hidden="1">{#N/A,#N/A,FALSE,"Umsatz 99";#N/A,#N/A,FALSE,"ER 99 "}</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kk" hidden="1">{#N/A,#N/A,FALSE,"OffAdvance";#N/A,#N/A,FALSE,"OffExpRprt";#N/A,#N/A,FALSE,"Entertmnt";#N/A,#N/A,FALSE,"Promotion";#N/A,#N/A,FALSE,"Travelling"}</definedName>
    <definedName name="kyd.CounterLimitCell.01." hidden="1">"x"</definedName>
    <definedName name="kyd.Dim.01." hidden="1">"local:Company"</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hortcut." hidden="1">FALSE</definedName>
    <definedName name="kyd.StdSortHide." hidden="1">FALSE</definedName>
    <definedName name="kyd.StopRow." hidden="1">65536</definedName>
    <definedName name="kyd.WriteMemWhenOptn." hidden="1">3</definedName>
    <definedName name="limcount" hidden="1">3</definedName>
    <definedName name="ListOffset" hidden="1">1</definedName>
    <definedName name="main">[6]Con!$A$1:$M$56</definedName>
    <definedName name="mar" hidden="1">{#N/A,#N/A,FALSE,"970301";#N/A,#N/A,FALSE,"970302";#N/A,#N/A,FALSE,"970303";#N/A,#N/A,FALSE,"970304";#N/A,#N/A,FALSE,"COM1";#N/A,#N/A,FALSE,"COM2"}</definedName>
    <definedName name="nfdijsa" hidden="1">{#N/A,#N/A,FALSE,"5YRASSPl - consol'd";#N/A,#N/A,FALSE,"5YRASSPl - hotel";#N/A,#N/A,FALSE,"5YRASSPl - excl htl";#N/A,#N/A,FALSE,"VarReport";#N/A,#N/A,FALSE,"Sensitivity";#N/A,#N/A,FALSE,"House View ";#N/A,#N/A,FALSE,"KPI"}</definedName>
    <definedName name="nfiojaoiwaifjkwap" hidden="1">{#N/A,#N/A,FALSE,"asset plan";#N/A,#N/A,FALSE,"Mgmt Report";#N/A,#N/A,FALSE,"sensitivities (2)";#N/A,#N/A,FALSE,"sensitivities";#N/A,#N/A,FALSE,"let up 10  Mort";#N/A,#N/A,FALSE,"let up 12 Mort";#N/A,#N/A,FALSE,"Capex";#N/A,#N/A,FALSE,"Capex Cashflow (2)";#N/A,#N/A,FALSE,"Capex Cashflow (3)";#N/A,#N/A,FALSE,"House View";#N/A,#N/A,FALSE,"kpi"}</definedName>
    <definedName name="nfuidsajo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ic" hidden="1">{#N/A,#N/A,FALSE,"5YRASSPl - consol'd";#N/A,#N/A,FALSE,"5YRASSPl - hotel";#N/A,#N/A,FALSE,"5YRASSPl - excl htl";#N/A,#N/A,FALSE,"VarReport";#N/A,#N/A,FALSE,"Sensitivity";#N/A,#N/A,FALSE,"House View ";#N/A,#N/A,FALSE,"KPI"}</definedName>
    <definedName name="nicole" hidden="1">{#N/A,#N/A,TRUE,"Capex Summ";#N/A,#N/A,TRUE,"Essential Works.tw";#N/A,#N/A,TRUE,"Desirable Works.tw";#N/A,#N/A,TRUE,"Essential Works.rt";#N/A,#N/A,TRUE,"Desirable Works.rt";#N/A,#N/A,TRUE,"Mthly";#N/A,#N/A,TRUE,"Essential Works.ht";#N/A,#N/A,TRUE,"Desirable Works.ht";#N/A,#N/A,TRUE,"Incentives"}</definedName>
    <definedName name="Nitin" hidden="1">'[7]Sheet3 (2)'!$A$60:$A$76</definedName>
    <definedName name="NRFEAIJ"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VFUD" hidden="1">{#N/A,#N/A,FALSE,"asset plan";#N/A,#N/A,FALSE,"Mgmt Report";#N/A,#N/A,FALSE,"sensitivities (2)";#N/A,#N/A,FALSE,"sensitivities";#N/A,#N/A,FALSE,"let up 10  Mort";#N/A,#N/A,FALSE,"let up 12 Mort";#N/A,#N/A,FALSE,"Capex";#N/A,#N/A,FALSE,"Capex Cashflow (2)";#N/A,#N/A,FALSE,"Capex Cashflow (3)";#N/A,#N/A,FALSE,"House View";#N/A,#N/A,FALSE,"kpi"}</definedName>
    <definedName name="OAP" hidden="1">{#N/A,#N/A,FALSE,"asset plan";#N/A,#N/A,FALSE,"Mgmt Report";#N/A,#N/A,FALSE,"sensitivities (2)";#N/A,#N/A,FALSE,"sensitivities";#N/A,#N/A,FALSE,"let up 10  Mort";#N/A,#N/A,FALSE,"let up 12 Mort";#N/A,#N/A,FALSE,"Capex";#N/A,#N/A,FALSE,"Capex Cashflow (2)";#N/A,#N/A,FALSE,"Capex Cashflow (3)";#N/A,#N/A,FALSE,"House View";#N/A,#N/A,FALSE,"kpi"}</definedName>
    <definedName name="OEPQ" hidden="1">{#N/A,#N/A,FALSE,"asset plan";#N/A,#N/A,FALSE,"Mgmt Report";#N/A,#N/A,FALSE,"sensitivities (2)";#N/A,#N/A,FALSE,"sensitivities";#N/A,#N/A,FALSE,"let up 10  Mort";#N/A,#N/A,FALSE,"let up 12 Mort";#N/A,#N/A,FALSE,"Capex";#N/A,#N/A,FALSE,"Capex Cashflow (2)";#N/A,#N/A,FALSE,"Capex Cashflow (3)";#N/A,#N/A,FALSE,"House View";#N/A,#N/A,FALSE,"kpi"}</definedName>
    <definedName name="page_10">#REF!</definedName>
    <definedName name="page_11">#REF!</definedName>
    <definedName name="page_12">[4]Con!#REF!</definedName>
    <definedName name="page_13">[4]Con!#REF!</definedName>
    <definedName name="page_14">[4]Con!#REF!</definedName>
    <definedName name="page_7">#REF!</definedName>
    <definedName name="page_8">#REF!</definedName>
    <definedName name="page_9">#REF!</definedName>
    <definedName name="Pal_Workbook_GUID" hidden="1">"7Q4464PL6DN5B891H1XSFCWU"</definedName>
    <definedName name="PNL" hidden="1">#REF!</definedName>
    <definedName name="Print_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4"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3"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44">'比较法-住宅'!$A$1:$K$54,'比较法-住宅'!$A$57:$M$131</definedName>
    <definedName name="_xlnm.Print_Area" localSheetId="19">成本法!$A$1:$G$57</definedName>
    <definedName name="_xlnm.Print_Area" localSheetId="20">'成本法-203'!$A$1:$G$57</definedName>
    <definedName name="_xlnm.Print_Area" localSheetId="26">'成本法-303'!$A$1:$G$57</definedName>
    <definedName name="_xlnm.Print_Area" localSheetId="29">'成本法-39-4'!$A$1:$G$57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'结果表-203'!$A$1:$I$127</definedName>
    <definedName name="_xlnm.Print_Area" localSheetId="25">'结果表-303'!$A$1:$I$127</definedName>
    <definedName name="_xlnm.Print_Area" localSheetId="43">'结果表-39-14'!$A$1:$I$127</definedName>
    <definedName name="_xlnm.Print_Area" localSheetId="28">'结果表-39-4'!$A$1:$I$127</definedName>
    <definedName name="_xlnm.Print_Area" localSheetId="22">收益法!$A$1:$F$43,收益法!$H$3:$M$29,收益法!$A$46:$F$71,收益法!$I$46:$N$65</definedName>
    <definedName name="_xlnm.Print_Area" localSheetId="33">'收益法（汇总）'!$A$1:$F$13</definedName>
    <definedName name="_xlnm.Print_Area" localSheetId="24">'收益法-203'!$A$1:$F$43,'收益法-203'!$H$3:$M$29,'收益法-203'!$A$45:$F$71,'收益法-203'!$I$46:$N$65</definedName>
    <definedName name="_xlnm.Print_Area" localSheetId="27">'收益法-303'!$A$1:$F$43,'收益法-303'!$H$3:$M$29,'收益法-303'!$A$45:$F$71,'收益法-303'!$I$46:$N$65</definedName>
    <definedName name="_xlnm.Print_Area" localSheetId="31">'收益法-39-4'!$A$1:$F$43,'收益法-39-4'!$H$3:$M$29,'收益法-39-4'!$A$45:$F$71,'收益法-39-4'!$I$46:$N$65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41">租赁清单!$A$18:$R$39</definedName>
    <definedName name="_xlnm.Print_Area" hidden="1">'[8]#REF!'!#REF!</definedName>
    <definedName name="PUB_FileID" hidden="1">"L10003363.xls"</definedName>
    <definedName name="PUB_UserID" hidden="1">"MAYERX"</definedName>
    <definedName name="R_1">[4]Con!#REF!</definedName>
    <definedName name="rentfree" hidden="1">#REF!</definedName>
    <definedName name="rfgreghrthtrh"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EOP" hidden="1">{#N/A,#N/A,FALSE,"asset plan";#N/A,#N/A,FALSE,"Mgmt Report";#N/A,#N/A,FALSE,"sensitivities (2)";#N/A,#N/A,FALSE,"sensitivities";#N/A,#N/A,FALSE,"let up 10  Mort";#N/A,#N/A,FALSE,"let up 12 Mort";#N/A,#N/A,FALSE,"Capex";#N/A,#N/A,FALSE,"Capex Cashflow (2)";#N/A,#N/A,FALSE,"Capex Cashflow (3)";#N/A,#N/A,FALSE,"House View";#N/A,#N/A,FALSE,"kpi"}</definedName>
    <definedName name="saggg" hidden="1">{#N/A,#N/A,FALSE,"Umsatz 99";#N/A,#N/A,FALSE,"ER 99 "}</definedName>
    <definedName name="SA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SAPBEXrevision" hidden="1">1</definedName>
    <definedName name="SAPBEXREVISIONN" hidden="1">25</definedName>
    <definedName name="SAPBEXsysID" hidden="1">"PE4"</definedName>
    <definedName name="SAPBEXwbID" hidden="1">"3Q4R7W3VD66V3CXTGQHGIRCBE"</definedName>
    <definedName name="sdf" hidden="1">{#N/A,#N/A,FALSE,"Umsatz 99";#N/A,#N/A,FALSE,"ER 99 "}</definedName>
    <definedName name="sdffg" hidden="1">{"Fiesta Facer Page",#N/A,FALSE,"Q_C_S";"Fiesta Main Page",#N/A,FALSE,"V_L";"Fiesta 95BP Struct",#N/A,FALSE,"StructBP";"Fiesta Post 95BP Struct",#N/A,FALSE,"AdjStructBP"}</definedName>
    <definedName name="SE" hidden="1">{#N/A,#N/A,FALSE,"Proj spec details"}</definedName>
    <definedName name="sencount" hidden="1">1</definedName>
    <definedName name="sfdsfsfsf" hidden="1">{"负债及权益",#N/A,FALSE,"TB-BS"}</definedName>
    <definedName name="SJAI" hidden="1">{#N/A,#N/A,FALSE,"asset plan";#N/A,#N/A,FALSE,"Mgmt Report";#N/A,#N/A,FALSE,"sensitivities (2)";#N/A,#N/A,FALSE,"sensitivities";#N/A,#N/A,FALSE,"let up 10  Mort";#N/A,#N/A,FALSE,"let up 12 Mort";#N/A,#N/A,FALSE,"Capex";#N/A,#N/A,FALSE,"Capex Cashflow (2)";#N/A,#N/A,FALSE,"Capex Cashflow (3)";#N/A,#N/A,FALSE,"House View";#N/A,#N/A,FALSE,"kpi"}</definedName>
    <definedName name="sssaasas" hidden="1">{#N/A,#N/A,FALSE,"Umsatz 99";#N/A,#N/A,FALSE,"ER 99 "}</definedName>
    <definedName name="SSTGG" hidden="1">{#N/A,#N/A,FALSE,"Umsatz 99";#N/A,#N/A,FALSE,"ER 99 "}</definedName>
    <definedName name="TextRefCopyRangeCount" hidden="1">3</definedName>
    <definedName name="tyhh" hidden="1">{#N/A,#N/A,FALSE,"²Ä1­Ó¤ë"}</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UJJ" hidden="1">{#N/A,#N/A,FALSE,"Umsatz 99";#N/A,#N/A,FALSE,"ER 99 "}</definedName>
    <definedName name="UWJQOP" hidden="1">{#N/A,#N/A,FALSE,"5YRASSPl - consol'd";#N/A,#N/A,FALSE,"5YRASSPl - hotel";#N/A,#N/A,FALSE,"5YRASSPl - excl htl";#N/A,#N/A,FALSE,"VarReport";#N/A,#N/A,FALSE,"Sensitivity";#N/A,#N/A,FALSE,"House View ";#N/A,#N/A,FALSE,"KPI"}</definedName>
    <definedName name="VDNAIU" hidden="1">{#N/A,#N/A,FALSE,"5YRASSPl - consol'd";#N/A,#N/A,FALSE,"5YRASSPl - hotel";#N/A,#N/A,FALSE,"5YRASSPl - excl htl";#N/A,#N/A,FALSE,"VarReport";#N/A,#N/A,FALSE,"Sensitivity";#N/A,#N/A,FALSE,"House View ";#N/A,#N/A,FALSE,"KPI"}</definedName>
    <definedName name="VF" hidden="1">41177.6341666667</definedName>
    <definedName name="VFOKD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VGBH" hidden="1">{#N/A,#N/A,FALSE,"Umsatz 99";#N/A,#N/A,FALSE,"ER 99 "}</definedName>
    <definedName name="VHDA" hidden="1">{#N/A,#N/A,FALSE,"²Ä1­Ó¤ë"}</definedName>
    <definedName name="VVYYT" hidden="1">{#N/A,#N/A,FALSE,"²Ä1­Ó¤ë"}</definedName>
    <definedName name="VYKM" hidden="1">{#N/A,#N/A,FALSE,"²Ä1­Ó¤ë"}</definedName>
    <definedName name="w">[4]Con!#REF!</definedName>
    <definedName name="WOP" hidden="1">{#N/A,#N/A,TRUE,"Capex Summ";#N/A,#N/A,TRUE,"Essential Works.tw";#N/A,#N/A,TRUE,"Desirable Works.tw";#N/A,#N/A,TRUE,"Essential Works.rt";#N/A,#N/A,TRUE,"Desirable Works.rt";#N/A,#N/A,TRUE,"Mthly";#N/A,#N/A,TRUE,"Essential Works.ht";#N/A,#N/A,TRUE,"Desirable Works.ht";#N/A,#N/A,TRUE,"Incentives"}</definedName>
    <definedName name="wrn" hidden="1">{#N/A,#N/A,FALSE,"Summary";#N/A,#N/A,FALSE,"road";#N/A,#N/A,FALSE,"raillifted";#N/A,#N/A,FALSE,"inlandwaterway";#N/A,#N/A,FALSE,"seagoing";#N/A,#N/A,FALSE,"pipeline"}</definedName>
    <definedName name="wrn.Actual._.All._.Companies." hidden="1">{"Company analysis actual",#N/A,FALSE,"Company Analysis";"Period analysis actual",#N/A,FALSE,"Period analysis";"Cons Adj. actual",#N/A,FALSE,"Consol Adj";"Consol Adj. detail actual",#N/A,FALSE,"Consol Adj detail";"NWL Actual",#N/A,FALSE,"NWL";"ESW Actual",#N/A,FALSE,"ESW";"NLI Actual",#N/A,FALSE,"NLI";"GIB Actual",#N/A,FALSE,"GIB";"Entec UK Actual",#N/A,FALSE,"ENTEC UK";"Entec Europe Actual",#N/A,FALSE,"ENTEC EUR";"ULG Actual",#N/A,FALSE,"ULG";"Agrer Actual",#N/A,FALSE,"AGRER";"AES Actual",#N/A,FALSE,"AES";"Imass Actual",#N/A,FALSE,"IMASS";"NLTRC Actual",#N/A,FALSE,"NLTRC";"CPIL Actual",#N/A,FALSE,"CPIL";"NWG Actual",#N/A,FALSE,"NWG";"FPS Actual",#N/A,FALSE,"FPS";"NEW Actual",#N/A,FALSE,"NEW";"SMCL Actual",#N/A,FALSE,"SMCL";"NH Actual",#N/A,FALSE,"NH"}</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YSIS._.9507." hidden="1">{#N/A,#N/A,FALSE,"ABB HOLDING LTD"}</definedName>
    <definedName name="WRN.ANALYSIS._.9511." hidden="1">{#N/A,#N/A,FALSE,"ABB HOLDING LTD"}</definedName>
    <definedName name="wrn.Area._.Summaries." hidden="1">{#N/A,#N/A,FALSE,"Area Summaries"}</definedName>
    <definedName name="wrn.bgt97." hidden="1">{#N/A,#N/A,FALSE,"national";#N/A,#N/A,FALSE,"GZ";#N/A,#N/A,FALSE,"BJ";#N/A,#N/A,FALSE,"SH";#N/A,#N/A,FALSE,"ZJ"}</definedName>
    <definedName name="wrn.Board._.Reports." hidden="1">{#N/A,#N/A,FALSE,"M1s Board";#N/A,#N/A,FALSE,"M3 Board";#N/A,#N/A,FALSE,"M6 Board";#N/A,#N/A,FALSE,"M7";#N/A,#N/A,FALSE,"M7B";#N/A,#N/A,FALSE,"M8";#N/A,#N/A,FALSE,"M8A Board";#N/A,#N/A,FALSE,"AF1 Board"}</definedName>
    <definedName name="wrn.Budget._.All._.Companies." hidden="1">{"Company analysis budget",#N/A,FALSE,"Company Analysis";"Period analysis budget",#N/A,FALSE,"Period analysis";"Cons Adj. budget",#N/A,FALSE,"Consol Adj";"NWL Budget",#N/A,FALSE,"NWL";"ESW Budget",#N/A,FALSE,"ESW";"NWCSL Budget",#N/A,FALSE,"NWCSL";"NLI Budget",#N/A,FALSE,"NLI";"CES Budget",#N/A,FALSE,"CES";"NLE Budget",#N/A,FALSE,"NLE";"GIB Budget",#N/A,FALSE,"GIB";"Entec UK Budget",#N/A,FALSE,"ENTEC UK";"Entec Europe Budget",#N/A,FALSE,"ENTEC EUR";"ULG Budget",#N/A,FALSE,"ULG";"Agrer Budget",#N/A,FALSE,"AGRER";"AES Budget",#N/A,FALSE,"AES";"Imass Budget",#N/A,FALSE,"IMASS";"NLTRC Budget",#N/A,FALSE,"NLTRC";"CPIL Budget",#N/A,FALSE,"CPIL";"NWG Budget",#N/A,FALSE,"NWG";"FPS Budget",#N/A,FALSE,"FPS";"NEW Budget",#N/A,FALSE,"NEW";"SMCL Budget",#N/A,FALSE,"SMCL";"NH Budget",#N/A,FALSE,"NH"}</definedName>
    <definedName name="wrn.Capex." hidden="1">{#N/A,#N/A,TRUE,"Capex Summ";#N/A,#N/A,TRUE,"Essential Works.tw";#N/A,#N/A,TRUE,"Desirable Works.tw";#N/A,#N/A,TRUE,"Essential Works.rt";#N/A,#N/A,TRUE,"Desirable Works.rt";#N/A,#N/A,TRUE,"Mthly";#N/A,#N/A,TRUE,"Essential Works.ht";#N/A,#N/A,TRUE,"Desirable Works.ht";#N/A,#N/A,TRUE,"Incentives"}</definedName>
    <definedName name="wrn.Complete._.Sys.._.Estimate." hidden="1">{#N/A,#N/A,TRUE,"Cover Memo";"Complete Sys. Estimate",#N/A,TRUE,"Change Summary";"Complete Sys. Estimate",#N/A,TRUE,"Estimate Summary";"Complete Sys. Estimate",#N/A,TRUE,"Dept. Summary";"Complete Sys. Estimate",#N/A,TRUE,"DOW Detail"}</definedName>
    <definedName name="wrn.comps." hidden="1">{#N/A,#N/A,FALSE,"Comp"}</definedName>
    <definedName name="wrn.Elemental._.Summ." hidden="1">{#N/A,#N/A,FALSE,"Elemental Summ"}</definedName>
    <definedName name="wrn.Exp." hidden="1">{#N/A,#N/A,FALSE,"Exp_Summary";#N/A,#N/A,FALSE,"Exp_BJ";#N/A,#N/A,FALSE,"Exp_SH";#N/A,#N/A,FALSE,"Exp_GZ"}</definedName>
    <definedName name="wrn.Facility._.Estimate." hidden="1">{#N/A,#N/A,TRUE,"Cover Memo";"Facility Estimate",#N/A,TRUE,"Change Summary";"Facility Estimate",#N/A,TRUE,"Estimate Summary";"Facility Estimate",#N/A,TRUE,"Dept. Summary";"Facility Estimate",#N/A,TRUE,"DOW Detail"}</definedName>
    <definedName name="wrn.finmodel." hidden="1">{#N/A,#N/A,FALSE,"Fin Model"}</definedName>
    <definedName name="wrn.flifted." hidden="1">{#N/A,#N/A,FALSE,"Summary";#N/A,#N/A,FALSE,"road";#N/A,#N/A,FALSE,"raillifted";#N/A,#N/A,FALSE,"inlandwaterway";#N/A,#N/A,FALSE,"seagoing";#N/A,#N/A,FALSE,"pipeline"}</definedName>
    <definedName name="wrn.fmoved." hidden="1">{#N/A,#N/A,FALSE,"road";#N/A,#N/A,FALSE,"inlandwaterway";#N/A,#N/A,FALSE,"seagoing";#N/A,#N/A,FALSE,"pipeline"}</definedName>
    <definedName name="wrn.form." hidden="1">{#N/A,#N/A,FALSE,"OffAdvance";#N/A,#N/A,FALSE,"OffExpRprt";#N/A,#N/A,FALSE,"Entertmnt";#N/A,#N/A,FALSE,"Promotion";#N/A,#N/A,FALSE,"Travelling"}</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Graphs." hidden="1">{#N/A,#N/A,FALSE,"Graphs"}</definedName>
    <definedName name="wrn.Inputsheet_ProjectInput." hidden="1">{"ProjectInput",#N/A,FALSE,"INPUT-AREA"}</definedName>
    <definedName name="wrn.LYreports." hidden="1">{#N/A,#N/A,FALSE,"B10-Value";#N/A,#N/A,FALSE,"B10-Unit ";#N/A,#N/A,FALSE,"MgnPrdRgn";#N/A,#N/A,FALSE,"MgnProd";#N/A,#N/A,FALSE,"SaleProRegn";#N/A,#N/A,FALSE,"SaleRgnCustmr";#N/A,#N/A,FALSE,"Coll_analysis";#N/A,#N/A,FALSE,"BlackList";#N/A,#N/A,FALSE,"Sales&amp;Collctn";#N/A,#N/A,FALSE,"A_RDueDays"}</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Mech._.Elec._.Fitout." hidden="1">{#N/A,#N/A,FALSE,"Mech, Elec, Fitout";#N/A,#N/A,FALSE,"Mech, Elec, Fitout"}</definedName>
    <definedName name="wrn.Monthly._.reports." hidden="1">{"Consol PL",#N/A,FALSE,"Consol PL";"Forecast",#N/A,FALSE,"Forecasts";"Company analysis actual",#N/A,FALSE,"Company Analysis";"Period analysis actual",#N/A,FALSE,"Period analysis";"Cons Adj.",#N/A,FALSE,"Consol Adj";"Consol Adj. detail actual",#N/A,FALSE,"Consol Adj detail";"Adj. Workings",#N/A,FALSE,"Adj Workings";"Operating Costs",#N/A,FALSE,"Operating costs";"Interest summary",#N/A,FALSE,"Interest";"PBT summary",#N/A,FALSE,"Profit Before Tax";"Tax summary",#N/A,FALSE,"Tax";"PAT summary",#N/A,FALSE,"Profit After Tax";"Dividends summary",#N/A,FALSE,"Dividends &amp; MI";"Int. Turnover summary",#N/A,FALSE,"Internal Turnover";"Int. Costs summary",#N/A,FALSE,"Internal Costs";"Int. Interest summary",#N/A,FALSE,"Internal Interest"}</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ffice." hidden="1">{#N/A,#N/A,FALSE,"OffAdvance";#N/A,#N/A,FALSE,"OffExpRprt";#N/A,#N/A,FALSE,"Travelling";#N/A,#N/A,FALSE,"Entertmnt";#N/A,#N/A,FALSE,"Promotion"}</definedName>
    <definedName name="wrn.Operating._.Costs." hidden="1">{"Two",#N/A,FALSE,"PANDLAC"}</definedName>
    <definedName name="wrn.Package." hidden="1">{#N/A,#N/A,FALSE,"BS4th";#N/A,#N/A,FALSE,"CashFlow";#N/A,#N/A,FALSE,"A_RDueDays";#N/A,#N/A,FALSE,"BlackList";#N/A,#N/A,FALSE,"Prepaid";#N/A,#N/A,FALSE,"Employee";#N/A,#N/A,FALSE,"Inventry";#N/A,#N/A,FALSE,"InterCo";#N/A,#N/A,FALSE,"Payable";#N/A,#N/A,FALSE,"SW6_4th";#N/A,#N/A,FALSE,"SalesCollctn";#N/A,#N/A,FALSE,"Collection";#N/A,#N/A,FALSE,"B10-Value";#N/A,#N/A,FALSE,"B10-Unit";#N/A,#N/A,FALSE,"GrsMgnProd";#N/A,#N/A,FALSE,"ExpDetailed";#N/A,#N/A,FALSE,"ExpDetailedYTD";#N/A,#N/A,FALSE,"CommExp";#N/A,#N/A,FALSE,"CommExpYTD";#N/A,#N/A,FALSE,"RgnP&amp;L";#N/A,#N/A,FALSE,"GrMgnPrdRgn";#N/A,#N/A,FALSE,"SaleProRegn";#N/A,#N/A,FALSE,"SaleRgnCustmr";#N/A,#N/A,FALSE,"ExchDiff";#N/A,#N/A,FALSE,"Headcoun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hased." hidden="1">{"P&amp;L phased",#N/A,FALSE,"P and L";"Interest phased",#N/A,FALSE,"Interest";"Cshf phased",#N/A,FALSE,"Cashflow";"BSheet phased",#N/A,FALSE,"B Sheet";"Capex phased",#N/A,FALSE,"Capex"}</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fit._.Loss." hidden="1">{"One",#N/A,FALSE,"PANDLAC"}</definedName>
    <definedName name="wrn.Proj._.spec._.details." hidden="1">{#N/A,#N/A,FALSE,"Proj spec details"}</definedName>
    <definedName name="wrn.Project._.Commentary." hidden="1">{#N/A,#N/A,FALSE,"Project Commentary"}</definedName>
    <definedName name="wrn.QAPU." hidden="1">{#N/A,#N/A,FALSE,"5YRASSPl - consol'd";#N/A,#N/A,FALSE,"5YRASSPl - hotel";#N/A,#N/A,FALSE,"5YRASSPl - excl htl";#N/A,#N/A,FALSE,"VarReport";#N/A,#N/A,FALSE,"Sensitivity";#N/A,#N/A,FALSE,"House View ";#N/A,#N/A,FALSE,"KPI"}</definedName>
    <definedName name="wrn.rail." hidden="1">{#N/A,#N/A,FALSE,"inopert";#N/A,#N/A,FALSE,"electrified";#N/A,#N/A,FALSE,"network"}</definedName>
    <definedName name="wrn.rdtraffic." hidden="1">{#N/A,#N/A,FALSE,"rtbuses";#N/A,#N/A,FALSE,"rtcar";#N/A,#N/A,FALSE,"rtmcycle";#N/A,#N/A,FALSE,"rtrgvs"}</definedName>
    <definedName name="wrn.Reconciliation." hidden="1">{"four",#N/A,FALSE,"PANDLAC"}</definedName>
    <definedName name="wrn.Ride._.Estimate." hidden="1">{#N/A,#N/A,TRUE,"Cover Memo";"Ride Estimate",#N/A,TRUE,"Change Summary";"Ride Estimate",#N/A,TRUE,"Estimate Summary";"Ride Estimate",#N/A,TRUE,"Dept. Summary";"Ride Estimate",#N/A,TRUE,"DOW Detail"}</definedName>
    <definedName name="wrn.Sales." hidden="1">{#N/A,#N/A,FALSE,"A_RDueDays";#N/A,#N/A,FALSE,"BlackList";#N/A,#N/A,FALSE,"P&amp;L";#N/A,#N/A,FALSE,"SalesCollctn";#N/A,#N/A,FALSE,"Collection";#N/A,#N/A,FALSE,"B10-Value";#N/A,#N/A,FALSE,"B10-Unit";#N/A,#N/A,FALSE,"GrsMgnProd";#N/A,#N/A,FALSE,"CommExp";#N/A,#N/A,FALSE,"CommExpYTD";#N/A,#N/A,FALSE,"RgnP&amp;L";#N/A,#N/A,FALSE,"GrMgnPrdRgn";#N/A,#N/A,FALSE,"SaleProRegn";#N/A,#N/A,FALSE,"SaleRgnCustmr"}</definedName>
    <definedName name="wrn.SGA." hidden="1">{"Three",#N/A,FALSE,"PANDLAC"}</definedName>
    <definedName name="wrn.Short._.Form._.Print._.Out." hidden="1">{#N/A,#N/A,FALSE,"General Assumptions";#N/A,#N/A,FALSE,"Accounts";#N/A,#N/A,FALSE,"OperatingAssumptions";#N/A,#N/A,FALSE,"Cashflow";#N/A,#N/A,FALSE,"Debt";#N/A,#N/A,FALSE,"Ops Summary";#N/A,#N/A,FALSE,"Summary"}</definedName>
    <definedName name="wrn.Show._.Estimate." hidden="1">{#N/A,#N/A,TRUE,"Cover Memo";"Show Estimate",#N/A,TRUE,"Change Summary";"Show Estimate",#N/A,TRUE,"Estimate Summary";"Show Estimate",#N/A,TRUE,"Dept. Summary";"Show Estimate",#N/A,TRUE,"DOW Detail"}</definedName>
    <definedName name="wrn.Specification." hidden="1">{#N/A,#N/A,FALSE,"Specification"}</definedName>
    <definedName name="wrn.Summary." hidden="1">{"Summary",#N/A,FALSE,"Summary"}</definedName>
    <definedName name="wrn.Temp." hidden="1">{#N/A,#N/A,FALSE,"BS";#N/A,#N/A,FALSE,"P&amp;L";#N/A,#N/A,FALSE,"B10-Value";#N/A,#N/A,FALSE,"B10-Unit";#N/A,#N/A,FALSE,"ExpDetailed";#N/A,#N/A,FALSE,"ExpDetailedYTD";#N/A,#N/A,FALSE,"SaleProRegn";#N/A,#N/A,FALSE,"GrsMgnProd";#N/A,#N/A,FALSE,"GrMgnPrdRgn";#N/A,#N/A,FALSE,"CashFlow";#N/A,#N/A,FALSE,"A_RDueDays";#N/A,#N/A,FALSE,"SalesCollctn";#N/A,#N/A,FALSE,"BlackList";#N/A,#N/A,FALSE,"A_R"}</definedName>
    <definedName name="wrn.toptrial." hidden="1">{"toptrial",#N/A,TRUE,"toptrial";"adjustment",#N/A,TRUE,"toptrial";"voucher",#N/A,TRUE,"toptrial"}</definedName>
    <definedName name="wrn.Traffic." hidden="1">{"One",#N/A,FALSE,"TRAFFIC"}</definedName>
    <definedName name="wrn.voucher9703." hidden="1">{#N/A,#N/A,FALSE,"970301";#N/A,#N/A,FALSE,"970302";#N/A,#N/A,FALSE,"970303";#N/A,#N/A,FALSE,"970304";#N/A,#N/A,FALSE,"COM1";#N/A,#N/A,FALSE,"COM2"}</definedName>
    <definedName name="wrn.zhinesePartner." hidden="1">{#N/A,#N/A,FALSE,"BS";#N/A,#N/A,FALSE,"P&amp;L"}</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负债及权益." hidden="1">{"负债及权益",#N/A,FALSE,"TB-BS"}</definedName>
    <definedName name="wrn.现金." hidden="1">{"现金主表",#N/A,FALSE,"正式Cashflow"}</definedName>
    <definedName name="wrn.现金主表." hidden="1">{"现金主表",#N/A,FALSE,"正式Cashflow"}</definedName>
    <definedName name="wrn.资产." hidden="1">{"资产",#N/A,FALSE,"TB-BS"}</definedName>
    <definedName name="wwww" hidden="1">{"Fiesta Facer Page",#N/A,FALSE,"Q_C_S";"Fiesta Main Page",#N/A,FALSE,"V_L";"Fiesta 95BP Struct",#N/A,FALSE,"StructBP";"Fiesta Post 95BP Struct",#N/A,FALSE,"AdjStructBP"}</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#N/A</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7" hidden="1">#REF!</definedName>
    <definedName name="XRefPaste8" hidden="1">#REF!</definedName>
    <definedName name="XRefPaste9" hidden="1">#REF!</definedName>
    <definedName name="XRefPasteRangeCount" hidden="1">4</definedName>
    <definedName name="XWRF" hidden="1">{"Fiesta Facer Page",#N/A,FALSE,"Q_C_S";"Fiesta Main Page",#N/A,FALSE,"V_L";"Fiesta 95BP Struct",#N/A,FALSE,"StructBP";"Fiesta Post 95BP Struct",#N/A,FALSE,"AdjStructBP"}</definedName>
    <definedName name="Z_B86C0483_ADF3_11D1_B0F3_00C0DFE06E83_.wvu.Cols" hidden="1">'[9]TRAFFIC-bud'!#REF!,'[9]TRAFFIC-bud'!#REF!,'[9]TRAFFIC-bud'!#REF!,'[9]TRAFFIC-bud'!$AA$1:$AD$65536,'[9]TRAFFIC-bud'!#REF!</definedName>
    <definedName name="Z_CB0E8320_907C_11D8_8F9A_003018607B51_.wvu.Col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SC" hidden="1">{#N/A,#N/A,FALSE,"²Ä1­Ó¤ë"}</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备用" hidden="1">{#N/A,#N/A,FALSE,"OffAdvance";#N/A,#N/A,FALSE,"OffExpRprt";#N/A,#N/A,FALSE,"Entertmnt";#N/A,#N/A,FALSE,"Promotion";#N/A,#N/A,FALSE,"Travelling"}</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借款" hidden="1">{#N/A,#N/A,FALSE,"970301";#N/A,#N/A,FALSE,"970302";#N/A,#N/A,FALSE,"970303";#N/A,#N/A,FALSE,"970304";#N/A,#N/A,FALSE,"COM1";#N/A,#N/A,FALSE,"COM2"}</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试验" hidden="1">{#N/A,#N/A,FALSE,"OffAdvance";#N/A,#N/A,FALSE,"OffExpRprt";#N/A,#N/A,FALSE,"Travelling";#N/A,#N/A,FALSE,"Entertmnt";#N/A,#N/A,FALSE,"Promotion"}</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'[10]数据-汇总表'!$C$17:$C$26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疑问二" hidden="1">{#N/A,#N/A,FALSE,"Area Summaries"}</definedName>
    <definedName name="应手款" hidden="1">{#N/A,#N/A,FALSE,"970301";#N/A,#N/A,FALSE,"970302";#N/A,#N/A,FALSE,"970303";#N/A,#N/A,FALSE,"970304";#N/A,#N/A,FALSE,"COM1";#N/A,#N/A,FALSE,"COM2"}</definedName>
    <definedName name="应手款1月" hidden="1">{#N/A,#N/A,FALSE,"Marketing";#N/A,#N/A,FALSE,"Selling";#N/A,#N/A,FALSE,"Promotional";#N/A,#N/A,FALSE,"Advertising"}</definedName>
    <definedName name="用途明细">定义!$A$1:$A$50</definedName>
    <definedName name="有无电梯">'比较法-仓储'!$B$84:$M$84</definedName>
    <definedName name="漳州减租每月明细" hidden="1">#REF!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75" i="89" l="1"/>
  <c r="C66" i="89"/>
  <c r="C75" i="86"/>
  <c r="C66" i="86"/>
  <c r="C75" i="85"/>
  <c r="C66" i="85"/>
  <c r="C75" i="9"/>
  <c r="C66" i="9"/>
  <c r="I7" i="21"/>
  <c r="G7" i="21"/>
  <c r="E7" i="21"/>
  <c r="A120" i="89"/>
  <c r="A118" i="89"/>
  <c r="E111" i="89"/>
  <c r="E109" i="89"/>
  <c r="A124" i="89" s="1"/>
  <c r="E107" i="89"/>
  <c r="A122" i="89" s="1"/>
  <c r="H106" i="89"/>
  <c r="H105" i="89"/>
  <c r="H104" i="89"/>
  <c r="H103" i="89"/>
  <c r="D120" i="89" s="1"/>
  <c r="D101" i="89"/>
  <c r="C101" i="89"/>
  <c r="D93" i="89"/>
  <c r="C91" i="89"/>
  <c r="E90" i="89"/>
  <c r="D89" i="89"/>
  <c r="C89" i="89"/>
  <c r="C87" i="89" s="1"/>
  <c r="D78" i="89"/>
  <c r="H77" i="89"/>
  <c r="D77" i="89"/>
  <c r="C76" i="89"/>
  <c r="D68" i="89"/>
  <c r="F59" i="89"/>
  <c r="E59" i="89"/>
  <c r="N55" i="89" s="1"/>
  <c r="D59" i="89"/>
  <c r="N56" i="89"/>
  <c r="M56" i="89"/>
  <c r="K56" i="89"/>
  <c r="J56" i="89"/>
  <c r="F56" i="89"/>
  <c r="O55" i="89"/>
  <c r="M55" i="89"/>
  <c r="K55" i="89"/>
  <c r="J55" i="89"/>
  <c r="J57" i="89" s="1"/>
  <c r="J59" i="89" s="1"/>
  <c r="J61" i="89" s="1"/>
  <c r="I55" i="89"/>
  <c r="F55" i="89"/>
  <c r="O53" i="89" s="1"/>
  <c r="O54" i="89"/>
  <c r="N54" i="89"/>
  <c r="F54" i="89"/>
  <c r="N53" i="89"/>
  <c r="F53" i="89"/>
  <c r="F52" i="89"/>
  <c r="K49" i="89"/>
  <c r="F48" i="89"/>
  <c r="O52" i="89" s="1"/>
  <c r="E48" i="89"/>
  <c r="N52" i="89" s="1"/>
  <c r="M47" i="89"/>
  <c r="F33" i="89"/>
  <c r="D27" i="89"/>
  <c r="C25" i="89"/>
  <c r="C24" i="89"/>
  <c r="D17" i="89"/>
  <c r="C18" i="89" s="1"/>
  <c r="D18" i="89" s="1"/>
  <c r="C17" i="89"/>
  <c r="L4" i="89"/>
  <c r="K4" i="89"/>
  <c r="A2" i="89"/>
  <c r="H1" i="89"/>
  <c r="P31" i="81"/>
  <c r="W7" i="80"/>
  <c r="X4" i="80"/>
  <c r="O41" i="81"/>
  <c r="L25" i="81"/>
  <c r="N41" i="81" s="1"/>
  <c r="W6" i="80"/>
  <c r="X6" i="80" s="1"/>
  <c r="W3" i="80"/>
  <c r="W5" i="80"/>
  <c r="W4" i="80"/>
  <c r="X3" i="80"/>
  <c r="X5" i="80"/>
  <c r="K36" i="81"/>
  <c r="L41" i="81"/>
  <c r="M41" i="81"/>
  <c r="L42" i="81"/>
  <c r="M42" i="81" s="1"/>
  <c r="L40" i="81"/>
  <c r="B15" i="74"/>
  <c r="B16" i="74"/>
  <c r="B17" i="74"/>
  <c r="B14" i="74"/>
  <c r="A15" i="74"/>
  <c r="A16" i="74"/>
  <c r="A17" i="74"/>
  <c r="A14" i="74"/>
  <c r="B25" i="31"/>
  <c r="B24" i="31"/>
  <c r="A25" i="31"/>
  <c r="A24" i="31"/>
  <c r="F48" i="87"/>
  <c r="C48" i="87"/>
  <c r="G41" i="87"/>
  <c r="F39" i="87"/>
  <c r="F38" i="87"/>
  <c r="E37" i="87"/>
  <c r="F36" i="87"/>
  <c r="F35" i="87"/>
  <c r="F30" i="87"/>
  <c r="C30" i="87" s="1"/>
  <c r="G22" i="87"/>
  <c r="F21" i="87"/>
  <c r="F40" i="87" s="1"/>
  <c r="F20" i="87"/>
  <c r="E19" i="87"/>
  <c r="C19" i="87"/>
  <c r="E10" i="87"/>
  <c r="E9" i="87"/>
  <c r="F7" i="87"/>
  <c r="H1" i="87"/>
  <c r="U2" i="43"/>
  <c r="E2" i="87"/>
  <c r="C77" i="89" l="1"/>
  <c r="C74" i="89" s="1"/>
  <c r="C92" i="89"/>
  <c r="C94" i="89"/>
  <c r="D121" i="89"/>
  <c r="K120" i="89"/>
  <c r="A126" i="89"/>
  <c r="H109" i="89"/>
  <c r="C40" i="87"/>
  <c r="C21" i="87"/>
  <c r="A124" i="86"/>
  <c r="A120" i="86"/>
  <c r="A118" i="86"/>
  <c r="E111" i="86"/>
  <c r="H109" i="86"/>
  <c r="D124" i="86" s="1"/>
  <c r="D125" i="86" s="1"/>
  <c r="E109" i="86"/>
  <c r="E107" i="86"/>
  <c r="A122" i="86" s="1"/>
  <c r="H106" i="86"/>
  <c r="H105" i="86"/>
  <c r="H104" i="86"/>
  <c r="H103" i="86"/>
  <c r="D120" i="86" s="1"/>
  <c r="D101" i="86"/>
  <c r="C101" i="86"/>
  <c r="D93" i="86"/>
  <c r="C91" i="86"/>
  <c r="E90" i="86"/>
  <c r="D89" i="86"/>
  <c r="C89" i="86" s="1"/>
  <c r="C87" i="86" s="1"/>
  <c r="D78" i="86"/>
  <c r="H77" i="86"/>
  <c r="D77" i="86"/>
  <c r="C77" i="86"/>
  <c r="C76" i="86"/>
  <c r="D68" i="86"/>
  <c r="F59" i="86"/>
  <c r="O55" i="86" s="1"/>
  <c r="E59" i="86"/>
  <c r="N55" i="86" s="1"/>
  <c r="N56" i="86"/>
  <c r="M56" i="86"/>
  <c r="K56" i="86"/>
  <c r="J56" i="86"/>
  <c r="J57" i="86" s="1"/>
  <c r="J59" i="86" s="1"/>
  <c r="J61" i="86" s="1"/>
  <c r="F56" i="86"/>
  <c r="K55" i="86"/>
  <c r="J55" i="86"/>
  <c r="I55" i="86"/>
  <c r="F55" i="86"/>
  <c r="O54" i="86"/>
  <c r="N54" i="86"/>
  <c r="F54" i="86"/>
  <c r="O53" i="86"/>
  <c r="N53" i="86"/>
  <c r="F53" i="86"/>
  <c r="F52" i="86"/>
  <c r="K49" i="86"/>
  <c r="F48" i="86"/>
  <c r="O52" i="86" s="1"/>
  <c r="E48" i="86"/>
  <c r="N52" i="86" s="1"/>
  <c r="M47" i="86"/>
  <c r="F33" i="86"/>
  <c r="D27" i="86"/>
  <c r="C25" i="86"/>
  <c r="C24" i="86"/>
  <c r="M19" i="86"/>
  <c r="C118" i="86" s="1"/>
  <c r="L19" i="86"/>
  <c r="M18" i="86"/>
  <c r="B118" i="86" s="1"/>
  <c r="L18" i="86"/>
  <c r="D17" i="86"/>
  <c r="C18" i="86" s="1"/>
  <c r="D18" i="86" s="1"/>
  <c r="C17" i="86"/>
  <c r="L4" i="86"/>
  <c r="K4" i="86"/>
  <c r="A2" i="86"/>
  <c r="H1" i="86"/>
  <c r="Y9" i="1"/>
  <c r="Y8" i="1"/>
  <c r="A120" i="85"/>
  <c r="E111" i="85"/>
  <c r="E109" i="85"/>
  <c r="A124" i="85" s="1"/>
  <c r="E107" i="85"/>
  <c r="A122" i="85" s="1"/>
  <c r="H106" i="85"/>
  <c r="H105" i="85"/>
  <c r="H104" i="85"/>
  <c r="H103" i="85"/>
  <c r="D120" i="85" s="1"/>
  <c r="D101" i="85"/>
  <c r="C101" i="85"/>
  <c r="D93" i="85"/>
  <c r="C91" i="85"/>
  <c r="E90" i="85"/>
  <c r="D89" i="85"/>
  <c r="C89" i="85"/>
  <c r="C87" i="85" s="1"/>
  <c r="D78" i="85"/>
  <c r="H77" i="85"/>
  <c r="D77" i="85"/>
  <c r="C77" i="85" s="1"/>
  <c r="C76" i="85"/>
  <c r="D68" i="85"/>
  <c r="F59" i="85"/>
  <c r="O55" i="85" s="1"/>
  <c r="E59" i="85"/>
  <c r="N55" i="85" s="1"/>
  <c r="N56" i="85"/>
  <c r="M56" i="85"/>
  <c r="K56" i="85"/>
  <c r="J56" i="85"/>
  <c r="F56" i="85"/>
  <c r="O54" i="85" s="1"/>
  <c r="K55" i="85"/>
  <c r="J55" i="85"/>
  <c r="J57" i="85" s="1"/>
  <c r="J59" i="85" s="1"/>
  <c r="J61" i="85" s="1"/>
  <c r="I55" i="85"/>
  <c r="F55" i="85"/>
  <c r="O53" i="85" s="1"/>
  <c r="N54" i="85"/>
  <c r="F54" i="85"/>
  <c r="N53" i="85"/>
  <c r="F53" i="85"/>
  <c r="F52" i="85"/>
  <c r="K49" i="85"/>
  <c r="F48" i="85"/>
  <c r="O52" i="85" s="1"/>
  <c r="E48" i="85"/>
  <c r="N52" i="85" s="1"/>
  <c r="M47" i="85"/>
  <c r="F33" i="85"/>
  <c r="D27" i="85"/>
  <c r="C25" i="85"/>
  <c r="C24" i="85"/>
  <c r="D17" i="85"/>
  <c r="C17" i="85"/>
  <c r="L4" i="85"/>
  <c r="K4" i="85"/>
  <c r="H1" i="85"/>
  <c r="Q72" i="84"/>
  <c r="Q59" i="84"/>
  <c r="K59" i="84"/>
  <c r="P74" i="84" s="1"/>
  <c r="F59" i="84"/>
  <c r="Q58" i="84"/>
  <c r="Q51" i="84"/>
  <c r="J50" i="84"/>
  <c r="J51" i="84" s="1"/>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C48" i="83"/>
  <c r="G41" i="83"/>
  <c r="F38" i="83"/>
  <c r="E37" i="83"/>
  <c r="F36" i="83"/>
  <c r="F35" i="83"/>
  <c r="F30" i="83"/>
  <c r="F48" i="83" s="1"/>
  <c r="C30" i="83"/>
  <c r="G22" i="83"/>
  <c r="F21" i="83"/>
  <c r="F40" i="83" s="1"/>
  <c r="F20" i="83"/>
  <c r="F39" i="83" s="1"/>
  <c r="E19" i="83"/>
  <c r="C19" i="83"/>
  <c r="E10" i="83"/>
  <c r="E9" i="83"/>
  <c r="F7" i="83"/>
  <c r="H1" i="83"/>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U4" i="43"/>
  <c r="U3" i="43"/>
  <c r="G51" i="43"/>
  <c r="G52" i="43"/>
  <c r="G53" i="43"/>
  <c r="G54" i="43"/>
  <c r="G55" i="43"/>
  <c r="G56" i="43"/>
  <c r="G57" i="43"/>
  <c r="G58" i="43"/>
  <c r="G50" i="43"/>
  <c r="Y6" i="1"/>
  <c r="N9" i="1"/>
  <c r="N8" i="1"/>
  <c r="N7" i="1"/>
  <c r="N6" i="1"/>
  <c r="F20" i="6"/>
  <c r="F21" i="6"/>
  <c r="F22" i="6"/>
  <c r="F19" i="6"/>
  <c r="I14" i="3"/>
  <c r="I15" i="3"/>
  <c r="I16" i="3"/>
  <c r="I13" i="3"/>
  <c r="C14" i="3"/>
  <c r="C20" i="6" s="1"/>
  <c r="C15" i="3"/>
  <c r="C21" i="6" s="1"/>
  <c r="C16" i="3"/>
  <c r="C22" i="6" s="1"/>
  <c r="C13" i="3"/>
  <c r="C19" i="6" s="1"/>
  <c r="E56" i="81"/>
  <c r="E49" i="81"/>
  <c r="E46" i="81"/>
  <c r="E51" i="81" s="1"/>
  <c r="E45" i="81"/>
  <c r="E52" i="81" s="1"/>
  <c r="L3" i="81" s="1"/>
  <c r="E44" i="81"/>
  <c r="E48" i="81" s="1"/>
  <c r="E43" i="81"/>
  <c r="E47" i="81" s="1"/>
  <c r="E42" i="81"/>
  <c r="Q36" i="81"/>
  <c r="P36" i="81"/>
  <c r="L36" i="81"/>
  <c r="Q31" i="81"/>
  <c r="L31" i="81"/>
  <c r="K31" i="81"/>
  <c r="U30" i="81"/>
  <c r="Y30" i="81" s="1"/>
  <c r="Z30" i="81" s="1"/>
  <c r="Q30" i="81"/>
  <c r="P30" i="81"/>
  <c r="K30" i="81"/>
  <c r="V29" i="81"/>
  <c r="P29" i="81"/>
  <c r="L29" i="81" s="1"/>
  <c r="K29" i="81"/>
  <c r="P28" i="81"/>
  <c r="L28" i="81" s="1"/>
  <c r="K28" i="81"/>
  <c r="AC27" i="81"/>
  <c r="V27" i="81"/>
  <c r="U27" i="81"/>
  <c r="Y27" i="81" s="1"/>
  <c r="P27" i="81"/>
  <c r="Q27" i="81" s="1"/>
  <c r="K27" i="81"/>
  <c r="U26" i="81"/>
  <c r="Y26" i="81" s="1"/>
  <c r="P26" i="81"/>
  <c r="Q26" i="81" s="1"/>
  <c r="K26" i="81"/>
  <c r="Z25" i="81"/>
  <c r="U25" i="81"/>
  <c r="V25" i="81" s="1"/>
  <c r="Q25" i="81"/>
  <c r="P25" i="81"/>
  <c r="K25" i="81"/>
  <c r="G14" i="81"/>
  <c r="G13" i="81"/>
  <c r="G12" i="81"/>
  <c r="G11" i="81"/>
  <c r="G10" i="81"/>
  <c r="G9" i="81"/>
  <c r="G8" i="81"/>
  <c r="G7" i="81"/>
  <c r="G6" i="81"/>
  <c r="I5" i="81"/>
  <c r="J5" i="81" s="1"/>
  <c r="G5" i="81"/>
  <c r="I4" i="81"/>
  <c r="J4" i="81" s="1"/>
  <c r="G4" i="81"/>
  <c r="E4" i="81"/>
  <c r="E4" i="81" a="1"/>
  <c r="C4" i="81"/>
  <c r="N3" i="81"/>
  <c r="I3" i="81"/>
  <c r="J3" i="81" s="1"/>
  <c r="G3" i="81"/>
  <c r="C3" i="81"/>
  <c r="N2" i="81"/>
  <c r="O2" i="81" s="1" a="1"/>
  <c r="O2" i="81" s="1"/>
  <c r="L2" i="81"/>
  <c r="J2" i="81"/>
  <c r="I2" i="81"/>
  <c r="G2" i="81"/>
  <c r="C2" i="81"/>
  <c r="O1" i="81" a="1"/>
  <c r="O1" i="81" s="1"/>
  <c r="N1" i="81"/>
  <c r="L1" i="81"/>
  <c r="I1" i="81"/>
  <c r="I16" i="81" s="1"/>
  <c r="G1" i="81"/>
  <c r="G16" i="81" s="1"/>
  <c r="E1" i="81" a="1"/>
  <c r="E1" i="81" s="1"/>
  <c r="C1" i="81"/>
  <c r="C16" i="81" s="1"/>
  <c r="E2" i="83"/>
  <c r="M19" i="89" l="1"/>
  <c r="C118" i="89" s="1"/>
  <c r="M18" i="89"/>
  <c r="B118" i="89" s="1"/>
  <c r="M18" i="85"/>
  <c r="B118" i="85" s="1"/>
  <c r="M19" i="85"/>
  <c r="C118" i="85" s="1"/>
  <c r="C74" i="86"/>
  <c r="D124" i="89"/>
  <c r="D125" i="89" s="1"/>
  <c r="H110" i="89"/>
  <c r="C74" i="85"/>
  <c r="D121" i="86"/>
  <c r="K120" i="86"/>
  <c r="C92" i="86"/>
  <c r="C94" i="86"/>
  <c r="A126" i="86"/>
  <c r="H110" i="86"/>
  <c r="C18" i="85"/>
  <c r="D18" i="85" s="1"/>
  <c r="C94" i="85"/>
  <c r="C92" i="85"/>
  <c r="D121" i="85"/>
  <c r="K120" i="85"/>
  <c r="A126" i="85"/>
  <c r="H109" i="85"/>
  <c r="P61" i="84"/>
  <c r="C40" i="83"/>
  <c r="C21" i="83"/>
  <c r="P61" i="82"/>
  <c r="Z27" i="81"/>
  <c r="AD27" i="81"/>
  <c r="L27" i="81"/>
  <c r="E2" i="81" a="1"/>
  <c r="E2" i="81" s="1"/>
  <c r="Z26" i="81"/>
  <c r="L26" i="81"/>
  <c r="E53" i="81" s="1"/>
  <c r="O3" i="81" a="1"/>
  <c r="O3" i="81" s="1"/>
  <c r="V26" i="81"/>
  <c r="Q28" i="81"/>
  <c r="Q29" i="81"/>
  <c r="E50" i="81"/>
  <c r="J1" i="81"/>
  <c r="U29" i="81"/>
  <c r="Y29" i="81" s="1"/>
  <c r="L30" i="81"/>
  <c r="V30" i="81"/>
  <c r="D124" i="85" l="1"/>
  <c r="D125" i="85" s="1"/>
  <c r="H110" i="85"/>
  <c r="E3" i="81" a="1"/>
  <c r="E3" i="81" s="1"/>
  <c r="E16" i="81" s="1"/>
  <c r="E54" i="81"/>
  <c r="E55" i="81"/>
  <c r="L4" i="81" s="1"/>
  <c r="V7" i="80"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7" i="79"/>
  <c r="AD36" i="79"/>
  <c r="AD38" i="79"/>
  <c r="AD35" i="79"/>
  <c r="AR40" i="79"/>
  <c r="AR41" i="79" s="1"/>
  <c r="AR42" i="79" s="1"/>
  <c r="AR43" i="79" s="1"/>
  <c r="AR44" i="79" s="1"/>
  <c r="AR45" i="79" s="1"/>
  <c r="AR46" i="79" s="1"/>
  <c r="AR47" i="79" s="1"/>
  <c r="AR48" i="79" s="1"/>
  <c r="AR49" i="79" s="1"/>
  <c r="AR50" i="79" s="1"/>
  <c r="AR51" i="79" s="1"/>
  <c r="AR52" i="79" s="1"/>
  <c r="Z3" i="79"/>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R29" i="31"/>
  <c r="S29" i="31" s="1"/>
  <c r="R30" i="31"/>
  <c r="S30" i="31" s="1"/>
  <c r="R31" i="31"/>
  <c r="S31" i="31" s="1"/>
  <c r="R32" i="31"/>
  <c r="S32" i="31" s="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R61" i="31"/>
  <c r="R62" i="31"/>
  <c r="S62" i="31" s="1"/>
  <c r="R63" i="31"/>
  <c r="S63" i="31" s="1"/>
  <c r="R64" i="31"/>
  <c r="S64" i="31" s="1"/>
  <c r="R65" i="31"/>
  <c r="R66" i="31"/>
  <c r="S66" i="31" s="1"/>
  <c r="R67" i="31"/>
  <c r="S67" i="31" s="1"/>
  <c r="R68" i="31"/>
  <c r="R69" i="31"/>
  <c r="R70" i="31"/>
  <c r="S70" i="31" s="1"/>
  <c r="R71" i="31"/>
  <c r="S71" i="31" s="1"/>
  <c r="R72" i="31"/>
  <c r="S72" i="31" s="1"/>
  <c r="R73" i="31"/>
  <c r="R74" i="31"/>
  <c r="S74" i="31" s="1"/>
  <c r="R75" i="31"/>
  <c r="S75" i="31" s="1"/>
  <c r="R76" i="31"/>
  <c r="R77" i="31"/>
  <c r="S77" i="31" s="1"/>
  <c r="R78" i="31"/>
  <c r="S78" i="31" s="1"/>
  <c r="R79" i="31"/>
  <c r="S79" i="31" s="1"/>
  <c r="R80" i="31"/>
  <c r="R81" i="31"/>
  <c r="S81" i="31" s="1"/>
  <c r="R82" i="31"/>
  <c r="S82" i="31" s="1"/>
  <c r="R83" i="31"/>
  <c r="S83" i="31" s="1"/>
  <c r="R84" i="31"/>
  <c r="S84" i="31" s="1"/>
  <c r="R85" i="31"/>
  <c r="S85" i="31" s="1"/>
  <c r="R86" i="31"/>
  <c r="S86" i="31" s="1"/>
  <c r="R87" i="31"/>
  <c r="S87" i="31" s="1"/>
  <c r="R88" i="31"/>
  <c r="R89" i="31"/>
  <c r="R90" i="31"/>
  <c r="S90" i="31" s="1"/>
  <c r="R91" i="31"/>
  <c r="S91" i="31" s="1"/>
  <c r="R92" i="31"/>
  <c r="S92" i="31" s="1"/>
  <c r="R93" i="31"/>
  <c r="R94" i="31"/>
  <c r="S94" i="31" s="1"/>
  <c r="R95" i="31"/>
  <c r="S95" i="31" s="1"/>
  <c r="R96" i="31"/>
  <c r="R97" i="31"/>
  <c r="R98" i="31"/>
  <c r="S98" i="31" s="1"/>
  <c r="R99" i="31"/>
  <c r="S99" i="31" s="1"/>
  <c r="R100" i="31"/>
  <c r="R101" i="31"/>
  <c r="S101" i="31" s="1"/>
  <c r="R102" i="31"/>
  <c r="S102" i="31" s="1"/>
  <c r="R103" i="31"/>
  <c r="S103" i="31" s="1"/>
  <c r="R104" i="31"/>
  <c r="R105" i="31"/>
  <c r="R106" i="31"/>
  <c r="S106" i="31" s="1"/>
  <c r="R107" i="31"/>
  <c r="S107" i="31" s="1"/>
  <c r="R108" i="31"/>
  <c r="R109" i="31"/>
  <c r="S109" i="31" s="1"/>
  <c r="R110" i="31"/>
  <c r="S110" i="31" s="1"/>
  <c r="R111" i="31"/>
  <c r="S111" i="31" s="1"/>
  <c r="R112" i="31"/>
  <c r="R113" i="3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R158" i="31"/>
  <c r="S158" i="31" s="1"/>
  <c r="R159" i="31"/>
  <c r="S159" i="31" s="1"/>
  <c r="R160" i="31"/>
  <c r="R161" i="31"/>
  <c r="S161" i="31" s="1"/>
  <c r="R162" i="31"/>
  <c r="S162" i="31" s="1"/>
  <c r="R163" i="31"/>
  <c r="S163" i="31" s="1"/>
  <c r="R164" i="31"/>
  <c r="R165" i="31"/>
  <c r="R166" i="31"/>
  <c r="S166" i="31" s="1"/>
  <c r="R167" i="31"/>
  <c r="S167" i="31" s="1"/>
  <c r="R168" i="31"/>
  <c r="S168" i="31" s="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R186" i="31"/>
  <c r="S186" i="31" s="1"/>
  <c r="R187" i="31"/>
  <c r="S187" i="31" s="1"/>
  <c r="R188" i="31"/>
  <c r="R189" i="31"/>
  <c r="S189" i="31" s="1"/>
  <c r="R190" i="31"/>
  <c r="S190" i="31" s="1"/>
  <c r="R191" i="31"/>
  <c r="S191" i="31" s="1"/>
  <c r="R192" i="31"/>
  <c r="R193" i="3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5" i="3" s="1"/>
  <c r="BS17" i="3"/>
  <c r="BR14" i="3"/>
  <c r="BR15" i="3"/>
  <c r="BR16" i="3"/>
  <c r="BR5" i="3" s="1"/>
  <c r="BR17" i="3"/>
  <c r="BT13" i="3"/>
  <c r="BT14" i="3"/>
  <c r="BT15" i="3"/>
  <c r="BT16" i="3"/>
  <c r="BT17" i="3"/>
  <c r="BM14" i="3"/>
  <c r="BM15" i="3"/>
  <c r="BM5" i="3" s="1"/>
  <c r="F29" i="6" s="1"/>
  <c r="BM16" i="3"/>
  <c r="BM17" i="3"/>
  <c r="BO13" i="3"/>
  <c r="BO14" i="3"/>
  <c r="BL14" i="3" s="1"/>
  <c r="BO15" i="3"/>
  <c r="BO16" i="3"/>
  <c r="BO17" i="3"/>
  <c r="BN13" i="3"/>
  <c r="BN14" i="3"/>
  <c r="BN15" i="3"/>
  <c r="BN16" i="3"/>
  <c r="BN17" i="3"/>
  <c r="BP13" i="3"/>
  <c r="BP14" i="3"/>
  <c r="BP15" i="3"/>
  <c r="BP16" i="3"/>
  <c r="BP5" i="3" s="1"/>
  <c r="G29" i="6" s="1"/>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A15" i="3" s="1"/>
  <c r="BC15" i="3"/>
  <c r="BD15" i="3"/>
  <c r="BE15" i="3"/>
  <c r="BF15" i="3"/>
  <c r="BG15" i="3"/>
  <c r="BH15" i="3"/>
  <c r="BI15" i="3"/>
  <c r="BJ15" i="3"/>
  <c r="BJ5" i="3" s="1"/>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68" i="31"/>
  <c r="S360" i="31"/>
  <c r="S352" i="31"/>
  <c r="S344" i="31"/>
  <c r="S336" i="31"/>
  <c r="S316" i="31"/>
  <c r="S308" i="31"/>
  <c r="S292" i="31"/>
  <c r="S288" i="31"/>
  <c r="S280" i="31"/>
  <c r="S276" i="31"/>
  <c r="S268" i="31"/>
  <c r="S264" i="31"/>
  <c r="S260" i="31"/>
  <c r="S252" i="31"/>
  <c r="S248" i="31"/>
  <c r="S244" i="31"/>
  <c r="S236" i="31"/>
  <c r="S232" i="31"/>
  <c r="S228" i="31"/>
  <c r="S221" i="31"/>
  <c r="S220" i="31"/>
  <c r="S216" i="31"/>
  <c r="S212" i="31"/>
  <c r="S204" i="31"/>
  <c r="S200" i="31"/>
  <c r="S196" i="31"/>
  <c r="S193" i="31"/>
  <c r="S192" i="31"/>
  <c r="S188" i="31"/>
  <c r="S185" i="31"/>
  <c r="S184" i="31"/>
  <c r="S180" i="31"/>
  <c r="S176" i="31"/>
  <c r="S172" i="31"/>
  <c r="S165" i="31"/>
  <c r="S164" i="31"/>
  <c r="S160" i="31"/>
  <c r="S157" i="31"/>
  <c r="S156" i="31"/>
  <c r="S152" i="31"/>
  <c r="S148" i="31"/>
  <c r="S140" i="31"/>
  <c r="S136" i="31"/>
  <c r="S132" i="31"/>
  <c r="S129" i="31"/>
  <c r="S128" i="31"/>
  <c r="S124" i="31"/>
  <c r="S497" i="31"/>
  <c r="S496" i="31"/>
  <c r="S485" i="31"/>
  <c r="S480" i="31"/>
  <c r="S441" i="31"/>
  <c r="S438" i="31"/>
  <c r="S120" i="31"/>
  <c r="S116" i="31"/>
  <c r="S113" i="31"/>
  <c r="S112" i="31"/>
  <c r="S461" i="31"/>
  <c r="S453" i="31"/>
  <c r="S52" i="31"/>
  <c r="S44" i="31"/>
  <c r="S40" i="31"/>
  <c r="S36" i="31"/>
  <c r="S76" i="31"/>
  <c r="S73" i="31"/>
  <c r="S69" i="31"/>
  <c r="S68" i="31"/>
  <c r="S65" i="31"/>
  <c r="S61" i="31"/>
  <c r="S60" i="31"/>
  <c r="S97" i="31"/>
  <c r="S96" i="31"/>
  <c r="S93" i="31"/>
  <c r="S89" i="31"/>
  <c r="S88" i="31"/>
  <c r="S80" i="31"/>
  <c r="S100" i="31"/>
  <c r="S104" i="31"/>
  <c r="S105" i="31"/>
  <c r="S108" i="31"/>
  <c r="S449"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AA41" i="21"/>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S31" i="35"/>
  <c r="F36" i="34"/>
  <c r="J35" i="34"/>
  <c r="W9" i="34"/>
  <c r="H39" i="33"/>
  <c r="AB39" i="33" s="1"/>
  <c r="F26" i="33"/>
  <c r="AA26" i="33"/>
  <c r="S40" i="33"/>
  <c r="W33" i="33"/>
  <c r="W39" i="33"/>
  <c r="S27" i="35"/>
  <c r="F11" i="40"/>
  <c r="AA11" i="40" s="1"/>
  <c r="H11" i="40"/>
  <c r="AB11" i="40" s="1"/>
  <c r="W8" i="40"/>
  <c r="AA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AB12" i="36"/>
  <c r="W32" i="40"/>
  <c r="S44" i="39"/>
  <c r="F37" i="39"/>
  <c r="AA37" i="39" s="1"/>
  <c r="U30" i="36"/>
  <c r="J30" i="35"/>
  <c r="W30" i="35" s="1"/>
  <c r="H30" i="35"/>
  <c r="AB30" i="35" s="1"/>
  <c r="F22" i="35"/>
  <c r="AA22" i="35"/>
  <c r="H10" i="35"/>
  <c r="U10" i="35" s="1"/>
  <c r="F33" i="36"/>
  <c r="AA33" i="36" s="1"/>
  <c r="W30" i="36"/>
  <c r="H16" i="36"/>
  <c r="AB16" i="36"/>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H14" i="21"/>
  <c r="U14" i="21"/>
  <c r="H28" i="21"/>
  <c r="AB28" i="21" s="1"/>
  <c r="F28" i="21"/>
  <c r="AA28" i="21" s="1"/>
  <c r="J28" i="21"/>
  <c r="H30" i="21"/>
  <c r="AB30" i="21" s="1"/>
  <c r="U30" i="21"/>
  <c r="F30" i="21"/>
  <c r="S30" i="21" s="1"/>
  <c r="J30" i="21"/>
  <c r="AC30" i="2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s="1"/>
  <c r="U46" i="33"/>
  <c r="J36" i="37"/>
  <c r="AC36" i="37"/>
  <c r="J10" i="36"/>
  <c r="AC10" i="36" s="1"/>
  <c r="AB26" i="33"/>
  <c r="W31" i="34"/>
  <c r="S11" i="36"/>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s="1"/>
  <c r="BA536" i="3"/>
  <c r="AZ536" i="3" s="1"/>
  <c r="BA534" i="3"/>
  <c r="AZ534" i="3"/>
  <c r="BA532" i="3"/>
  <c r="BA530" i="3"/>
  <c r="BA528" i="3"/>
  <c r="AZ528" i="3" s="1"/>
  <c r="BA526" i="3"/>
  <c r="AZ526" i="3" s="1"/>
  <c r="BA524" i="3"/>
  <c r="BA522" i="3"/>
  <c r="BA520" i="3"/>
  <c r="BA518" i="3"/>
  <c r="AZ518" i="3" s="1"/>
  <c r="BA516" i="3"/>
  <c r="AZ516" i="3" s="1"/>
  <c r="BA514" i="3"/>
  <c r="BA512" i="3"/>
  <c r="AZ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U14" i="40"/>
  <c r="W23" i="35"/>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AZ139" i="3" s="1"/>
  <c r="BL140" i="3"/>
  <c r="AZ140" i="3" s="1"/>
  <c r="G141" i="3"/>
  <c r="BA143" i="3"/>
  <c r="AZ143" i="3" s="1"/>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55" i="3"/>
  <c r="AZ67" i="3"/>
  <c r="AZ152" i="3"/>
  <c r="AZ168" i="3"/>
  <c r="AZ105"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BL311" i="3"/>
  <c r="AZ311" i="3" s="1"/>
  <c r="G312" i="3"/>
  <c r="BA314" i="3"/>
  <c r="AZ314" i="3"/>
  <c r="BL315" i="3"/>
  <c r="AZ315" i="3" s="1"/>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BL358" i="3"/>
  <c r="G359" i="3"/>
  <c r="BA361" i="3"/>
  <c r="BL362" i="3"/>
  <c r="AZ362" i="3" s="1"/>
  <c r="G363" i="3"/>
  <c r="BA365" i="3"/>
  <c r="BL366" i="3"/>
  <c r="AZ366" i="3" s="1"/>
  <c r="G367" i="3"/>
  <c r="BA369" i="3"/>
  <c r="AZ369" i="3"/>
  <c r="BL370" i="3"/>
  <c r="G371" i="3"/>
  <c r="BA373" i="3"/>
  <c r="AZ373" i="3"/>
  <c r="BL374" i="3"/>
  <c r="G375" i="3"/>
  <c r="BA377" i="3"/>
  <c r="AZ245" i="3"/>
  <c r="AZ269" i="3"/>
  <c r="BA379" i="3"/>
  <c r="AZ379" i="3" s="1"/>
  <c r="BL380" i="3"/>
  <c r="G381" i="3"/>
  <c r="BA383" i="3"/>
  <c r="AZ383" i="3" s="1"/>
  <c r="BL384" i="3"/>
  <c r="G385" i="3"/>
  <c r="BA387" i="3"/>
  <c r="AZ387" i="3" s="1"/>
  <c r="BL388" i="3"/>
  <c r="G389" i="3"/>
  <c r="BA391" i="3"/>
  <c r="BL392" i="3"/>
  <c r="AZ392" i="3" s="1"/>
  <c r="G393" i="3"/>
  <c r="BO5" i="3"/>
  <c r="BF5" i="3"/>
  <c r="AZ325" i="3"/>
  <c r="AC5" i="3"/>
  <c r="AZ506" i="3"/>
  <c r="AZ496" i="3"/>
  <c r="G548" i="3"/>
  <c r="G538" i="3"/>
  <c r="G520" i="3"/>
  <c r="G502" i="3"/>
  <c r="BN5" i="3"/>
  <c r="BK5" i="3"/>
  <c r="BI5" i="3"/>
  <c r="BG5" i="3"/>
  <c r="BE5" i="3"/>
  <c r="BC5" i="3"/>
  <c r="G17" i="3"/>
  <c r="BA17" i="3"/>
  <c r="BT5" i="3"/>
  <c r="AZ356"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271" i="3"/>
  <c r="AZ82"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K6" i="1"/>
  <c r="AP6" i="1" s="1"/>
  <c r="AC26" i="33"/>
  <c r="W26" i="33"/>
  <c r="W27" i="34"/>
  <c r="AC27" i="34"/>
  <c r="AB34" i="36"/>
  <c r="U34" i="36"/>
  <c r="AB33" i="36"/>
  <c r="U33" i="36"/>
  <c r="AC12" i="39"/>
  <c r="W12" i="39"/>
  <c r="AC39" i="40"/>
  <c r="W39" i="40"/>
  <c r="W12" i="33"/>
  <c r="AC12" i="33"/>
  <c r="AA32" i="36"/>
  <c r="S32" i="36"/>
  <c r="AZ473" i="3"/>
  <c r="U30" i="33"/>
  <c r="AC13" i="34"/>
  <c r="AA47" i="34"/>
  <c r="W28" i="37"/>
  <c r="S19" i="39"/>
  <c r="F12" i="33"/>
  <c r="H12" i="39"/>
  <c r="AB12" i="39"/>
  <c r="F39" i="40"/>
  <c r="BA14" i="3"/>
  <c r="AZ254" i="3"/>
  <c r="AZ286"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AA19"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H19" i="33"/>
  <c r="U19" i="33" s="1"/>
  <c r="G81" i="33"/>
  <c r="H17" i="33"/>
  <c r="U17" i="33" s="1"/>
  <c r="F17" i="33"/>
  <c r="S17" i="33" s="1"/>
  <c r="W17" i="33"/>
  <c r="AC17" i="33"/>
  <c r="J23" i="21"/>
  <c r="F85" i="21"/>
  <c r="G85" i="21" s="1"/>
  <c r="H23" i="21"/>
  <c r="U23" i="21" s="1"/>
  <c r="S13" i="21"/>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AO13" i="1"/>
  <c r="F4" i="73"/>
  <c r="F5" i="73"/>
  <c r="B9" i="76"/>
  <c r="E13" i="76"/>
  <c r="B8" i="76"/>
  <c r="D6" i="73"/>
  <c r="F7" i="73"/>
  <c r="F6" i="73"/>
  <c r="B11" i="76"/>
  <c r="E10" i="76"/>
  <c r="F3" i="73"/>
  <c r="B13" i="76"/>
  <c r="E2" i="69"/>
  <c r="E11" i="76"/>
  <c r="E9" i="76"/>
  <c r="B12" i="76"/>
  <c r="B10" i="76"/>
  <c r="F20" i="31"/>
  <c r="E8" i="76"/>
  <c r="E7" i="76"/>
  <c r="E12" i="76"/>
  <c r="E2" i="68"/>
  <c r="B7" i="76"/>
  <c r="G1" i="87" l="1"/>
  <c r="G1" i="83"/>
  <c r="G1" i="82"/>
  <c r="G1" i="84"/>
  <c r="C51" i="10"/>
  <c r="A13" i="51" s="1"/>
  <c r="B11" i="72" s="1"/>
  <c r="A118" i="85"/>
  <c r="A2" i="85"/>
  <c r="D52" i="43"/>
  <c r="B56" i="43"/>
  <c r="C15" i="39"/>
  <c r="B57" i="43"/>
  <c r="B51" i="43"/>
  <c r="C29" i="39"/>
  <c r="C40" i="11"/>
  <c r="C21" i="68"/>
  <c r="E19" i="11"/>
  <c r="E19" i="68"/>
  <c r="G22" i="68"/>
  <c r="G22" i="69"/>
  <c r="G22" i="11"/>
  <c r="E1" i="73"/>
  <c r="F6" i="1"/>
  <c r="G1" i="69"/>
  <c r="K7" i="1"/>
  <c r="M7" i="1" s="1"/>
  <c r="O7" i="1" s="1"/>
  <c r="P7" i="1" s="1"/>
  <c r="K1" i="12"/>
  <c r="G1" i="67"/>
  <c r="G1" i="68"/>
  <c r="G1" i="15"/>
  <c r="K8" i="1"/>
  <c r="M8" i="1" s="1"/>
  <c r="O8" i="1" s="1"/>
  <c r="P8" i="1" s="1"/>
  <c r="BL16" i="3"/>
  <c r="AZ16" i="3" s="1"/>
  <c r="BA13" i="3"/>
  <c r="BB5" i="3"/>
  <c r="AZ529" i="3"/>
  <c r="AZ537" i="3"/>
  <c r="AB34" i="35"/>
  <c r="U34" i="35"/>
  <c r="AB36" i="33"/>
  <c r="W32" i="39"/>
  <c r="AA19" i="33"/>
  <c r="AC15" i="21"/>
  <c r="AZ391" i="3"/>
  <c r="AZ364" i="3"/>
  <c r="AZ329" i="3"/>
  <c r="AZ304" i="3"/>
  <c r="AZ306" i="3"/>
  <c r="AZ535" i="3"/>
  <c r="AZ557" i="3"/>
  <c r="AZ513" i="3"/>
  <c r="AZ575" i="3"/>
  <c r="AA44" i="33"/>
  <c r="W11" i="35"/>
  <c r="AC11" i="35"/>
  <c r="W28" i="21"/>
  <c r="AC28" i="21"/>
  <c r="AA41" i="33"/>
  <c r="S41" i="33"/>
  <c r="AB19" i="33"/>
  <c r="AB15" i="21"/>
  <c r="AA23" i="21"/>
  <c r="AA17" i="33"/>
  <c r="AZ357" i="3"/>
  <c r="AZ322" i="3"/>
  <c r="AZ313" i="3"/>
  <c r="AZ394" i="3"/>
  <c r="AZ519" i="3"/>
  <c r="AZ531" i="3"/>
  <c r="AZ573" i="3"/>
  <c r="AZ583" i="3"/>
  <c r="AZ564" i="3"/>
  <c r="AZ580" i="3"/>
  <c r="S45" i="33"/>
  <c r="AA14" i="37"/>
  <c r="S37" i="21"/>
  <c r="D6" i="52"/>
  <c r="AA23" i="37"/>
  <c r="AZ14" i="3"/>
  <c r="AZ347" i="3"/>
  <c r="AA11" i="39"/>
  <c r="AZ571" i="3"/>
  <c r="AZ579" i="3"/>
  <c r="AZ532" i="3"/>
  <c r="AZ566" i="3"/>
  <c r="AZ582" i="3"/>
  <c r="AA14" i="33"/>
  <c r="C25" i="39"/>
  <c r="U9" i="40"/>
  <c r="U33" i="33"/>
  <c r="U34" i="34"/>
  <c r="W31" i="37"/>
  <c r="U9" i="39"/>
  <c r="J9" i="33"/>
  <c r="J12" i="35"/>
  <c r="G552" i="3"/>
  <c r="B97" i="43"/>
  <c r="B75" i="43"/>
  <c r="AC28" i="36"/>
  <c r="W28" i="36"/>
  <c r="J39" i="37"/>
  <c r="H39" i="37"/>
  <c r="H45" i="39"/>
  <c r="J45" i="39"/>
  <c r="W45" i="39" s="1"/>
  <c r="J38" i="40"/>
  <c r="BA551" i="3"/>
  <c r="AZ551" i="3" s="1"/>
  <c r="BA550" i="3"/>
  <c r="BL548" i="3"/>
  <c r="AZ548" i="3" s="1"/>
  <c r="AZ524" i="3"/>
  <c r="AB23" i="34"/>
  <c r="J34" i="36"/>
  <c r="W34" i="36" s="1"/>
  <c r="S40" i="39"/>
  <c r="U38" i="40"/>
  <c r="AB39" i="40"/>
  <c r="F39" i="37"/>
  <c r="S39" i="37" s="1"/>
  <c r="F45" i="39"/>
  <c r="BL587" i="3"/>
  <c r="AZ587" i="3" s="1"/>
  <c r="BL586" i="3"/>
  <c r="AZ586" i="3" s="1"/>
  <c r="B79" i="43"/>
  <c r="AB35" i="33"/>
  <c r="U35" i="33"/>
  <c r="H23" i="35"/>
  <c r="AC22" i="35"/>
  <c r="W22" i="35"/>
  <c r="J9" i="36"/>
  <c r="F38" i="40"/>
  <c r="J36" i="35"/>
  <c r="AC36" i="35" s="1"/>
  <c r="J24" i="36"/>
  <c r="H24" i="36"/>
  <c r="W31" i="35"/>
  <c r="AC31" i="35"/>
  <c r="BL550" i="3"/>
  <c r="AZ443" i="3"/>
  <c r="BL585" i="3"/>
  <c r="AZ585" i="3" s="1"/>
  <c r="G558" i="3"/>
  <c r="BL398" i="3"/>
  <c r="G402" i="3"/>
  <c r="BL403" i="3"/>
  <c r="G405" i="3"/>
  <c r="G406" i="3"/>
  <c r="BA408" i="3"/>
  <c r="AZ408" i="3" s="1"/>
  <c r="BA409" i="3"/>
  <c r="AZ409" i="3" s="1"/>
  <c r="BA411" i="3"/>
  <c r="BL414" i="3"/>
  <c r="BL415" i="3"/>
  <c r="BA417" i="3"/>
  <c r="BL421" i="3"/>
  <c r="BL422" i="3"/>
  <c r="BL425" i="3"/>
  <c r="BL426" i="3"/>
  <c r="BA428" i="3"/>
  <c r="BA429" i="3"/>
  <c r="AZ429" i="3" s="1"/>
  <c r="BA430" i="3"/>
  <c r="AZ430" i="3" s="1"/>
  <c r="BA432" i="3"/>
  <c r="BA434" i="3"/>
  <c r="BA436" i="3"/>
  <c r="BA438" i="3"/>
  <c r="G442" i="3"/>
  <c r="BA446" i="3"/>
  <c r="BA450" i="3"/>
  <c r="BA453" i="3"/>
  <c r="BA455" i="3"/>
  <c r="AZ455" i="3" s="1"/>
  <c r="BL457" i="3"/>
  <c r="BL460" i="3"/>
  <c r="BL461" i="3"/>
  <c r="BL463" i="3"/>
  <c r="G465" i="3"/>
  <c r="BA471" i="3"/>
  <c r="AZ471" i="3" s="1"/>
  <c r="G486" i="3"/>
  <c r="G488" i="3"/>
  <c r="BL317" i="3"/>
  <c r="G318" i="3"/>
  <c r="BA353" i="3"/>
  <c r="AZ353" i="3" s="1"/>
  <c r="BL353" i="3"/>
  <c r="BL15" i="3"/>
  <c r="AZ15" i="3" s="1"/>
  <c r="BA398" i="3"/>
  <c r="AZ398" i="3" s="1"/>
  <c r="BA399" i="3"/>
  <c r="AZ399" i="3" s="1"/>
  <c r="BL401" i="3"/>
  <c r="AZ401" i="3" s="1"/>
  <c r="BL404" i="3"/>
  <c r="BL405" i="3"/>
  <c r="AZ405" i="3" s="1"/>
  <c r="BL407" i="3"/>
  <c r="AZ407" i="3" s="1"/>
  <c r="BA412" i="3"/>
  <c r="AZ412" i="3" s="1"/>
  <c r="BA414" i="3"/>
  <c r="BA415" i="3"/>
  <c r="AZ415" i="3" s="1"/>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AZ448" i="3" s="1"/>
  <c r="G450" i="3"/>
  <c r="BA454" i="3"/>
  <c r="BA457" i="3"/>
  <c r="AZ457" i="3" s="1"/>
  <c r="BA459" i="3"/>
  <c r="AZ459" i="3" s="1"/>
  <c r="BA460" i="3"/>
  <c r="BA461" i="3"/>
  <c r="BL464" i="3"/>
  <c r="BL466" i="3"/>
  <c r="G468" i="3"/>
  <c r="BL476" i="3"/>
  <c r="AZ483" i="3"/>
  <c r="BA486" i="3"/>
  <c r="BL489" i="3"/>
  <c r="BA333" i="3"/>
  <c r="BL346" i="3"/>
  <c r="AZ346" i="3" s="1"/>
  <c r="BA368" i="3"/>
  <c r="AZ368" i="3" s="1"/>
  <c r="AZ403" i="3"/>
  <c r="AZ404" i="3"/>
  <c r="AZ419" i="3"/>
  <c r="AZ422" i="3"/>
  <c r="AZ444" i="3"/>
  <c r="AZ464" i="3"/>
  <c r="AZ466" i="3"/>
  <c r="AZ476" i="3"/>
  <c r="BA482" i="3"/>
  <c r="BA484" i="3"/>
  <c r="AZ484" i="3" s="1"/>
  <c r="BA303" i="3"/>
  <c r="AZ303" i="3" s="1"/>
  <c r="BA307" i="3"/>
  <c r="AZ307" i="3" s="1"/>
  <c r="BA332" i="3"/>
  <c r="BL332" i="3"/>
  <c r="BL365" i="3"/>
  <c r="AZ365"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58" i="3"/>
  <c r="AZ358"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L300" i="3"/>
  <c r="AZ201"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301" i="3"/>
  <c r="BL302" i="3"/>
  <c r="AZ302" i="3" s="1"/>
  <c r="BA239" i="3"/>
  <c r="AZ239" i="3" s="1"/>
  <c r="BL239" i="3"/>
  <c r="BA241" i="3"/>
  <c r="BL241" i="3"/>
  <c r="BA244" i="3"/>
  <c r="AZ244" i="3" s="1"/>
  <c r="BL244" i="3"/>
  <c r="BA246" i="3"/>
  <c r="BA268" i="3"/>
  <c r="BL273" i="3"/>
  <c r="G274" i="3"/>
  <c r="BA277" i="3"/>
  <c r="BL277" i="3"/>
  <c r="BA282" i="3"/>
  <c r="AZ282" i="3" s="1"/>
  <c r="BL282" i="3"/>
  <c r="BA284" i="3"/>
  <c r="AZ284" i="3" s="1"/>
  <c r="BL290" i="3"/>
  <c r="BL291" i="3"/>
  <c r="AZ291" i="3" s="1"/>
  <c r="BL293" i="3"/>
  <c r="BL294" i="3"/>
  <c r="BA297" i="3"/>
  <c r="AZ297" i="3" s="1"/>
  <c r="BL297"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96" i="3"/>
  <c r="AZ301" i="3"/>
  <c r="BA116" i="3"/>
  <c r="AZ116" i="3" s="1"/>
  <c r="BL130" i="3"/>
  <c r="AZ130" i="3" s="1"/>
  <c r="BL138" i="3"/>
  <c r="BA142" i="3"/>
  <c r="BA27" i="3"/>
  <c r="BL30" i="3"/>
  <c r="G37" i="3"/>
  <c r="BL40" i="3"/>
  <c r="BL41" i="3"/>
  <c r="AZ41" i="3" s="1"/>
  <c r="BL45" i="3"/>
  <c r="BA48" i="3"/>
  <c r="BA49" i="3"/>
  <c r="BA51" i="3"/>
  <c r="AZ51" i="3" s="1"/>
  <c r="G55" i="3"/>
  <c r="BL56" i="3"/>
  <c r="BA58" i="3"/>
  <c r="BL59" i="3"/>
  <c r="AZ59" i="3" s="1"/>
  <c r="BL60" i="3"/>
  <c r="BA61" i="3"/>
  <c r="BA68" i="3"/>
  <c r="BA98" i="3"/>
  <c r="BL100" i="3"/>
  <c r="BA121" i="3"/>
  <c r="AZ121" i="3" s="1"/>
  <c r="BL121" i="3"/>
  <c r="BA124" i="3"/>
  <c r="AZ124" i="3" s="1"/>
  <c r="BA126" i="3"/>
  <c r="AZ126" i="3" s="1"/>
  <c r="BA129" i="3"/>
  <c r="BL133" i="3"/>
  <c r="AZ133" i="3" s="1"/>
  <c r="BL141" i="3"/>
  <c r="BL157" i="3"/>
  <c r="AZ157" i="3" s="1"/>
  <c r="BL159" i="3"/>
  <c r="AZ159" i="3" s="1"/>
  <c r="BL177" i="3"/>
  <c r="AZ177" i="3" s="1"/>
  <c r="BL183" i="3"/>
  <c r="AZ183" i="3" s="1"/>
  <c r="BA186" i="3"/>
  <c r="AZ186" i="3" s="1"/>
  <c r="BA190" i="3"/>
  <c r="G196" i="3"/>
  <c r="BA197" i="3"/>
  <c r="BL201" i="3"/>
  <c r="BL203" i="3"/>
  <c r="AZ203" i="3" s="1"/>
  <c r="BA204" i="3"/>
  <c r="AZ204" i="3" s="1"/>
  <c r="BA18" i="3"/>
  <c r="G21" i="3"/>
  <c r="BL21" i="3"/>
  <c r="G23" i="3"/>
  <c r="G29" i="3"/>
  <c r="BL29" i="3"/>
  <c r="G33" i="3"/>
  <c r="G34" i="3"/>
  <c r="BA37" i="3"/>
  <c r="G39" i="3"/>
  <c r="BL39" i="3"/>
  <c r="AZ39" i="3" s="1"/>
  <c r="G43" i="3"/>
  <c r="G44" i="3"/>
  <c r="BA45" i="3"/>
  <c r="AZ45" i="3" s="1"/>
  <c r="BA46" i="3"/>
  <c r="BL49" i="3"/>
  <c r="BL50" i="3"/>
  <c r="AZ50" i="3" s="1"/>
  <c r="BL51" i="3"/>
  <c r="G53" i="3"/>
  <c r="BL53" i="3"/>
  <c r="BA56" i="3"/>
  <c r="BA57" i="3"/>
  <c r="BL58" i="3"/>
  <c r="G60" i="3"/>
  <c r="BA60" i="3"/>
  <c r="BA63" i="3"/>
  <c r="AZ63" i="3" s="1"/>
  <c r="BA66" i="3"/>
  <c r="AZ66" i="3" s="1"/>
  <c r="BL69" i="3"/>
  <c r="G70" i="3"/>
  <c r="BL70" i="3"/>
  <c r="AZ70" i="3" s="1"/>
  <c r="BL71" i="3"/>
  <c r="BL99" i="3"/>
  <c r="C44" i="71"/>
  <c r="D43" i="71"/>
  <c r="V24" i="71"/>
  <c r="E23" i="71"/>
  <c r="E22" i="71" s="1"/>
  <c r="E21" i="71" s="1"/>
  <c r="E20" i="71" s="1"/>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BA205" i="3"/>
  <c r="AZ205" i="3" s="1"/>
  <c r="BL20" i="3"/>
  <c r="BA21" i="3"/>
  <c r="AZ21" i="3" s="1"/>
  <c r="BA25" i="3"/>
  <c r="BA29" i="3"/>
  <c r="BL47" i="3"/>
  <c r="AZ47" i="3" s="1"/>
  <c r="BA52" i="3"/>
  <c r="AZ52" i="3" s="1"/>
  <c r="BA53" i="3"/>
  <c r="AZ53" i="3" s="1"/>
  <c r="BA54" i="3"/>
  <c r="BL57" i="3"/>
  <c r="BL62" i="3"/>
  <c r="BA72" i="3"/>
  <c r="AZ72" i="3" s="1"/>
  <c r="BA73" i="3"/>
  <c r="BA80" i="3"/>
  <c r="BL84" i="3"/>
  <c r="BA90" i="3"/>
  <c r="BL94" i="3"/>
  <c r="AZ94" i="3" s="1"/>
  <c r="C47" i="71"/>
  <c r="D47" i="71" s="1"/>
  <c r="D46" i="71"/>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BA28" i="3"/>
  <c r="AZ28" i="3" s="1"/>
  <c r="BA31" i="3"/>
  <c r="AZ31" i="3" s="1"/>
  <c r="BA32" i="3"/>
  <c r="G38" i="3"/>
  <c r="BA38" i="3"/>
  <c r="AZ38" i="3" s="1"/>
  <c r="BL48" i="3"/>
  <c r="BL61" i="3"/>
  <c r="AZ62" i="3"/>
  <c r="G64" i="3"/>
  <c r="BA64" i="3"/>
  <c r="AZ64" i="3" s="1"/>
  <c r="G67" i="3"/>
  <c r="BL68" i="3"/>
  <c r="BA69" i="3"/>
  <c r="AZ69" i="3" s="1"/>
  <c r="AZ100" i="3"/>
  <c r="D31" i="71"/>
  <c r="C32" i="71"/>
  <c r="C52" i="71"/>
  <c r="D51" i="71"/>
  <c r="C55" i="71"/>
  <c r="D54" i="71"/>
  <c r="C60" i="71"/>
  <c r="D59" i="71"/>
  <c r="N67" i="71"/>
  <c r="B66" i="71"/>
  <c r="F66" i="71"/>
  <c r="Q67"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C36" i="87"/>
  <c r="D9" i="87"/>
  <c r="F27" i="87"/>
  <c r="C36" i="83"/>
  <c r="D9" i="83"/>
  <c r="F27" i="83"/>
  <c r="F6" i="82"/>
  <c r="M29" i="82"/>
  <c r="F26" i="82"/>
  <c r="M27" i="82"/>
  <c r="F37" i="82"/>
  <c r="F36" i="82"/>
  <c r="F8" i="82"/>
  <c r="L48" i="82"/>
  <c r="M8" i="82"/>
  <c r="L47" i="82"/>
  <c r="M24" i="82"/>
  <c r="M6" i="82"/>
  <c r="M23" i="82"/>
  <c r="F16" i="82"/>
  <c r="F38" i="82"/>
  <c r="F42" i="82"/>
  <c r="M26" i="82"/>
  <c r="J15" i="82"/>
  <c r="F13" i="82"/>
  <c r="M28" i="82"/>
  <c r="M22" i="82"/>
  <c r="F40" i="82"/>
  <c r="M9" i="82"/>
  <c r="F43" i="82"/>
  <c r="F7" i="82"/>
  <c r="C76" i="82"/>
  <c r="F9" i="82"/>
  <c r="F42" i="84"/>
  <c r="M8" i="84"/>
  <c r="F26" i="84"/>
  <c r="M23" i="84"/>
  <c r="M29" i="84"/>
  <c r="M26" i="84"/>
  <c r="M24" i="84"/>
  <c r="M28" i="84"/>
  <c r="F43" i="84"/>
  <c r="M9" i="84"/>
  <c r="F40" i="84"/>
  <c r="F8" i="84"/>
  <c r="M6" i="84"/>
  <c r="M27" i="84"/>
  <c r="L48" i="84"/>
  <c r="F6" i="84"/>
  <c r="M22" i="84"/>
  <c r="F38" i="84"/>
  <c r="F16" i="84"/>
  <c r="F13" i="84"/>
  <c r="F9" i="84"/>
  <c r="F7" i="84"/>
  <c r="J15" i="84"/>
  <c r="F36" i="84"/>
  <c r="F37" i="84"/>
  <c r="L47" i="84"/>
  <c r="C76" i="84"/>
  <c r="D9" i="69"/>
  <c r="F8" i="15"/>
  <c r="M8" i="15"/>
  <c r="M26" i="67"/>
  <c r="M8" i="67"/>
  <c r="F13" i="15"/>
  <c r="L48" i="67"/>
  <c r="M6" i="67"/>
  <c r="F42" i="15"/>
  <c r="F36" i="67"/>
  <c r="M28" i="67"/>
  <c r="F16" i="67"/>
  <c r="F7" i="67"/>
  <c r="F13" i="67"/>
  <c r="M22" i="67"/>
  <c r="C76" i="67"/>
  <c r="F38" i="67"/>
  <c r="M28" i="15"/>
  <c r="J15" i="67"/>
  <c r="M9" i="67"/>
  <c r="D7" i="73"/>
  <c r="L48" i="15"/>
  <c r="F7" i="15"/>
  <c r="F16" i="15"/>
  <c r="D4" i="73"/>
  <c r="D5" i="73"/>
  <c r="J15" i="15"/>
  <c r="F9" i="15"/>
  <c r="F40" i="67"/>
  <c r="F26" i="67"/>
  <c r="C76" i="15"/>
  <c r="F8" i="67"/>
  <c r="M23" i="15"/>
  <c r="F38" i="15"/>
  <c r="M9" i="15"/>
  <c r="M29" i="15"/>
  <c r="M23" i="67"/>
  <c r="F42" i="67"/>
  <c r="F26" i="15"/>
  <c r="F43" i="67"/>
  <c r="M6" i="15"/>
  <c r="M26" i="15"/>
  <c r="M24" i="67"/>
  <c r="F37" i="67"/>
  <c r="M22" i="15"/>
  <c r="M29" i="67"/>
  <c r="F40" i="15"/>
  <c r="D3" i="73"/>
  <c r="F36" i="15"/>
  <c r="F6" i="67"/>
  <c r="F43" i="15"/>
  <c r="M24" i="15"/>
  <c r="F6" i="15"/>
  <c r="F9" i="67"/>
  <c r="F37" i="15"/>
  <c r="L47" i="67"/>
  <c r="L47" i="15"/>
  <c r="C16" i="82"/>
  <c r="C16" i="84"/>
  <c r="Q71" i="84" l="1"/>
  <c r="L58" i="84"/>
  <c r="M59" i="84"/>
  <c r="L59" i="84"/>
  <c r="N59" i="84"/>
  <c r="F65" i="84"/>
  <c r="F64" i="84"/>
  <c r="M7" i="84"/>
  <c r="J6" i="84" s="1"/>
  <c r="F50" i="84"/>
  <c r="F66" i="84"/>
  <c r="C6" i="84"/>
  <c r="I54" i="84"/>
  <c r="L57" i="84"/>
  <c r="J57" i="84"/>
  <c r="J55" i="84" s="1"/>
  <c r="J58" i="84" s="1"/>
  <c r="Q50" i="84" s="1"/>
  <c r="L56" i="84"/>
  <c r="J53" i="84"/>
  <c r="L60" i="84"/>
  <c r="F51" i="84"/>
  <c r="C49" i="84" s="1"/>
  <c r="C61" i="84" s="1"/>
  <c r="F68" i="84"/>
  <c r="F71" i="84"/>
  <c r="C27" i="84"/>
  <c r="Q71" i="82"/>
  <c r="M7" i="82"/>
  <c r="F50" i="82"/>
  <c r="F71" i="82"/>
  <c r="F68" i="82"/>
  <c r="F66" i="82"/>
  <c r="J6" i="82"/>
  <c r="L58" i="82"/>
  <c r="M59" i="82"/>
  <c r="L59" i="82"/>
  <c r="N59" i="82"/>
  <c r="I54" i="82"/>
  <c r="L57" i="82"/>
  <c r="J57" i="82"/>
  <c r="J55" i="82" s="1"/>
  <c r="J58" i="82" s="1"/>
  <c r="Q50" i="82" s="1"/>
  <c r="L56" i="82"/>
  <c r="L60" i="82"/>
  <c r="J53" i="82"/>
  <c r="F51" i="82"/>
  <c r="F64" i="82"/>
  <c r="F65" i="82"/>
  <c r="C27" i="82"/>
  <c r="C6" i="82"/>
  <c r="F45" i="83"/>
  <c r="C29" i="83"/>
  <c r="D27" i="83" s="1"/>
  <c r="C47" i="83"/>
  <c r="D45" i="83" s="1"/>
  <c r="C9" i="83"/>
  <c r="F45" i="87"/>
  <c r="C29" i="87"/>
  <c r="D27" i="87" s="1"/>
  <c r="C47" i="87"/>
  <c r="D45" i="87" s="1"/>
  <c r="C9" i="87"/>
  <c r="M11" i="84"/>
  <c r="J10" i="84" s="1"/>
  <c r="J5" i="84" s="1"/>
  <c r="F11" i="84"/>
  <c r="M11" i="82"/>
  <c r="J10" i="82" s="1"/>
  <c r="F11" i="82"/>
  <c r="J7" i="36"/>
  <c r="AC7" i="36" s="1"/>
  <c r="V36" i="36" s="1"/>
  <c r="I36" i="36" s="1"/>
  <c r="I24" i="43"/>
  <c r="C24" i="43" s="1"/>
  <c r="J57" i="15"/>
  <c r="J55" i="15" s="1"/>
  <c r="J58" i="15" s="1"/>
  <c r="Q50" i="15" s="1"/>
  <c r="J53" i="15"/>
  <c r="L56" i="15" s="1"/>
  <c r="I54" i="15"/>
  <c r="F71" i="15"/>
  <c r="C6" i="15"/>
  <c r="C32" i="15" s="1"/>
  <c r="F64" i="15"/>
  <c r="F68" i="15"/>
  <c r="F66" i="15"/>
  <c r="F51" i="15"/>
  <c r="C27" i="15"/>
  <c r="F65" i="15"/>
  <c r="L59" i="15"/>
  <c r="Q74" i="15" s="1"/>
  <c r="M59" i="15"/>
  <c r="N59" i="15"/>
  <c r="L58" i="15"/>
  <c r="Q60" i="15" s="1"/>
  <c r="F50" i="15"/>
  <c r="M7" i="15"/>
  <c r="J6" i="15" s="1"/>
  <c r="J18" i="15" s="1"/>
  <c r="Q71" i="15"/>
  <c r="F51" i="67"/>
  <c r="F65" i="67"/>
  <c r="L56" i="67"/>
  <c r="J53" i="67"/>
  <c r="F1" i="67" s="1"/>
  <c r="J57" i="67"/>
  <c r="J55" i="67" s="1"/>
  <c r="J58" i="67" s="1"/>
  <c r="Q50" i="67" s="1"/>
  <c r="I54" i="67"/>
  <c r="F66" i="67"/>
  <c r="F68" i="67"/>
  <c r="L59" i="67"/>
  <c r="Q61" i="67" s="1"/>
  <c r="N59" i="67"/>
  <c r="L58" i="67"/>
  <c r="Q73" i="67" s="1"/>
  <c r="M59" i="67"/>
  <c r="H16" i="1"/>
  <c r="Q16" i="1"/>
  <c r="P6" i="1"/>
  <c r="C13" i="12" s="1"/>
  <c r="E28" i="6"/>
  <c r="K14" i="1" s="1"/>
  <c r="K16" i="1" s="1"/>
  <c r="N370" i="46"/>
  <c r="E59" i="40"/>
  <c r="N94" i="46"/>
  <c r="J26" i="43"/>
  <c r="G26" i="43"/>
  <c r="F26" i="43"/>
  <c r="E26" i="43"/>
  <c r="F31" i="67"/>
  <c r="C6" i="67"/>
  <c r="C32" i="67" s="1"/>
  <c r="F71" i="67"/>
  <c r="Q71" i="67"/>
  <c r="F64" i="67"/>
  <c r="M7" i="67"/>
  <c r="J6" i="67" s="1"/>
  <c r="J18" i="67" s="1"/>
  <c r="F50" i="67"/>
  <c r="F59" i="67" s="1"/>
  <c r="C27" i="67"/>
  <c r="C70" i="71"/>
  <c r="D70" i="71" s="1"/>
  <c r="D71" i="71"/>
  <c r="AZ20" i="3"/>
  <c r="AZ57" i="3"/>
  <c r="AZ460" i="3"/>
  <c r="AZ435" i="3"/>
  <c r="AZ453" i="3"/>
  <c r="AB24" i="36"/>
  <c r="U24" i="36"/>
  <c r="AA38" i="40"/>
  <c r="S38" i="40"/>
  <c r="U23" i="35"/>
  <c r="AB23" i="35"/>
  <c r="AB39" i="37"/>
  <c r="U39" i="37"/>
  <c r="W12" i="35"/>
  <c r="AC12" i="35"/>
  <c r="T28" i="71"/>
  <c r="D28" i="71"/>
  <c r="U28" i="71" s="1"/>
  <c r="C27" i="71"/>
  <c r="D79" i="71"/>
  <c r="C78" i="71"/>
  <c r="D78" i="71" s="1"/>
  <c r="D60" i="71"/>
  <c r="T60" i="71"/>
  <c r="T52" i="71"/>
  <c r="D52" i="71"/>
  <c r="D44" i="71"/>
  <c r="T44" i="71"/>
  <c r="AZ197" i="3"/>
  <c r="AC24" i="36"/>
  <c r="W24" i="36"/>
  <c r="AC9" i="36"/>
  <c r="W9" i="36"/>
  <c r="AC38" i="40"/>
  <c r="W38" i="40"/>
  <c r="AC39" i="37"/>
  <c r="W39" i="37"/>
  <c r="AC9" i="33"/>
  <c r="W9" i="33"/>
  <c r="G5" i="3"/>
  <c r="B3" i="3" s="1"/>
  <c r="E311" i="3" s="1"/>
  <c r="D83" i="71"/>
  <c r="C82" i="71"/>
  <c r="D82" i="71" s="1"/>
  <c r="O65" i="71"/>
  <c r="D66" i="71"/>
  <c r="O66" i="71"/>
  <c r="N65" i="71"/>
  <c r="N66" i="71"/>
  <c r="T32" i="71"/>
  <c r="D32" i="71"/>
  <c r="AZ27" i="3"/>
  <c r="AZ178" i="3"/>
  <c r="AZ118" i="3"/>
  <c r="AZ29" i="3"/>
  <c r="AZ58" i="3"/>
  <c r="AZ49" i="3"/>
  <c r="AZ223" i="3"/>
  <c r="AZ277" i="3"/>
  <c r="AZ241" i="3"/>
  <c r="AZ249" i="3"/>
  <c r="AZ414" i="3"/>
  <c r="AZ428" i="3"/>
  <c r="AZ411" i="3"/>
  <c r="S45" i="39"/>
  <c r="AA45" i="39"/>
  <c r="G16" i="1"/>
  <c r="F10" i="39" s="1"/>
  <c r="S10" i="39" s="1"/>
  <c r="C40" i="71"/>
  <c r="D39" i="71"/>
  <c r="C36" i="71"/>
  <c r="D35" i="71"/>
  <c r="AZ108" i="3"/>
  <c r="C56" i="71"/>
  <c r="D55" i="71"/>
  <c r="AZ25" i="3"/>
  <c r="AZ190" i="3"/>
  <c r="AZ61" i="3"/>
  <c r="AZ273" i="3"/>
  <c r="AZ332" i="3"/>
  <c r="AZ461" i="3"/>
  <c r="AZ454" i="3"/>
  <c r="AZ418" i="3"/>
  <c r="AZ432" i="3"/>
  <c r="AZ417" i="3"/>
  <c r="AZ550" i="3"/>
  <c r="AB45" i="39"/>
  <c r="U45" i="39"/>
  <c r="J7" i="37"/>
  <c r="W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AC7" i="37"/>
  <c r="U7" i="36"/>
  <c r="F7" i="33"/>
  <c r="E58" i="21"/>
  <c r="F7" i="37"/>
  <c r="M17" i="67"/>
  <c r="M17" i="15"/>
  <c r="F59" i="15"/>
  <c r="P28" i="43"/>
  <c r="B66" i="40" s="1"/>
  <c r="P25" i="43"/>
  <c r="P29" i="43"/>
  <c r="P27" i="43"/>
  <c r="B70" i="39" s="1"/>
  <c r="M11" i="67"/>
  <c r="J10" i="67" s="1"/>
  <c r="F11" i="15"/>
  <c r="M11" i="15"/>
  <c r="J10" i="15" s="1"/>
  <c r="F11" i="67"/>
  <c r="AE11" i="1"/>
  <c r="AE7" i="1"/>
  <c r="AE12" i="1"/>
  <c r="AE10" i="1"/>
  <c r="F27" i="69"/>
  <c r="C36" i="69"/>
  <c r="AE6" i="1"/>
  <c r="C16" i="67"/>
  <c r="C16" i="15"/>
  <c r="G1" i="73"/>
  <c r="F41" i="67"/>
  <c r="J5" i="82" l="1"/>
  <c r="C49" i="82"/>
  <c r="C61" i="82" s="1"/>
  <c r="J18" i="82"/>
  <c r="J19" i="82"/>
  <c r="F1" i="84"/>
  <c r="Q52" i="84"/>
  <c r="J19" i="84"/>
  <c r="J18" i="84"/>
  <c r="Q61" i="84"/>
  <c r="Q74" i="84"/>
  <c r="AA10" i="39"/>
  <c r="C32" i="82"/>
  <c r="C33" i="82"/>
  <c r="Q61" i="82"/>
  <c r="Q74" i="82"/>
  <c r="C33" i="84"/>
  <c r="C32" i="84"/>
  <c r="Q52" i="82"/>
  <c r="F1" i="82"/>
  <c r="Q73" i="84"/>
  <c r="Q60" i="84"/>
  <c r="Q66" i="82"/>
  <c r="Q57" i="82"/>
  <c r="Q73" i="82"/>
  <c r="Q60" i="82"/>
  <c r="Q57" i="84"/>
  <c r="Q66" i="84"/>
  <c r="J5" i="15"/>
  <c r="J24" i="15" s="1"/>
  <c r="C53" i="84"/>
  <c r="C48" i="84" s="1"/>
  <c r="C10" i="84"/>
  <c r="C5" i="84" s="1"/>
  <c r="J24" i="84"/>
  <c r="J26" i="84"/>
  <c r="C53" i="82"/>
  <c r="C48" i="82" s="1"/>
  <c r="C10" i="82"/>
  <c r="C5" i="82" s="1"/>
  <c r="J24" i="82"/>
  <c r="J26" i="82"/>
  <c r="C47" i="69"/>
  <c r="D45" i="69" s="1"/>
  <c r="W7" i="36"/>
  <c r="F67" i="39"/>
  <c r="G67" i="39" s="1"/>
  <c r="Q60" i="67"/>
  <c r="F1" i="15"/>
  <c r="Q52" i="67"/>
  <c r="C49" i="15"/>
  <c r="Q74" i="67"/>
  <c r="Q52" i="15"/>
  <c r="J10" i="40"/>
  <c r="AC10" i="40" s="1"/>
  <c r="Q73" i="15"/>
  <c r="F27" i="11"/>
  <c r="C29" i="11" s="1"/>
  <c r="D27" i="11" s="1"/>
  <c r="Q61" i="15"/>
  <c r="H10" i="40"/>
  <c r="AB10" i="40" s="1"/>
  <c r="F45" i="69"/>
  <c r="C29" i="69"/>
  <c r="D27" i="69" s="1"/>
  <c r="F27" i="68"/>
  <c r="F45" i="68" s="1"/>
  <c r="F28" i="12"/>
  <c r="C29" i="12" s="1"/>
  <c r="D28" i="12" s="1"/>
  <c r="E191" i="3"/>
  <c r="E377" i="3"/>
  <c r="E134" i="3"/>
  <c r="E573" i="3"/>
  <c r="E236" i="3"/>
  <c r="E488" i="3"/>
  <c r="E370" i="3"/>
  <c r="E385" i="3"/>
  <c r="K6" i="3"/>
  <c r="E257" i="3"/>
  <c r="E118" i="3"/>
  <c r="E557" i="3"/>
  <c r="E534" i="3"/>
  <c r="E509" i="3"/>
  <c r="E549" i="3"/>
  <c r="E316" i="3"/>
  <c r="E202" i="3"/>
  <c r="E510" i="3"/>
  <c r="E487" i="3"/>
  <c r="E296" i="3"/>
  <c r="E563" i="3"/>
  <c r="E533" i="3"/>
  <c r="E245" i="3"/>
  <c r="E262" i="3"/>
  <c r="E57" i="3"/>
  <c r="E200" i="3"/>
  <c r="M6" i="3"/>
  <c r="E227" i="3"/>
  <c r="E210" i="3"/>
  <c r="E559" i="3"/>
  <c r="E574" i="3"/>
  <c r="E50" i="3"/>
  <c r="E264" i="3"/>
  <c r="E240" i="3"/>
  <c r="E483" i="3"/>
  <c r="E100" i="3"/>
  <c r="AI6" i="3"/>
  <c r="E189" i="3"/>
  <c r="E182" i="3"/>
  <c r="E261" i="3"/>
  <c r="E378" i="3"/>
  <c r="E248" i="3"/>
  <c r="E131" i="3"/>
  <c r="E242" i="3"/>
  <c r="E119" i="3"/>
  <c r="X6" i="3"/>
  <c r="E423" i="3"/>
  <c r="E161" i="3"/>
  <c r="E215" i="3"/>
  <c r="E201" i="3"/>
  <c r="E526" i="3"/>
  <c r="E70" i="3"/>
  <c r="AO6" i="3"/>
  <c r="E454" i="3"/>
  <c r="E77" i="3"/>
  <c r="E185" i="3"/>
  <c r="E305" i="3"/>
  <c r="E477" i="3"/>
  <c r="E72" i="3"/>
  <c r="E453" i="3"/>
  <c r="E114" i="3"/>
  <c r="N6" i="3"/>
  <c r="E558" i="3"/>
  <c r="E55" i="3"/>
  <c r="E213" i="3"/>
  <c r="E546" i="3"/>
  <c r="E306" i="3"/>
  <c r="E47" i="3"/>
  <c r="E155" i="3"/>
  <c r="E137" i="3"/>
  <c r="E486" i="3"/>
  <c r="E104" i="3"/>
  <c r="E522" i="3"/>
  <c r="E363" i="3"/>
  <c r="E139" i="3"/>
  <c r="E369" i="3"/>
  <c r="E94" i="3"/>
  <c r="E219" i="3"/>
  <c r="E275" i="3"/>
  <c r="E148" i="3"/>
  <c r="E246" i="3"/>
  <c r="E263" i="3"/>
  <c r="E172" i="3"/>
  <c r="AB6" i="3"/>
  <c r="E579" i="3"/>
  <c r="E572" i="3"/>
  <c r="E531" i="3"/>
  <c r="E368" i="3"/>
  <c r="E560" i="3"/>
  <c r="E301" i="3"/>
  <c r="AR6" i="3"/>
  <c r="E331" i="3"/>
  <c r="E269" i="3"/>
  <c r="E458" i="3"/>
  <c r="E382" i="3"/>
  <c r="E551" i="3"/>
  <c r="E334" i="3"/>
  <c r="E252" i="3"/>
  <c r="E120" i="3"/>
  <c r="E359" i="3"/>
  <c r="E357" i="3"/>
  <c r="E195" i="3"/>
  <c r="E110" i="3"/>
  <c r="E20" i="3"/>
  <c r="E226" i="3"/>
  <c r="E80" i="3"/>
  <c r="T6" i="3"/>
  <c r="E309" i="3"/>
  <c r="E536" i="3"/>
  <c r="E132" i="3"/>
  <c r="E135" i="3"/>
  <c r="E268" i="3"/>
  <c r="E485" i="3"/>
  <c r="E106" i="3"/>
  <c r="E568" i="3"/>
  <c r="E508" i="3"/>
  <c r="E505" i="3"/>
  <c r="E111" i="3"/>
  <c r="E85" i="3"/>
  <c r="E415" i="3"/>
  <c r="E239" i="3"/>
  <c r="E581" i="3"/>
  <c r="E73" i="3"/>
  <c r="E17" i="3"/>
  <c r="E71" i="3"/>
  <c r="E157" i="3"/>
  <c r="E266" i="3"/>
  <c r="E348" i="3"/>
  <c r="E194" i="3"/>
  <c r="E507" i="3"/>
  <c r="E41" i="3"/>
  <c r="E86" i="3"/>
  <c r="E389" i="3"/>
  <c r="E142" i="3"/>
  <c r="AY6" i="3"/>
  <c r="E539" i="3"/>
  <c r="E199" i="3"/>
  <c r="E541" i="3"/>
  <c r="E435" i="3"/>
  <c r="E192" i="3"/>
  <c r="E76" i="3"/>
  <c r="E103" i="3"/>
  <c r="E23" i="3"/>
  <c r="E381" i="3"/>
  <c r="E21"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575" i="3"/>
  <c r="E449" i="3"/>
  <c r="E417" i="3"/>
  <c r="E241" i="3"/>
  <c r="E409" i="3"/>
  <c r="E267" i="3"/>
  <c r="E67" i="3"/>
  <c r="E63" i="3"/>
  <c r="E198"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R6" i="3"/>
  <c r="E56" i="3"/>
  <c r="E425" i="3"/>
  <c r="E144" i="3"/>
  <c r="E332" i="3"/>
  <c r="E129" i="3"/>
  <c r="E251" i="3"/>
  <c r="E140"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AE6" i="3"/>
  <c r="E203"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E442" i="3"/>
  <c r="E95" i="3"/>
  <c r="E64" i="3"/>
  <c r="E23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429"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F10" i="40"/>
  <c r="S10" i="40" s="1"/>
  <c r="E535" i="3"/>
  <c r="E278" i="3"/>
  <c r="E335" i="3"/>
  <c r="E570" i="3"/>
  <c r="E247" i="3"/>
  <c r="AJ6" i="3"/>
  <c r="E217" i="3"/>
  <c r="E273" i="3"/>
  <c r="E28" i="3"/>
  <c r="E345" i="3"/>
  <c r="Z6" i="3"/>
  <c r="E315" i="3"/>
  <c r="E587" i="3"/>
  <c r="E228" i="3"/>
  <c r="E124" i="3"/>
  <c r="E503" i="3"/>
  <c r="E380" i="3"/>
  <c r="E337" i="3"/>
  <c r="E175" i="3"/>
  <c r="E27" i="3"/>
  <c r="E515" i="3"/>
  <c r="E318" i="3"/>
  <c r="E571" i="3"/>
  <c r="E45" i="3"/>
  <c r="E336" i="3"/>
  <c r="E117" i="3"/>
  <c r="E294" i="3"/>
  <c r="E229" i="3"/>
  <c r="E366" i="3"/>
  <c r="E121" i="3"/>
  <c r="E448" i="3"/>
  <c r="E580" i="3"/>
  <c r="E344" i="3"/>
  <c r="E353" i="3"/>
  <c r="E338" i="3"/>
  <c r="E53" i="3"/>
  <c r="U6" i="3"/>
  <c r="W6" i="3"/>
  <c r="E307" i="3"/>
  <c r="E462" i="3"/>
  <c r="E323" i="3"/>
  <c r="E222" i="3"/>
  <c r="E165" i="3"/>
  <c r="E36" i="3"/>
  <c r="E540" i="3"/>
  <c r="E419" i="3"/>
  <c r="E116" i="3"/>
  <c r="E190" i="3"/>
  <c r="E556" i="3"/>
  <c r="E308" i="3"/>
  <c r="E482" i="3"/>
  <c r="E310" i="3"/>
  <c r="E554" i="3"/>
  <c r="J10" i="39"/>
  <c r="W10" i="39" s="1"/>
  <c r="H10" i="39"/>
  <c r="U10" i="39" s="1"/>
  <c r="E3" i="6"/>
  <c r="E445" i="3"/>
  <c r="E69" i="3"/>
  <c r="E387" i="3"/>
  <c r="E514" i="3"/>
  <c r="E431" i="3"/>
  <c r="E322" i="3"/>
  <c r="E109" i="3"/>
  <c r="E211" i="3"/>
  <c r="E489" i="3"/>
  <c r="E400" i="3"/>
  <c r="E327" i="3"/>
  <c r="E214" i="3"/>
  <c r="E465" i="3"/>
  <c r="AK6" i="3"/>
  <c r="E495" i="3"/>
  <c r="E361" i="3"/>
  <c r="E439" i="3"/>
  <c r="E410" i="3"/>
  <c r="E441" i="3"/>
  <c r="E447" i="3"/>
  <c r="E585" i="3"/>
  <c r="E351" i="3"/>
  <c r="E562" i="3"/>
  <c r="E99" i="3"/>
  <c r="E293" i="3"/>
  <c r="E550" i="3"/>
  <c r="E320" i="3"/>
  <c r="E396" i="3"/>
  <c r="E125" i="3"/>
  <c r="E88" i="3"/>
  <c r="AG6" i="3"/>
  <c r="E394" i="3"/>
  <c r="E481" i="3"/>
  <c r="AN6" i="3"/>
  <c r="E418" i="3"/>
  <c r="E29" i="3"/>
  <c r="E379" i="3"/>
  <c r="E288" i="3"/>
  <c r="E98" i="3"/>
  <c r="E259" i="3"/>
  <c r="E19" i="3"/>
  <c r="E51" i="3"/>
  <c r="E101" i="3"/>
  <c r="E52" i="3"/>
  <c r="E43" i="3"/>
  <c r="E498" i="3"/>
  <c r="E223" i="3"/>
  <c r="E78" i="3"/>
  <c r="E360" i="3"/>
  <c r="E287" i="3"/>
  <c r="E75" i="3"/>
  <c r="E300" i="3"/>
  <c r="I3" i="6"/>
  <c r="D26" i="43"/>
  <c r="C25" i="43" s="1"/>
  <c r="C49" i="67"/>
  <c r="J5" i="67"/>
  <c r="J24" i="67" s="1"/>
  <c r="E281" i="3"/>
  <c r="E513" i="3"/>
  <c r="E81" i="3"/>
  <c r="E355" i="3"/>
  <c r="E33" i="3"/>
  <c r="E492" i="3"/>
  <c r="E249" i="3"/>
  <c r="E46" i="3"/>
  <c r="E484" i="3"/>
  <c r="E544" i="3"/>
  <c r="E292" i="3"/>
  <c r="E152" i="3"/>
  <c r="E479" i="3"/>
  <c r="E517" i="3"/>
  <c r="E255" i="3"/>
  <c r="E466" i="3"/>
  <c r="E499" i="3"/>
  <c r="E212" i="3"/>
  <c r="D56" i="71"/>
  <c r="T56" i="71"/>
  <c r="T40" i="71"/>
  <c r="D40" i="71"/>
  <c r="E494" i="3"/>
  <c r="E283" i="3"/>
  <c r="E68" i="3"/>
  <c r="E184" i="3"/>
  <c r="E84" i="3"/>
  <c r="E371" i="3"/>
  <c r="E160" i="3"/>
  <c r="E467" i="3"/>
  <c r="E59" i="3"/>
  <c r="E349" i="3"/>
  <c r="E258" i="3"/>
  <c r="E37" i="3"/>
  <c r="E491" i="3"/>
  <c r="AP6" i="3"/>
  <c r="E430" i="3"/>
  <c r="E502" i="3"/>
  <c r="E286" i="3"/>
  <c r="D36" i="71"/>
  <c r="T36" i="71"/>
  <c r="C26" i="71"/>
  <c r="D26" i="71" s="1"/>
  <c r="D27" i="71"/>
  <c r="B40" i="1"/>
  <c r="F22" i="87"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V6" i="43" s="1"/>
  <c r="T5" i="43"/>
  <c r="V5" i="43" s="1"/>
  <c r="C33" i="43"/>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D10" i="87"/>
  <c r="C34" i="87"/>
  <c r="AE8" i="1"/>
  <c r="F41" i="82" s="1"/>
  <c r="C17" i="82"/>
  <c r="C14" i="82"/>
  <c r="AE9" i="1"/>
  <c r="F41" i="84"/>
  <c r="M27" i="67"/>
  <c r="M27" i="15"/>
  <c r="F41" i="15"/>
  <c r="C15" i="82" l="1"/>
  <c r="C18" i="82"/>
  <c r="C19" i="82" s="1"/>
  <c r="C20" i="82" s="1"/>
  <c r="C26" i="82" s="1"/>
  <c r="F69" i="82"/>
  <c r="C35" i="87"/>
  <c r="C38" i="87"/>
  <c r="C10" i="87"/>
  <c r="C8" i="87" s="1"/>
  <c r="D19" i="87"/>
  <c r="D37" i="87" s="1"/>
  <c r="C37" i="87" s="1"/>
  <c r="E8" i="70"/>
  <c r="J29" i="82"/>
  <c r="V2" i="43"/>
  <c r="C6" i="87"/>
  <c r="C7" i="87" s="1"/>
  <c r="F69" i="84"/>
  <c r="J29" i="84"/>
  <c r="F41" i="87"/>
  <c r="C24" i="87"/>
  <c r="C26" i="87"/>
  <c r="D22" i="87" s="1"/>
  <c r="C44" i="87"/>
  <c r="D41" i="87" s="1"/>
  <c r="V4" i="43"/>
  <c r="C6" i="83"/>
  <c r="C38" i="84"/>
  <c r="C66" i="84"/>
  <c r="C60" i="84"/>
  <c r="F22" i="83"/>
  <c r="F41" i="83" s="1"/>
  <c r="F24" i="84"/>
  <c r="C7" i="83"/>
  <c r="L36" i="43"/>
  <c r="L37" i="43" s="1"/>
  <c r="Q37" i="43" s="1"/>
  <c r="F24" i="82"/>
  <c r="V3" i="43"/>
  <c r="C34" i="43" s="1"/>
  <c r="E34" i="43" s="1"/>
  <c r="C6" i="69"/>
  <c r="C7" i="69" s="1"/>
  <c r="C38" i="82"/>
  <c r="C66" i="82"/>
  <c r="C60" i="82"/>
  <c r="G54" i="34"/>
  <c r="H54" i="34" s="1"/>
  <c r="C48" i="15"/>
  <c r="C66" i="15" s="1"/>
  <c r="W10" i="40"/>
  <c r="C29" i="68"/>
  <c r="D27" i="68" s="1"/>
  <c r="C48" i="67"/>
  <c r="C60" i="67" s="1"/>
  <c r="C47" i="11"/>
  <c r="D45" i="11" s="1"/>
  <c r="C47" i="68"/>
  <c r="D45" i="68" s="1"/>
  <c r="U10" i="40"/>
  <c r="AC10" i="39"/>
  <c r="AA10" i="40"/>
  <c r="H6" i="3"/>
  <c r="AB10" i="39"/>
  <c r="AC6" i="3"/>
  <c r="F25" i="12"/>
  <c r="C26" i="12" s="1"/>
  <c r="D25" i="12" s="1"/>
  <c r="D116" i="43"/>
  <c r="F22" i="68"/>
  <c r="F22" i="11"/>
  <c r="C23" i="11" s="1"/>
  <c r="F24" i="67"/>
  <c r="C24" i="67" s="1"/>
  <c r="F24" i="15"/>
  <c r="C24" i="15" s="1"/>
  <c r="F22" i="69"/>
  <c r="F41" i="69" s="1"/>
  <c r="E49" i="34"/>
  <c r="E54" i="34" s="1"/>
  <c r="F54" i="34" s="1"/>
  <c r="O36" i="43"/>
  <c r="C17" i="71"/>
  <c r="D18" i="71"/>
  <c r="M21" i="6"/>
  <c r="I21" i="6" s="1"/>
  <c r="E6" i="70"/>
  <c r="F69" i="15"/>
  <c r="E33" i="43"/>
  <c r="M24" i="6"/>
  <c r="I24" i="6" s="1"/>
  <c r="S24" i="6" s="1"/>
  <c r="S11" i="1"/>
  <c r="E11" i="70" s="1"/>
  <c r="M22" i="6"/>
  <c r="I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C17" i="84"/>
  <c r="C14" i="84"/>
  <c r="C34" i="83"/>
  <c r="D10" i="83"/>
  <c r="D10" i="69"/>
  <c r="C17" i="15"/>
  <c r="C17" i="67"/>
  <c r="C14" i="67"/>
  <c r="C34" i="69"/>
  <c r="C5" i="87" l="1"/>
  <c r="C33" i="87"/>
  <c r="C39" i="87" s="1"/>
  <c r="C43" i="87" s="1"/>
  <c r="C10" i="83"/>
  <c r="C8" i="83" s="1"/>
  <c r="D19" i="83"/>
  <c r="D37" i="83" s="1"/>
  <c r="C37" i="83" s="1"/>
  <c r="C35" i="83"/>
  <c r="C38" i="83"/>
  <c r="C18" i="84"/>
  <c r="C15" i="84"/>
  <c r="C42" i="87"/>
  <c r="F50" i="87"/>
  <c r="F50" i="83"/>
  <c r="S20" i="6"/>
  <c r="L18" i="89"/>
  <c r="S22" i="6"/>
  <c r="L18" i="85"/>
  <c r="S21" i="6"/>
  <c r="L18" i="9"/>
  <c r="C5" i="83"/>
  <c r="C20" i="83" s="1"/>
  <c r="C25" i="83" s="1"/>
  <c r="C24" i="83"/>
  <c r="C23" i="87"/>
  <c r="C20" i="87"/>
  <c r="C25" i="87" s="1"/>
  <c r="C44" i="83"/>
  <c r="D41" i="83" s="1"/>
  <c r="C26" i="83"/>
  <c r="D22" i="83" s="1"/>
  <c r="C24" i="84"/>
  <c r="M36" i="43"/>
  <c r="M37" i="43"/>
  <c r="N36" i="43"/>
  <c r="C23" i="83"/>
  <c r="O37" i="43"/>
  <c r="P36" i="43"/>
  <c r="P37" i="43"/>
  <c r="N37" i="43"/>
  <c r="Q36" i="43"/>
  <c r="C24" i="82"/>
  <c r="C23" i="82"/>
  <c r="C60" i="15"/>
  <c r="E53" i="34"/>
  <c r="F53" i="34" s="1"/>
  <c r="C66" i="67"/>
  <c r="H24" i="6"/>
  <c r="H22" i="6"/>
  <c r="L19" i="85" s="1"/>
  <c r="C44" i="68"/>
  <c r="D41" i="68" s="1"/>
  <c r="H25" i="6"/>
  <c r="R25" i="6" s="1"/>
  <c r="R12" i="1" s="1"/>
  <c r="E6" i="3"/>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C15" i="12"/>
  <c r="C12" i="12"/>
  <c r="D27" i="6"/>
  <c r="D31" i="6" s="1"/>
  <c r="D7" i="74"/>
  <c r="R21" i="6"/>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33" i="83" l="1"/>
  <c r="C39" i="83" s="1"/>
  <c r="C42" i="83"/>
  <c r="C41" i="87"/>
  <c r="C19" i="84"/>
  <c r="C20" i="84" s="1"/>
  <c r="R20" i="6"/>
  <c r="L19" i="89"/>
  <c r="C46" i="87"/>
  <c r="C45" i="87" s="1"/>
  <c r="C49" i="87" s="1"/>
  <c r="C51" i="87" s="1"/>
  <c r="C28" i="87"/>
  <c r="C27" i="87" s="1"/>
  <c r="C22" i="87"/>
  <c r="C28" i="83"/>
  <c r="C27" i="83" s="1"/>
  <c r="C22" i="83"/>
  <c r="C29" i="82"/>
  <c r="C57" i="82" s="1"/>
  <c r="C64" i="82" s="1"/>
  <c r="C8" i="69"/>
  <c r="C5" i="69" s="1"/>
  <c r="C23" i="69"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23" i="84" l="1"/>
  <c r="C29" i="84" s="1"/>
  <c r="C26" i="84"/>
  <c r="C46" i="83"/>
  <c r="C45" i="83" s="1"/>
  <c r="C43" i="83"/>
  <c r="C41" i="83" s="1"/>
  <c r="C31" i="87"/>
  <c r="C52" i="87" s="1"/>
  <c r="B2" i="87" s="1"/>
  <c r="C31" i="83"/>
  <c r="J59" i="82"/>
  <c r="J60" i="82" s="1"/>
  <c r="Q48" i="82" s="1"/>
  <c r="J14" i="82"/>
  <c r="J22" i="82" s="1"/>
  <c r="C36" i="82"/>
  <c r="Q49" i="82"/>
  <c r="C13" i="82"/>
  <c r="C75" i="82" s="1"/>
  <c r="J13" i="82"/>
  <c r="J23" i="82" s="1"/>
  <c r="C8" i="68"/>
  <c r="C5" i="68" s="1"/>
  <c r="C23" i="68" s="1"/>
  <c r="C18" i="12"/>
  <c r="C21" i="12" s="1"/>
  <c r="C14" i="71"/>
  <c r="D15" i="71"/>
  <c r="F7" i="21"/>
  <c r="S7" i="21" s="1"/>
  <c r="J7" i="21"/>
  <c r="AC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J63" i="40"/>
  <c r="I65" i="40"/>
  <c r="K48" i="35"/>
  <c r="L48" i="35" s="1"/>
  <c r="M48" i="35" s="1"/>
  <c r="N48" i="35" s="1"/>
  <c r="O48" i="35" s="1"/>
  <c r="H7" i="35" s="1"/>
  <c r="B3" i="87"/>
  <c r="J14" i="84" l="1"/>
  <c r="C36" i="84"/>
  <c r="C13" i="84"/>
  <c r="C75" i="84" s="1"/>
  <c r="Q49" i="84"/>
  <c r="J59" i="84"/>
  <c r="J60" i="84" s="1"/>
  <c r="Q48" i="84" s="1"/>
  <c r="C57" i="84"/>
  <c r="C64" i="84" s="1"/>
  <c r="C49" i="83"/>
  <c r="C51" i="83" s="1"/>
  <c r="C52" i="83" s="1"/>
  <c r="C57" i="87"/>
  <c r="C56" i="87" s="1"/>
  <c r="L46" i="82"/>
  <c r="C37" i="82"/>
  <c r="C56" i="82"/>
  <c r="C65" i="82" s="1"/>
  <c r="Q70" i="82"/>
  <c r="C22" i="12"/>
  <c r="C30" i="12" s="1"/>
  <c r="C28" i="12" s="1"/>
  <c r="R8" i="1"/>
  <c r="R9" i="1"/>
  <c r="R7" i="1"/>
  <c r="D14" i="71"/>
  <c r="C13" i="71"/>
  <c r="W7" i="21"/>
  <c r="AA7" i="2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F35" i="82"/>
  <c r="M21" i="67"/>
  <c r="M21" i="82"/>
  <c r="F35" i="15"/>
  <c r="M21" i="84"/>
  <c r="F35" i="67"/>
  <c r="F35" i="84"/>
  <c r="C19" i="86"/>
  <c r="M21" i="15"/>
  <c r="C20" i="86"/>
  <c r="C56" i="84" l="1"/>
  <c r="C65" i="84" s="1"/>
  <c r="C37" i="84"/>
  <c r="L46" i="84"/>
  <c r="Q70" i="84"/>
  <c r="C57" i="83"/>
  <c r="C56" i="83" s="1"/>
  <c r="B2" i="83"/>
  <c r="J13" i="84"/>
  <c r="J23" i="84" s="1"/>
  <c r="J22" i="84"/>
  <c r="C103" i="86"/>
  <c r="C102" i="86"/>
  <c r="C21" i="86"/>
  <c r="F63" i="84"/>
  <c r="C62" i="84" s="1"/>
  <c r="C59" i="84" s="1"/>
  <c r="C58" i="84" s="1"/>
  <c r="C67" i="84" s="1"/>
  <c r="C68" i="84" s="1"/>
  <c r="C34" i="84"/>
  <c r="C31" i="84" s="1"/>
  <c r="J20" i="84"/>
  <c r="J17" i="84" s="1"/>
  <c r="F63" i="82"/>
  <c r="C62" i="82" s="1"/>
  <c r="C59" i="82" s="1"/>
  <c r="C58" i="82" s="1"/>
  <c r="C67" i="82" s="1"/>
  <c r="C68" i="82" s="1"/>
  <c r="C34" i="82"/>
  <c r="C31" i="82" s="1"/>
  <c r="C30" i="82" s="1"/>
  <c r="C39" i="82" s="1"/>
  <c r="J20" i="82"/>
  <c r="J17" i="82" s="1"/>
  <c r="J16" i="82" s="1"/>
  <c r="J25" i="82" s="1"/>
  <c r="C27" i="12"/>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G42" i="35"/>
  <c r="H42" i="35" s="1"/>
  <c r="G43" i="35"/>
  <c r="H43" i="35" s="1"/>
  <c r="K65" i="40"/>
  <c r="L63" i="40"/>
  <c r="I42" i="35"/>
  <c r="J42" i="35" s="1"/>
  <c r="B3" i="83"/>
  <c r="C20" i="85"/>
  <c r="C19" i="85"/>
  <c r="C19" i="9"/>
  <c r="B3" i="69"/>
  <c r="C20" i="9" s="1"/>
  <c r="D34" i="85"/>
  <c r="D35" i="85"/>
  <c r="C30" i="84" l="1"/>
  <c r="C39" i="84" s="1"/>
  <c r="J16" i="84"/>
  <c r="J25" i="84" s="1"/>
  <c r="C103" i="85"/>
  <c r="C102" i="85"/>
  <c r="C21" i="85"/>
  <c r="C40" i="84"/>
  <c r="C45" i="84" s="1"/>
  <c r="C46" i="84" s="1"/>
  <c r="Q69" i="84"/>
  <c r="Q68" i="84" s="1"/>
  <c r="C80" i="84"/>
  <c r="C79" i="84" s="1"/>
  <c r="C71" i="84"/>
  <c r="C103" i="9"/>
  <c r="C102" i="9"/>
  <c r="C21" i="9"/>
  <c r="C40" i="82"/>
  <c r="C45" i="82" s="1"/>
  <c r="C46" i="82" s="1"/>
  <c r="Q69" i="82"/>
  <c r="Q68" i="82" s="1"/>
  <c r="C80" i="82"/>
  <c r="C79" i="82" s="1"/>
  <c r="C71"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4"/>
  <c r="D2" i="21"/>
  <c r="L51" i="82"/>
  <c r="Q67" i="84" l="1"/>
  <c r="Q47" i="84"/>
  <c r="Q53" i="84" s="1"/>
  <c r="C43" i="84"/>
  <c r="Q65" i="84"/>
  <c r="Q75" i="84" s="1"/>
  <c r="D2" i="84"/>
  <c r="Q56" i="84"/>
  <c r="Q62" i="84" s="1"/>
  <c r="C83" i="84"/>
  <c r="C82" i="84" s="1"/>
  <c r="Q67" i="82"/>
  <c r="Q47" i="82"/>
  <c r="Q53" i="82" s="1"/>
  <c r="C43" i="82"/>
  <c r="Q65" i="82"/>
  <c r="Q75" i="82" s="1"/>
  <c r="Q56" i="82"/>
  <c r="Q62" i="82" s="1"/>
  <c r="D2" i="82"/>
  <c r="C83" i="82"/>
  <c r="C82" i="82" s="1"/>
  <c r="C10" i="71"/>
  <c r="D11" i="7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4" l="1"/>
  <c r="B2" i="84"/>
  <c r="B3" i="82"/>
  <c r="B2" i="8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9"/>
  <c r="D20" i="9"/>
  <c r="D2" i="37"/>
  <c r="D19" i="86"/>
  <c r="D19" i="9"/>
  <c r="L51" i="15"/>
  <c r="D20" i="85"/>
  <c r="D2" i="35"/>
  <c r="D2" i="36"/>
  <c r="D35" i="9"/>
  <c r="D19" i="85"/>
  <c r="D2" i="34"/>
  <c r="D21" i="86" l="1"/>
  <c r="D102" i="86"/>
  <c r="G19" i="86"/>
  <c r="G21" i="86" s="1"/>
  <c r="D22" i="86"/>
  <c r="D21" i="85"/>
  <c r="D102" i="85"/>
  <c r="D22" i="85"/>
  <c r="G19" i="85"/>
  <c r="D103" i="85"/>
  <c r="G20" i="85"/>
  <c r="D102" i="9"/>
  <c r="D21" i="9"/>
  <c r="D22" i="9"/>
  <c r="G19" i="9"/>
  <c r="D103" i="9"/>
  <c r="G20"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89"/>
  <c r="D35" i="89"/>
  <c r="D35" i="86"/>
  <c r="AO6" i="1"/>
  <c r="AO12" i="1"/>
  <c r="AO8" i="1"/>
  <c r="AO11" i="1"/>
  <c r="D34" i="86"/>
  <c r="D20" i="86"/>
  <c r="AO10" i="1"/>
  <c r="AO7" i="1"/>
  <c r="AO9" i="1"/>
  <c r="G21" i="85" l="1"/>
  <c r="D17" i="74"/>
  <c r="G17" i="74" s="1"/>
  <c r="G21" i="9"/>
  <c r="D16" i="74"/>
  <c r="G16" i="74" s="1"/>
  <c r="C32" i="9"/>
  <c r="C35" i="9" s="1"/>
  <c r="C34" i="9" s="1"/>
  <c r="C32" i="85"/>
  <c r="C35" i="85" s="1"/>
  <c r="C34" i="85" s="1"/>
  <c r="D103" i="86"/>
  <c r="G20" i="86"/>
  <c r="R24" i="31" s="1"/>
  <c r="C32" i="86"/>
  <c r="C35" i="86" s="1"/>
  <c r="C34" i="86"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17" i="74" l="1"/>
  <c r="E17" i="74"/>
  <c r="Y6" i="80" s="1"/>
  <c r="Z6" i="80" s="1"/>
  <c r="AA6" i="80" s="1"/>
  <c r="E16" i="74"/>
  <c r="Y5" i="80" s="1"/>
  <c r="Z5" i="80" s="1"/>
  <c r="AA5" i="80" s="1"/>
  <c r="F16" i="74"/>
  <c r="S24" i="31"/>
  <c r="D14" i="74" s="1"/>
  <c r="G14" i="74" s="1"/>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47" i="21" l="1"/>
  <c r="I47" i="21"/>
  <c r="G54" i="21" s="1"/>
  <c r="H54" i="21" s="1"/>
  <c r="T47" i="21"/>
  <c r="T48" i="21" s="1"/>
  <c r="G48" i="21" s="1"/>
  <c r="S25" i="31"/>
  <c r="D15" i="74" s="1"/>
  <c r="G15" i="74" s="1"/>
  <c r="E47" i="21"/>
  <c r="D6" i="71"/>
  <c r="C5" i="71"/>
  <c r="D5" i="71" s="1"/>
  <c r="M24" i="43" s="1"/>
  <c r="C42" i="40"/>
  <c r="C43" i="40"/>
  <c r="E47" i="40"/>
  <c r="F47" i="40" s="1"/>
  <c r="E46" i="40"/>
  <c r="F46" i="40" s="1"/>
  <c r="I47" i="40"/>
  <c r="J47" i="40" s="1"/>
  <c r="S22" i="31" l="1"/>
  <c r="B20" i="31" s="1"/>
  <c r="B21" i="31" s="1"/>
  <c r="V47" i="21"/>
  <c r="V48" i="21" s="1"/>
  <c r="I48" i="21" s="1"/>
  <c r="I52" i="21" s="1"/>
  <c r="J52" i="21" s="1"/>
  <c r="F15" i="74"/>
  <c r="G52" i="21"/>
  <c r="H52" i="21" s="1"/>
  <c r="E15" i="74"/>
  <c r="Y4" i="80" s="1"/>
  <c r="Z4" i="80" s="1"/>
  <c r="AA4" i="80" s="1"/>
  <c r="I54" i="21"/>
  <c r="J54" i="21" s="1"/>
  <c r="R47" i="21"/>
  <c r="R48" i="21" s="1"/>
  <c r="E54" i="21"/>
  <c r="F54" i="21"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G53" i="21"/>
  <c r="H53" i="21" s="1"/>
  <c r="R49" i="21"/>
  <c r="E48" i="21"/>
  <c r="E14" i="74"/>
  <c r="Y3" i="80" s="1"/>
  <c r="F14" i="74"/>
  <c r="B5" i="74"/>
  <c r="D5" i="74" s="1"/>
  <c r="Z3" i="80" l="1"/>
  <c r="E53" i="21"/>
  <c r="F53" i="21" s="1"/>
  <c r="I53" i="21"/>
  <c r="J53" i="21" s="1"/>
  <c r="E52" i="21"/>
  <c r="F52" i="21" s="1"/>
  <c r="C49" i="21"/>
  <c r="C48" i="21"/>
  <c r="B6" i="74"/>
  <c r="D6" i="74" s="1"/>
  <c r="D118" i="86"/>
  <c r="D119" i="86" s="1"/>
  <c r="F118" i="86"/>
  <c r="G118" i="86" s="1"/>
  <c r="H118" i="86"/>
  <c r="C104" i="86" s="1"/>
  <c r="Z7" i="80" l="1"/>
  <c r="Z8" i="80" s="1"/>
  <c r="AA3" i="80"/>
  <c r="B2" i="21"/>
  <c r="B3" i="21"/>
  <c r="H119" i="86"/>
  <c r="I118" i="86"/>
  <c r="H101" i="86"/>
  <c r="F119" i="86"/>
  <c r="D19" i="89"/>
  <c r="C19" i="89"/>
  <c r="D20" i="89"/>
  <c r="C20" i="89"/>
  <c r="C103" i="89" l="1"/>
  <c r="G20" i="89"/>
  <c r="D103" i="89"/>
  <c r="C102" i="89"/>
  <c r="C21" i="89"/>
  <c r="D22" i="89"/>
  <c r="G19" i="89"/>
  <c r="D21" i="89"/>
  <c r="D102" i="89"/>
  <c r="D45" i="86"/>
  <c r="M48" i="86"/>
  <c r="H107" i="86"/>
  <c r="C105" i="86"/>
  <c r="H102" i="86"/>
  <c r="E118" i="86"/>
  <c r="C32" i="89" l="1"/>
  <c r="G21" i="89"/>
  <c r="M49" i="86"/>
  <c r="H108" i="86"/>
  <c r="D122" i="86"/>
  <c r="D123" i="86" s="1"/>
  <c r="D52" i="86"/>
  <c r="C78" i="86"/>
  <c r="C73" i="86" s="1"/>
  <c r="C93" i="86"/>
  <c r="C86" i="86" s="1"/>
  <c r="D53" i="86"/>
  <c r="D55" i="86"/>
  <c r="M53" i="86" s="1"/>
  <c r="C72" i="86"/>
  <c r="C85" i="86"/>
  <c r="C64" i="86"/>
  <c r="C63" i="86" s="1"/>
  <c r="C67" i="86" s="1"/>
  <c r="C35" i="89" l="1"/>
  <c r="F118" i="89" s="1"/>
  <c r="H118" i="89"/>
  <c r="C95" i="86"/>
  <c r="C96" i="86" s="1"/>
  <c r="E96" i="86" s="1"/>
  <c r="E97" i="86" s="1"/>
  <c r="C79" i="86"/>
  <c r="C80" i="86" s="1"/>
  <c r="E80" i="86" s="1"/>
  <c r="E81" i="86" s="1"/>
  <c r="D59" i="86"/>
  <c r="M55" i="86" s="1"/>
  <c r="C68" i="86"/>
  <c r="D54" i="86" s="1"/>
  <c r="D48" i="86" s="1"/>
  <c r="M52" i="86" s="1"/>
  <c r="L64" i="86"/>
  <c r="M64" i="86" s="1"/>
  <c r="L66" i="86"/>
  <c r="M66" i="86" s="1"/>
  <c r="L63" i="86"/>
  <c r="M63" i="86" s="1"/>
  <c r="L65" i="86"/>
  <c r="M65" i="86" s="1"/>
  <c r="L68" i="86"/>
  <c r="M68" i="86" s="1"/>
  <c r="L67" i="86"/>
  <c r="M67" i="86" s="1"/>
  <c r="C34" i="89" l="1"/>
  <c r="D118" i="89" s="1"/>
  <c r="D119" i="89" s="1"/>
  <c r="H119" i="89"/>
  <c r="H101" i="89"/>
  <c r="C104" i="89"/>
  <c r="I118" i="89"/>
  <c r="G118" i="89"/>
  <c r="F119" i="89"/>
  <c r="M69" i="86"/>
  <c r="N69" i="86" s="1"/>
  <c r="C97" i="86"/>
  <c r="C81" i="86"/>
  <c r="C105" i="89" l="1"/>
  <c r="H102" i="89"/>
  <c r="E118" i="89"/>
  <c r="H107" i="89"/>
  <c r="M48" i="89"/>
  <c r="D45" i="89"/>
  <c r="D58" i="86"/>
  <c r="D56" i="86" s="1"/>
  <c r="M54" i="86" s="1"/>
  <c r="N57" i="86" s="1"/>
  <c r="P57" i="86" s="1"/>
  <c r="M49" i="89" l="1"/>
  <c r="D122" i="89"/>
  <c r="D123" i="89" s="1"/>
  <c r="H108" i="89"/>
  <c r="D53" i="89"/>
  <c r="C85" i="89"/>
  <c r="C78" i="89"/>
  <c r="C73" i="89" s="1"/>
  <c r="D55" i="89"/>
  <c r="M53" i="89" s="1"/>
  <c r="C72" i="89"/>
  <c r="D52" i="89"/>
  <c r="C64" i="89"/>
  <c r="C63" i="89" s="1"/>
  <c r="C67" i="89" s="1"/>
  <c r="C68" i="89" s="1"/>
  <c r="D54" i="89" s="1"/>
  <c r="D48" i="89" s="1"/>
  <c r="M52" i="89" s="1"/>
  <c r="C93" i="89"/>
  <c r="C86" i="89" s="1"/>
  <c r="N59" i="86"/>
  <c r="N58" i="86"/>
  <c r="D118" i="85"/>
  <c r="D119" i="85" s="1"/>
  <c r="F118" i="85"/>
  <c r="G118" i="85" s="1"/>
  <c r="H118" i="85"/>
  <c r="C104" i="85" s="1"/>
  <c r="N60" i="86" l="1"/>
  <c r="I14" i="74"/>
  <c r="C79" i="89"/>
  <c r="C81" i="89" s="1"/>
  <c r="D58" i="89" s="1"/>
  <c r="D56" i="89" s="1"/>
  <c r="M54" i="89" s="1"/>
  <c r="N57" i="89" s="1"/>
  <c r="N59" i="89" s="1"/>
  <c r="I15" i="74" s="1"/>
  <c r="H111" i="86"/>
  <c r="D126" i="86" s="1"/>
  <c r="D127" i="86" s="1"/>
  <c r="C95" i="89"/>
  <c r="L67" i="89"/>
  <c r="M67" i="89" s="1"/>
  <c r="L64" i="89"/>
  <c r="M64" i="89" s="1"/>
  <c r="L63" i="89"/>
  <c r="M63" i="89" s="1"/>
  <c r="L66" i="89"/>
  <c r="M66" i="89" s="1"/>
  <c r="L65" i="89"/>
  <c r="M65" i="89" s="1"/>
  <c r="L68" i="89"/>
  <c r="M68" i="89" s="1"/>
  <c r="N61" i="86"/>
  <c r="H112" i="86" s="1"/>
  <c r="I118" i="85"/>
  <c r="H102" i="85" s="1"/>
  <c r="H119" i="85"/>
  <c r="H101" i="85"/>
  <c r="F119" i="85"/>
  <c r="C80" i="89" l="1"/>
  <c r="E80" i="89" s="1"/>
  <c r="E81" i="89" s="1"/>
  <c r="M69" i="89"/>
  <c r="N69" i="89" s="1"/>
  <c r="P57" i="89"/>
  <c r="N58" i="89"/>
  <c r="C96" i="89"/>
  <c r="E96" i="89" s="1"/>
  <c r="E97" i="89" s="1"/>
  <c r="N60" i="89"/>
  <c r="N61" i="89"/>
  <c r="H112" i="89" s="1"/>
  <c r="H111" i="89"/>
  <c r="D126" i="89" s="1"/>
  <c r="D127" i="89" s="1"/>
  <c r="E118" i="85"/>
  <c r="C105" i="85"/>
  <c r="D45" i="85"/>
  <c r="M48" i="85"/>
  <c r="H107" i="85"/>
  <c r="C97" i="89" l="1"/>
  <c r="H108" i="85"/>
  <c r="D122" i="85"/>
  <c r="D123" i="85" s="1"/>
  <c r="M49" i="85"/>
  <c r="D52" i="85"/>
  <c r="C78" i="85"/>
  <c r="C73" i="85" s="1"/>
  <c r="C93" i="85"/>
  <c r="C86" i="85" s="1"/>
  <c r="C64" i="85"/>
  <c r="C63" i="85" s="1"/>
  <c r="C67" i="85" s="1"/>
  <c r="D53" i="85"/>
  <c r="D55" i="85"/>
  <c r="M53" i="85" s="1"/>
  <c r="C72" i="85"/>
  <c r="C85" i="85"/>
  <c r="C79" i="85" l="1"/>
  <c r="C80" i="85" s="1"/>
  <c r="E80" i="85" s="1"/>
  <c r="E81" i="85" s="1"/>
  <c r="C95" i="85"/>
  <c r="C96" i="85" s="1"/>
  <c r="E96" i="85" s="1"/>
  <c r="E97" i="85" s="1"/>
  <c r="D59" i="85"/>
  <c r="M55" i="85" s="1"/>
  <c r="C68" i="85"/>
  <c r="D54" i="85" s="1"/>
  <c r="D48" i="85" s="1"/>
  <c r="M52" i="85" s="1"/>
  <c r="L64" i="85"/>
  <c r="M64" i="85" s="1"/>
  <c r="L66" i="85"/>
  <c r="M66" i="85" s="1"/>
  <c r="L67" i="85"/>
  <c r="M67" i="85" s="1"/>
  <c r="L63" i="85"/>
  <c r="M63" i="85" s="1"/>
  <c r="L65" i="85"/>
  <c r="M65" i="85" s="1"/>
  <c r="L68" i="85"/>
  <c r="M68" i="85" s="1"/>
  <c r="M69" i="85" l="1"/>
  <c r="N69" i="85" s="1"/>
  <c r="C97" i="85"/>
  <c r="C81" i="85"/>
  <c r="D58" i="85" l="1"/>
  <c r="D56" i="85" s="1"/>
  <c r="M54" i="85" s="1"/>
  <c r="N57" i="85" s="1"/>
  <c r="P57" i="85" s="1"/>
  <c r="N58" i="85" l="1"/>
  <c r="N59" i="85"/>
  <c r="D118" i="9"/>
  <c r="D4" i="52" s="1"/>
  <c r="B47" i="72" s="1"/>
  <c r="F118" i="9"/>
  <c r="G118" i="9" s="1"/>
  <c r="G4" i="52" s="1"/>
  <c r="B52" i="72" s="1"/>
  <c r="H118" i="9"/>
  <c r="H101" i="9" s="1"/>
  <c r="H111" i="85" l="1"/>
  <c r="D126" i="85" s="1"/>
  <c r="D127" i="85" s="1"/>
  <c r="I17" i="74"/>
  <c r="N60" i="85"/>
  <c r="N61" i="85"/>
  <c r="H112" i="85" s="1"/>
  <c r="H119" i="9"/>
  <c r="H5" i="52" s="1"/>
  <c r="D119" i="9"/>
  <c r="D5" i="52" s="1"/>
  <c r="B49" i="72" s="1"/>
  <c r="C104" i="9"/>
  <c r="M48" i="9"/>
  <c r="H107" i="9"/>
  <c r="D45" i="9"/>
  <c r="D5" i="53"/>
  <c r="F4" i="52"/>
  <c r="B51" i="72" s="1"/>
  <c r="F119" i="9"/>
  <c r="F5" i="52" s="1"/>
  <c r="B53" i="72" s="1"/>
  <c r="H4" i="52"/>
  <c r="I118" i="9"/>
  <c r="H102" i="9" l="1"/>
  <c r="H108" i="9" s="1"/>
  <c r="E118" i="9"/>
  <c r="E4" i="52" s="1"/>
  <c r="B48" i="72" s="1"/>
  <c r="C105" i="9"/>
  <c r="I4" i="52"/>
  <c r="C72" i="9"/>
  <c r="C85" i="9"/>
  <c r="C78" i="9"/>
  <c r="C73" i="9" s="1"/>
  <c r="C64" i="9"/>
  <c r="C63" i="9" s="1"/>
  <c r="C67" i="9" s="1"/>
  <c r="D53" i="9"/>
  <c r="D55" i="9"/>
  <c r="M53" i="9" s="1"/>
  <c r="D52" i="9"/>
  <c r="C93" i="9"/>
  <c r="C86" i="9" s="1"/>
  <c r="D6" i="53"/>
  <c r="B22" i="72" s="1"/>
  <c r="B20" i="72"/>
  <c r="M49" i="9"/>
  <c r="D122" i="9"/>
  <c r="D13" i="53"/>
  <c r="D15" i="53" l="1"/>
  <c r="B31" i="72" s="1"/>
  <c r="C6" i="74"/>
  <c r="D59" i="9"/>
  <c r="M55" i="9" s="1"/>
  <c r="C68" i="9"/>
  <c r="D54" i="9" s="1"/>
  <c r="D48" i="9" s="1"/>
  <c r="M52" i="9" s="1"/>
  <c r="L65" i="9"/>
  <c r="M65" i="9" s="1"/>
  <c r="L68" i="9"/>
  <c r="M68" i="9" s="1"/>
  <c r="L64" i="9"/>
  <c r="M64" i="9" s="1"/>
  <c r="L66" i="9"/>
  <c r="M66" i="9" s="1"/>
  <c r="L67" i="9"/>
  <c r="M67" i="9" s="1"/>
  <c r="L63" i="9"/>
  <c r="M63" i="9" s="1"/>
  <c r="D8" i="52"/>
  <c r="D123" i="9"/>
  <c r="D9" i="52" s="1"/>
  <c r="B30" i="72"/>
  <c r="D14" i="53"/>
  <c r="B32" i="72" s="1"/>
  <c r="C95" i="9"/>
  <c r="C79" i="9"/>
  <c r="C5" i="74"/>
  <c r="D7" i="53"/>
  <c r="B21" i="72" s="1"/>
  <c r="M69" i="9" l="1"/>
  <c r="N69" i="9" s="1"/>
  <c r="C80" i="9"/>
  <c r="E80" i="9" s="1"/>
  <c r="E81" i="9" s="1"/>
  <c r="C96" i="9"/>
  <c r="E96" i="9" s="1"/>
  <c r="E97" i="9" s="1"/>
  <c r="C81" i="9" l="1"/>
  <c r="C97" i="9"/>
  <c r="D58" i="9" l="1"/>
  <c r="D56" i="9" s="1"/>
  <c r="M54" i="9" s="1"/>
  <c r="N57" i="9" s="1"/>
  <c r="N58" i="9" s="1"/>
  <c r="N59" i="9" l="1"/>
  <c r="P57" i="9"/>
  <c r="H111" i="9"/>
  <c r="N60" i="9" l="1"/>
  <c r="I16" i="74"/>
  <c r="B8" i="74" s="1"/>
  <c r="D8" i="74" s="1"/>
  <c r="N61" i="9"/>
  <c r="H112" i="9" s="1"/>
  <c r="D21" i="53" s="1"/>
  <c r="B39" i="72" s="1"/>
  <c r="D19" i="53"/>
  <c r="D126" i="9"/>
  <c r="C8" i="74" l="1"/>
  <c r="D127" i="9"/>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FFF6B86-D80B-4A2F-B3FF-7162E5DBEEF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EC19F2F-8198-4DD0-A3AB-B63231B7D41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2905DEFB-879B-4DC7-8FB7-9359381B6DD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813ABF1-F71B-4BDE-9EE4-68E3627F6181}">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C299850-D5EA-4885-8F51-0AB5525F738C}">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06A2115-5F0A-420B-B0DE-6A85B00B0C4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230C71E-349E-41DA-BC9F-344D11CE5579}">
      <text>
        <r>
          <rPr>
            <sz val="11"/>
            <color indexed="81"/>
            <rFont val="宋体"/>
            <family val="3"/>
            <charset val="134"/>
          </rPr>
          <t>需在下方列示计算过程</t>
        </r>
        <r>
          <rPr>
            <sz val="9"/>
            <color indexed="81"/>
            <rFont val="宋体"/>
            <family val="3"/>
            <charset val="134"/>
          </rPr>
          <t xml:space="preserve">
</t>
        </r>
      </text>
    </comment>
    <comment ref="H75" authorId="2" shapeId="0" xr:uid="{3A7AEBBA-0F3E-41AB-BD78-FD91A32F074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1B43969C-9401-4767-8EF7-94AD42CB339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ED0FCCC-9B30-4634-B2E2-0DB7B9B7CE2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C00F17E-DCAC-4F0B-A431-D87ADADEF5E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0302B1C-DC28-452F-AB89-F8B2247D2855}">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820FF0BD-FAC2-426E-9FB4-0F7B459E7785}">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EF29367-66F6-4708-80F1-ABD123427AE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03E63BC-FA56-4C27-AB1F-FB77349F9204}">
      <text>
        <r>
          <rPr>
            <sz val="11"/>
            <color indexed="81"/>
            <rFont val="宋体"/>
            <family val="3"/>
            <charset val="134"/>
          </rPr>
          <t>需在下方列示计算过程</t>
        </r>
        <r>
          <rPr>
            <sz val="9"/>
            <color indexed="81"/>
            <rFont val="宋体"/>
            <family val="3"/>
            <charset val="134"/>
          </rPr>
          <t xml:space="preserve">
</t>
        </r>
      </text>
    </comment>
    <comment ref="H75" authorId="2" shapeId="0" xr:uid="{578287AF-227D-450D-94F3-B2C01A818DF6}">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6E65C478-AE20-40A9-90EC-E3CEF86D425E}">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7F5914B-7FD8-44EB-9A1C-925695003A09}">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D4483BE-6DA7-4F31-9B5F-199DD7FD1272}">
      <text>
        <r>
          <rPr>
            <sz val="11"/>
            <color indexed="81"/>
            <rFont val="宋体"/>
            <family val="3"/>
            <charset val="134"/>
          </rPr>
          <t>需在下方列示计算过程</t>
        </r>
        <r>
          <rPr>
            <sz val="9"/>
            <color indexed="81"/>
            <rFont val="宋体"/>
            <family val="3"/>
            <charset val="134"/>
          </rPr>
          <t xml:space="preserve">
</t>
        </r>
      </text>
    </comment>
    <comment ref="H75" authorId="2" shapeId="0" xr:uid="{1A3D020B-917E-4EB7-9071-AA14FD501304}">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<sst xmlns="http://schemas.openxmlformats.org/spreadsheetml/2006/main" count="10178" uniqueCount="3587">
  <si>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</si>
  <si>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</si>
  <si>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</si>
  <si>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</si>
  <si>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</si>
  <si>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</si>
  <si>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</si>
  <si>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</si>
  <si>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</si>
  <si>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</si>
  <si>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</si>
  <si>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</si>
  <si>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</si>
  <si>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</si>
  <si>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</si>
  <si>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</si>
  <si>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</si>
  <si>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</si>
  <si>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</si>
  <si>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</si>
  <si>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</si>
  <si>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</si>
  <si>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</si>
  <si>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</si>
  <si>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</si>
  <si>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</si>
  <si>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</si>
  <si>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</si>
  <si>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</si>
  <si>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</si>
  <si>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</si>
  <si>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</si>
  <si>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</si>
  <si>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</si>
  <si>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</si>
  <si>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</si>
  <si>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</si>
  <si>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</si>
  <si>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</si>
  <si>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</si>
  <si>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</si>
  <si>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</si>
  <si>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</si>
  <si>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</si>
  <si>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</si>
  <si>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</si>
  <si>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</si>
  <si>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</si>
  <si>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</si>
  <si>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</si>
  <si>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</si>
  <si>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</si>
  <si>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</si>
  <si>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</si>
  <si>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</si>
  <si>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</si>
  <si>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</si>
  <si>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</si>
  <si>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</si>
  <si>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</si>
  <si>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</si>
  <si>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</si>
  <si>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</si>
  <si>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</si>
  <si>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</si>
  <si>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</si>
  <si>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</si>
  <si>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</si>
  <si>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</si>
  <si>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</si>
  <si>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</si>
  <si>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</si>
  <si>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</si>
  <si>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</si>
  <si>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</si>
  <si>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</si>
  <si>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</si>
  <si>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</si>
  <si>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</si>
  <si>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</si>
  <si>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</si>
  <si>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</si>
  <si>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</si>
  <si>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</si>
  <si>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</si>
  <si>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</si>
  <si>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</si>
  <si>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</si>
  <si>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</si>
  <si>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</si>
  <si>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</si>
  <si>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</si>
  <si>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</si>
  <si>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</si>
  <si>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</si>
  <si>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</si>
  <si>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</si>
  <si>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</si>
  <si>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</si>
  <si>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</si>
  <si>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</si>
  <si>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</si>
  <si>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</si>
  <si>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</si>
  <si>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</si>
  <si>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</si>
  <si>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</si>
  <si>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</si>
  <si>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</si>
  <si>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</si>
  <si>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</si>
  <si>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</si>
  <si>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</si>
  <si>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</si>
  <si>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</si>
  <si>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</si>
  <si>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</si>
  <si>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</si>
  <si>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</si>
  <si>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</si>
  <si>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</si>
  <si>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</si>
  <si>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</si>
  <si>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</si>
  <si>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</si>
  <si>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</si>
  <si>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</si>
  <si>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</si>
  <si>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</si>
  <si>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</si>
  <si>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</si>
  <si>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</si>
  <si>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</si>
  <si>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</si>
  <si>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</si>
  <si>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</si>
  <si>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</si>
  <si>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</si>
  <si>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</si>
  <si>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</si>
  <si>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</si>
  <si>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</si>
  <si>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</si>
  <si>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</si>
  <si>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</si>
  <si>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</si>
  <si>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</si>
  <si>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</si>
  <si>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</si>
  <si>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</si>
  <si>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</si>
  <si>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</si>
  <si>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</si>
  <si>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</si>
  <si>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</si>
  <si>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</si>
  <si>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</si>
  <si>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</si>
  <si>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</si>
  <si>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</si>
  <si>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</si>
  <si>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</si>
  <si>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</si>
  <si>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</si>
  <si>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</si>
  <si>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</si>
  <si>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</si>
  <si>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</si>
  <si>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</si>
  <si>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</si>
  <si>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</si>
  <si>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</si>
  <si>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</si>
  <si>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</si>
  <si>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</si>
  <si>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</si>
  <si>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</si>
  <si>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</si>
  <si>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</si>
  <si>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</si>
  <si>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</si>
  <si>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</si>
  <si>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</si>
  <si>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</si>
  <si>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</si>
  <si>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</si>
  <si>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</si>
  <si>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</si>
  <si>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</si>
  <si>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</si>
  <si>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</si>
  <si>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</si>
  <si>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</si>
  <si>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</si>
  <si>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</si>
  <si>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</si>
  <si>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</si>
  <si>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</si>
  <si>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</si>
  <si>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</si>
  <si>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</si>
  <si>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</si>
  <si>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</si>
  <si>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</si>
  <si>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</si>
  <si>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</si>
  <si>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</si>
  <si>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</si>
  <si>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</si>
  <si>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</si>
  <si>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</si>
  <si>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</si>
  <si>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</si>
  <si>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</si>
  <si>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</si>
  <si>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</si>
  <si>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</si>
  <si>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</si>
  <si>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</si>
  <si>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</si>
  <si>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</si>
  <si>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</si>
  <si>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</si>
  <si>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</si>
  <si>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</si>
  <si>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</si>
  <si>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</si>
  <si>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</si>
  <si>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</si>
  <si>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</si>
  <si>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</si>
  <si>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</si>
  <si>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</si>
  <si>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</si>
  <si>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</si>
  <si>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</si>
  <si>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</si>
  <si>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</si>
  <si>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</si>
  <si>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</si>
  <si>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</si>
  <si>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</si>
  <si>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</si>
  <si>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</si>
  <si>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</si>
  <si>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</si>
  <si>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</si>
  <si>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</si>
  <si>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</si>
  <si>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</si>
  <si>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</si>
  <si>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</si>
  <si>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</si>
  <si>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</si>
  <si>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</si>
  <si>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</si>
  <si>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</si>
  <si>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</si>
  <si>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</si>
  <si>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</si>
  <si>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</si>
  <si>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</si>
  <si>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</si>
  <si>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</si>
  <si>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</si>
  <si>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</si>
  <si>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</si>
  <si>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</si>
  <si>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</si>
  <si>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</si>
  <si>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</si>
  <si>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</si>
  <si>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</si>
  <si>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</si>
  <si>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</si>
  <si>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</si>
  <si>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</si>
  <si>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</si>
  <si>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</si>
  <si>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</si>
  <si>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</si>
  <si>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</si>
  <si>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</si>
  <si>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</si>
  <si>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</si>
  <si>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</si>
  <si>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</si>
  <si>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</si>
  <si>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</si>
  <si>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</si>
  <si>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</si>
  <si>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</si>
  <si>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</si>
  <si>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</si>
  <si>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</si>
  <si>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</si>
  <si>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</si>
  <si>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</si>
  <si>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</si>
  <si>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</si>
  <si>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</si>
  <si>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</si>
  <si>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</si>
  <si>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</si>
  <si>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</si>
  <si>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</si>
  <si>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</si>
  <si>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</si>
  <si>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</si>
  <si>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</si>
  <si>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</si>
  <si>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</si>
  <si>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</si>
  <si>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</si>
  <si>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</si>
  <si>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</si>
  <si>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</si>
  <si>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</si>
  <si>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</si>
  <si>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</si>
  <si>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</si>
  <si>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</si>
  <si>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</si>
  <si>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</si>
  <si>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</si>
  <si>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</si>
  <si>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</si>
  <si>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</si>
  <si>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</si>
  <si>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</si>
  <si>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</si>
  <si>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</si>
  <si>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</si>
  <si>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</si>
  <si>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</si>
  <si>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</si>
  <si>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</si>
  <si>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</si>
  <si>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</si>
  <si>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</si>
  <si>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</si>
  <si>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</si>
  <si>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</si>
  <si>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</si>
  <si>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</si>
  <si>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</si>
  <si>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</si>
  <si>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</si>
  <si>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</si>
  <si>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</si>
  <si>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</si>
  <si>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</si>
  <si>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</si>
  <si>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</si>
  <si>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</si>
  <si>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</si>
  <si>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</si>
  <si>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</si>
  <si>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</si>
  <si>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</si>
  <si>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</si>
  <si>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</si>
  <si>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</si>
  <si>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</si>
  <si>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</si>
  <si>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</si>
  <si>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</si>
  <si>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</si>
  <si>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</si>
  <si>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</si>
  <si>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</si>
  <si>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</si>
  <si>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</si>
  <si>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</si>
  <si>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</si>
  <si>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</si>
  <si>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</si>
  <si>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</si>
  <si>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</si>
  <si>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</si>
  <si>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</si>
  <si>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</si>
  <si>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</si>
  <si>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</si>
  <si>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</si>
  <si>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</si>
  <si>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</si>
  <si>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</si>
  <si>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</si>
  <si>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</si>
  <si>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</si>
  <si>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</si>
  <si>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</si>
  <si>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</si>
  <si>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</si>
  <si>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</si>
  <si>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</si>
  <si>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</si>
  <si>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</si>
  <si>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</si>
  <si>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</si>
  <si>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</si>
  <si>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</si>
  <si>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</si>
  <si>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</si>
  <si>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</si>
  <si>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</si>
  <si>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</si>
  <si>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</si>
  <si>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</si>
  <si>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</si>
  <si>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</si>
  <si>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</si>
  <si>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</si>
  <si>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</si>
  <si>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</si>
  <si>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</si>
  <si>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</si>
  <si>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</si>
  <si>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</si>
  <si>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</si>
  <si>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</si>
  <si>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</si>
  <si>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</si>
  <si>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</si>
  <si>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</si>
  <si>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</si>
  <si>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</si>
  <si>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</si>
  <si>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</si>
  <si>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</si>
  <si>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</si>
  <si>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</si>
  <si>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</si>
  <si>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</si>
  <si>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</si>
  <si>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</si>
  <si>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</si>
  <si>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</si>
  <si>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</si>
  <si>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</si>
  <si>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</si>
  <si>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</si>
  <si>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</si>
  <si>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</si>
  <si>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</si>
  <si>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</si>
  <si>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</si>
  <si>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</si>
  <si>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</si>
  <si>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</si>
  <si>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</si>
  <si>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</si>
  <si>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</si>
  <si>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</si>
  <si>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</si>
  <si>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</si>
  <si>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</si>
  <si>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</si>
  <si>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</si>
  <si>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</si>
  <si>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</si>
  <si>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</si>
  <si>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</si>
  <si>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</si>
  <si>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</si>
  <si>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</si>
  <si>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</si>
  <si>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</si>
  <si>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</si>
  <si>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</si>
  <si>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</si>
  <si>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</si>
  <si>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</si>
  <si>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</si>
  <si>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</si>
  <si>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</si>
  <si>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</si>
  <si>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</si>
  <si>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</si>
  <si>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</si>
  <si>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</si>
  <si>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</si>
  <si>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</si>
  <si>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</si>
  <si>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</si>
  <si>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</si>
  <si>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</si>
  <si>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</si>
  <si>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</si>
  <si>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</si>
  <si>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</si>
  <si>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</si>
  <si>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</si>
  <si>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</si>
  <si>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</si>
  <si>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</si>
  <si>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</si>
  <si>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</si>
  <si>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</si>
  <si>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</si>
  <si>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</si>
  <si>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</si>
  <si>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</si>
  <si>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</si>
  <si>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</si>
  <si>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</si>
  <si>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</si>
  <si>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</si>
  <si>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</si>
  <si>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</si>
  <si>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</si>
  <si>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</si>
  <si>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</si>
  <si>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</si>
  <si>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</si>
  <si>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</si>
  <si>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</si>
  <si>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</si>
  <si>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</si>
  <si>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</si>
  <si>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</si>
  <si>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</si>
  <si>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</si>
  <si>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</si>
  <si>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</si>
  <si>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</si>
  <si>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</si>
  <si>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</si>
  <si>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</si>
  <si>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</si>
  <si>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</si>
  <si>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</si>
  <si>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</si>
  <si>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</si>
  <si>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</si>
  <si>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</si>
  <si>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</si>
  <si>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</si>
  <si>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</si>
  <si>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</si>
  <si>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</si>
  <si>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</si>
  <si>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</si>
  <si>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</si>
  <si>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</si>
  <si>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</si>
  <si>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</si>
  <si>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</si>
  <si>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</si>
  <si>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</si>
  <si>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</si>
  <si>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</si>
  <si>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</si>
  <si>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</si>
  <si>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</si>
  <si>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</si>
  <si>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</si>
  <si>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</si>
  <si>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</si>
  <si>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</si>
  <si>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</si>
  <si>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</si>
  <si>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</si>
  <si>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</si>
  <si>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</si>
  <si>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</si>
  <si>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</si>
  <si>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</si>
  <si>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</si>
  <si>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</si>
  <si>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</si>
  <si>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</si>
  <si>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</si>
  <si>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</si>
  <si>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</si>
  <si>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</si>
  <si>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</si>
  <si>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</si>
  <si>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</si>
  <si>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</si>
  <si>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</si>
  <si>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</si>
  <si>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</si>
  <si>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</si>
  <si>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</si>
  <si>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</si>
  <si>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</si>
  <si>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</si>
  <si>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</si>
  <si>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</si>
  <si>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</si>
  <si>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</si>
  <si>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</si>
  <si>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</si>
  <si>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</si>
  <si>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</si>
  <si>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</si>
  <si>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</si>
  <si>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</si>
  <si>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</si>
  <si>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</si>
  <si>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</si>
  <si>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</si>
  <si>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</si>
  <si>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</si>
  <si>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</si>
  <si>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</si>
  <si>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</si>
  <si>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</si>
  <si>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</si>
  <si>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</si>
  <si>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</si>
  <si>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</si>
  <si>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</si>
  <si>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</si>
  <si>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</si>
  <si>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</si>
  <si>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</si>
  <si>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</si>
  <si>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</si>
  <si>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</si>
  <si>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</si>
  <si>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</si>
  <si>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</si>
  <si>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</si>
  <si>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</si>
  <si>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</si>
  <si>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</si>
  <si>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</si>
  <si>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</si>
  <si>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</si>
  <si>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</si>
  <si>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</si>
  <si>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</si>
  <si>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</si>
  <si>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</si>
  <si>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</si>
  <si>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</si>
  <si>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</si>
  <si>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</si>
  <si>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</si>
  <si>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</si>
  <si>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</si>
  <si>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</si>
  <si>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</si>
  <si>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</si>
  <si>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</si>
  <si>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</si>
  <si>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</si>
  <si>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</si>
  <si>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</si>
  <si>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</si>
  <si>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</si>
  <si>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</si>
  <si>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</si>
  <si>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</si>
  <si>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</si>
  <si>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</si>
  <si>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</si>
  <si>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</si>
  <si>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</si>
  <si>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</si>
  <si>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</si>
  <si>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</si>
  <si>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</si>
  <si>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</si>
  <si>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</si>
  <si>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</si>
  <si>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</si>
  <si>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</si>
  <si>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</si>
  <si>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</si>
  <si>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</si>
  <si>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</si>
  <si>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</si>
  <si>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</si>
  <si>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</si>
  <si>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</si>
  <si>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</si>
  <si>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</si>
  <si>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</si>
  <si>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</si>
  <si>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</si>
  <si>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</si>
  <si>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</si>
  <si>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</si>
  <si>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</si>
  <si>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</si>
  <si>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</si>
  <si>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</si>
  <si>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</si>
  <si>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</si>
  <si>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</si>
  <si>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</si>
  <si>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</si>
  <si>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</si>
  <si>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</si>
  <si>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</si>
  <si>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</si>
  <si>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</si>
  <si>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</si>
  <si>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</si>
  <si>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</si>
  <si>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</si>
  <si>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</si>
  <si>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</si>
  <si>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</si>
  <si>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</si>
  <si>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</si>
  <si>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</si>
  <si>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</si>
  <si>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</si>
  <si>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</si>
  <si>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</si>
  <si>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</si>
  <si>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</si>
  <si>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</si>
  <si>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</si>
  <si>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</si>
  <si>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</si>
  <si>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</si>
  <si>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</si>
  <si>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</si>
  <si>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</si>
  <si>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</si>
  <si>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</si>
  <si>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</si>
  <si>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</si>
  <si>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</si>
  <si>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</si>
  <si>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</si>
  <si>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</si>
  <si>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</si>
  <si>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</si>
  <si>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</si>
  <si>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</si>
  <si>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</si>
  <si>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</si>
  <si>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</si>
  <si>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</si>
  <si>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</si>
  <si>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</si>
  <si>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</si>
  <si>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</si>
  <si>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</si>
  <si>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</si>
  <si>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</si>
  <si>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</si>
  <si>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</si>
  <si>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</si>
  <si>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</si>
  <si>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</si>
  <si>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</si>
  <si>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</si>
  <si>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</si>
  <si>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</si>
  <si>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</si>
  <si>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</si>
  <si>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</si>
  <si>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</si>
  <si>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</si>
  <si>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</si>
  <si>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</si>
  <si>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</si>
  <si>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</si>
  <si>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</si>
  <si>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</si>
  <si>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</si>
  <si>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</si>
  <si>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</si>
  <si>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</si>
  <si>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</si>
  <si>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</si>
  <si>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</si>
  <si>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</si>
  <si>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</si>
  <si>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</si>
  <si>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</si>
  <si>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</si>
  <si>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</si>
  <si>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</si>
  <si>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</si>
  <si>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</si>
  <si>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</si>
  <si>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</si>
  <si>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</si>
  <si>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</si>
  <si>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</si>
  <si>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</si>
  <si>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</si>
  <si>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</si>
  <si>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</si>
  <si>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</si>
  <si>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</si>
  <si>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</si>
  <si>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</si>
  <si>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</si>
  <si>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</si>
  <si>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</si>
  <si>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</si>
  <si>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</si>
  <si>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</si>
  <si>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</si>
  <si>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</si>
  <si>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</si>
  <si>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</si>
  <si>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</si>
  <si>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</si>
  <si>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</si>
  <si>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</si>
  <si>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</si>
  <si>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</si>
  <si>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</si>
  <si>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</si>
  <si>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</si>
  <si>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</si>
  <si>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</si>
  <si>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</si>
  <si>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</si>
  <si>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</si>
  <si>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</si>
  <si>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</si>
  <si>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</si>
  <si>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</si>
  <si>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</si>
  <si>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</si>
  <si>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</si>
  <si>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</si>
  <si>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</si>
  <si>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</si>
  <si>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</si>
  <si>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</si>
  <si>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</si>
  <si>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</si>
  <si>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</si>
  <si>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</si>
  <si>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</si>
  <si>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</si>
  <si>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</si>
  <si>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</si>
  <si>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</si>
  <si>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</si>
  <si>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</si>
  <si>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</si>
  <si>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</si>
  <si>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</si>
  <si>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</si>
  <si>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</si>
  <si>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</si>
  <si>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</si>
  <si>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</si>
  <si>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</si>
  <si>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</si>
  <si>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</si>
  <si>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</si>
  <si>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</si>
  <si>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</si>
  <si>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</si>
  <si>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</si>
  <si>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</si>
  <si>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</si>
  <si>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</si>
  <si>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</si>
  <si>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</si>
  <si>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</si>
  <si>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</si>
  <si>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</si>
  <si>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</si>
  <si>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</si>
  <si>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</si>
  <si>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</si>
  <si>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</si>
  <si>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</si>
  <si>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</si>
  <si>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</si>
  <si>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</si>
  <si>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</si>
  <si>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</si>
  <si>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</si>
  <si>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</si>
  <si>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</si>
  <si>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</si>
  <si>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</si>
  <si>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</si>
  <si>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</si>
  <si>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</si>
  <si>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</si>
  <si>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</si>
  <si>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</si>
  <si>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</si>
  <si>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</si>
  <si>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</si>
  <si>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</si>
  <si>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</si>
  <si>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</si>
  <si>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</si>
  <si>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</si>
  <si>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</si>
  <si>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</si>
  <si>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</si>
  <si>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</si>
  <si>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</si>
  <si>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</si>
  <si>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</si>
  <si>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</si>
  <si>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</si>
  <si>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</si>
  <si>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</si>
  <si>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</si>
  <si>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</si>
  <si>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</si>
  <si>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</si>
  <si>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</si>
  <si>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</si>
  <si>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</si>
  <si>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</si>
  <si>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</si>
  <si>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</si>
  <si>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</si>
  <si>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</si>
  <si>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</si>
  <si>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</si>
  <si>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</si>
  <si>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</si>
  <si>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</si>
  <si>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</si>
  <si>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</si>
  <si>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</si>
  <si>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</si>
  <si>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</si>
  <si>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</si>
  <si>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</si>
  <si>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</si>
  <si>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</si>
  <si>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</si>
  <si>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</si>
  <si>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</si>
  <si>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</si>
  <si>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</si>
  <si>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</si>
  <si>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</si>
  <si>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</si>
  <si>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</si>
  <si>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</si>
  <si>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</si>
  <si>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</si>
  <si>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</si>
  <si>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</si>
  <si>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</si>
  <si>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</si>
  <si>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</si>
  <si>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</si>
  <si>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</si>
  <si>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</si>
  <si>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</si>
  <si>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</si>
  <si>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</si>
  <si>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</si>
  <si>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</si>
  <si>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</si>
  <si>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</si>
  <si>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</si>
  <si>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</si>
  <si>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</si>
  <si>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</si>
  <si>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</si>
  <si>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</si>
  <si>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</si>
  <si>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</si>
  <si>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</si>
  <si>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</si>
  <si>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</si>
  <si>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</si>
  <si>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</si>
  <si>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</si>
  <si>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</si>
  <si>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</si>
  <si>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</si>
  <si>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</si>
  <si>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</si>
  <si>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</si>
  <si>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</si>
  <si>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</si>
  <si>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</si>
  <si>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</si>
  <si>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</si>
  <si>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</si>
  <si>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</si>
  <si>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</si>
  <si>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</si>
  <si>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</si>
  <si>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</si>
  <si>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</si>
  <si>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</si>
  <si>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</si>
  <si>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</si>
  <si>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</si>
  <si>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</si>
  <si>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</si>
  <si>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</si>
  <si>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</si>
  <si>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</si>
  <si>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</si>
  <si>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</si>
  <si>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</si>
  <si>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</si>
  <si>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</si>
  <si>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</si>
  <si>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</si>
  <si>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</si>
  <si>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</si>
  <si>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</si>
  <si>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</si>
  <si>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</si>
  <si>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</si>
  <si>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</si>
  <si>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</si>
  <si>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</si>
  <si>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</si>
  <si>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</si>
  <si>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</si>
  <si>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</si>
  <si>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</si>
  <si>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</si>
  <si>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</si>
  <si>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</si>
  <si>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</si>
  <si>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</si>
  <si>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</si>
  <si>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</si>
  <si>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</si>
  <si>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</si>
  <si>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</si>
  <si>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</si>
  <si>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</si>
  <si>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</si>
  <si>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</si>
  <si>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</si>
  <si>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</si>
  <si>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</si>
  <si>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</si>
  <si>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</si>
  <si>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</si>
  <si>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</si>
  <si>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</si>
  <si>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</si>
  <si>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</si>
  <si>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</si>
  <si>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</si>
  <si>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</si>
  <si>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</si>
  <si>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</si>
  <si>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</si>
  <si>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</si>
  <si>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</si>
  <si>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</si>
  <si>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</si>
  <si>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</si>
  <si>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</si>
  <si>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</si>
  <si>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</si>
  <si>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</si>
  <si>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</si>
  <si>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</si>
  <si>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</si>
  <si>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</si>
  <si>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</si>
  <si>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</si>
  <si>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</si>
  <si>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</si>
  <si>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</si>
  <si>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</si>
  <si>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</si>
  <si>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</si>
  <si>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</si>
  <si>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</si>
  <si>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</si>
  <si>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</si>
  <si>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</si>
  <si>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</si>
  <si>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</si>
  <si>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</si>
  <si>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</si>
  <si>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</si>
  <si>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</si>
  <si>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</si>
  <si>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</si>
  <si>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</si>
  <si>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</si>
  <si>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</si>
  <si>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</si>
  <si>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</si>
  <si>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</si>
  <si>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</si>
  <si>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</si>
  <si>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</si>
  <si>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</si>
  <si>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</si>
  <si>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</si>
  <si>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</si>
  <si>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</si>
  <si>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</si>
  <si>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</si>
  <si>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</si>
  <si>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</si>
  <si>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</si>
  <si>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</si>
  <si>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</si>
  <si>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</si>
  <si>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</si>
  <si>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</si>
  <si>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</si>
  <si>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</si>
  <si>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</si>
  <si>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</si>
  <si>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</si>
  <si>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</si>
  <si>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</si>
  <si>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</si>
  <si>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</si>
  <si>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</si>
  <si>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</si>
  <si>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</si>
  <si>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</si>
  <si>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</si>
  <si>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</si>
  <si>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</si>
  <si>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</si>
  <si>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</si>
  <si>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</si>
  <si>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</si>
  <si>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</si>
  <si>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</si>
  <si>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</si>
  <si>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</si>
  <si>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</si>
  <si>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</si>
  <si>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</si>
  <si>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</si>
  <si>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</si>
  <si>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</si>
  <si>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</si>
  <si>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</si>
  <si>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</si>
  <si>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</si>
  <si>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</si>
  <si>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</si>
  <si>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</si>
  <si>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</si>
  <si>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</si>
  <si>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</si>
  <si>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</si>
  <si>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</si>
  <si>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</si>
  <si>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</si>
  <si>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</si>
  <si>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</si>
  <si>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</si>
  <si>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</si>
  <si>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</si>
  <si>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</si>
  <si>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</si>
  <si>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</si>
  <si>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</si>
  <si>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</si>
  <si>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</si>
  <si>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</si>
  <si>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</si>
  <si>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</si>
  <si>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</si>
  <si>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</si>
  <si>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</si>
  <si>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</si>
  <si>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</si>
  <si>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</si>
  <si>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</si>
  <si>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</si>
  <si>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</si>
  <si>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</si>
  <si>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</si>
  <si>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</si>
  <si>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</si>
  <si>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</si>
  <si>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</si>
  <si>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</si>
  <si>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</si>
  <si>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</si>
  <si>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</si>
  <si>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</si>
  <si>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</si>
  <si>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</si>
  <si>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</si>
  <si>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</si>
  <si>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</si>
  <si>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</si>
  <si>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</si>
  <si>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</si>
  <si>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</si>
  <si>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</si>
  <si>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</si>
  <si>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</si>
  <si>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</si>
  <si>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</si>
  <si>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</si>
  <si>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</si>
  <si>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</si>
  <si>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</si>
  <si>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</si>
  <si>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</si>
  <si>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</si>
  <si>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</si>
  <si>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</si>
  <si>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</si>
  <si>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</si>
  <si>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</si>
  <si>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</si>
  <si>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</si>
  <si>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</si>
  <si>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</si>
  <si>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</si>
  <si>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</si>
  <si>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</si>
  <si>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</si>
  <si>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</si>
  <si>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</si>
  <si>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</si>
  <si>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</si>
  <si>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</si>
  <si>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</si>
  <si>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</si>
  <si>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</si>
  <si>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</si>
  <si>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</si>
  <si>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</si>
  <si>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</si>
  <si>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</si>
  <si>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</si>
  <si>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</si>
  <si>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</si>
  <si>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</si>
  <si>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</si>
  <si>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</si>
  <si>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</si>
  <si>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</si>
  <si>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</si>
  <si>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</si>
  <si>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</si>
  <si>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</si>
  <si>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</si>
  <si>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</si>
  <si>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</si>
  <si>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</si>
  <si>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</si>
  <si>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</si>
  <si>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</si>
  <si>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</si>
  <si>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</si>
  <si>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</si>
  <si>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</si>
  <si>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</si>
  <si>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</si>
  <si>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</si>
  <si>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</si>
  <si>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</si>
  <si>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</si>
  <si>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</si>
  <si>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</si>
  <si>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</si>
  <si>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</si>
  <si>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</si>
  <si>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</si>
  <si>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</si>
  <si>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</si>
  <si>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</si>
  <si>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</si>
  <si>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</si>
  <si>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</si>
  <si>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</si>
  <si>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</si>
  <si>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</si>
  <si>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</si>
  <si>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</si>
  <si>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</si>
  <si>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</si>
  <si>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</si>
  <si>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</si>
  <si>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</si>
  <si>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</si>
  <si>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</si>
  <si>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</si>
  <si>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</si>
  <si>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</si>
  <si>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</si>
  <si>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</si>
  <si>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</si>
  <si>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</si>
  <si>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</si>
  <si>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</si>
  <si>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</si>
  <si>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</si>
  <si>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</si>
  <si>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</si>
  <si>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</si>
  <si>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</si>
  <si>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</si>
  <si>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</si>
  <si>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</si>
  <si>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</si>
  <si>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</si>
  <si>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</si>
  <si>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</si>
  <si>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</si>
  <si>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</si>
  <si>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</si>
  <si>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</si>
  <si>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</si>
  <si>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</si>
  <si>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</si>
  <si>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</si>
  <si>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</si>
  <si>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</si>
  <si>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</si>
  <si>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</si>
  <si>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</si>
  <si>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</si>
  <si>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</si>
  <si>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</si>
  <si>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</si>
  <si>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</si>
  <si>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</si>
  <si>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</si>
  <si>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</si>
  <si>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</si>
  <si>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</si>
  <si>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</si>
  <si>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</si>
  <si>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</si>
  <si>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</si>
  <si>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</si>
  <si>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</si>
  <si>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</si>
  <si>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</si>
  <si>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</si>
  <si>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</si>
  <si>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</si>
  <si>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</si>
  <si>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</si>
  <si>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</si>
  <si>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</si>
  <si>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</si>
  <si>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</si>
  <si>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</si>
  <si>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</si>
  <si>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</si>
  <si>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</si>
  <si>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</si>
  <si>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</si>
  <si>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</si>
  <si>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</si>
  <si>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</si>
  <si>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</si>
  <si>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</si>
  <si>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</si>
  <si>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</si>
  <si>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</si>
  <si>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</si>
  <si>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</si>
  <si>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</si>
  <si>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</si>
  <si>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</si>
  <si>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</si>
  <si>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</si>
  <si>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</si>
  <si>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</si>
  <si>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</si>
  <si>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</si>
  <si>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</si>
  <si>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</si>
  <si>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</si>
  <si>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</si>
  <si>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</si>
  <si>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</si>
  <si>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</si>
  <si>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</si>
  <si>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</si>
  <si>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</si>
  <si>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</si>
  <si>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</si>
  <si>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</si>
  <si>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</si>
  <si>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</si>
  <si>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</si>
  <si>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</si>
  <si>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</si>
  <si>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</si>
  <si>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</si>
  <si>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</si>
  <si>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</si>
  <si>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</si>
  <si>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</si>
  <si>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</si>
  <si>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</si>
  <si>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</si>
  <si>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</si>
  <si>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</si>
  <si>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</si>
  <si>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</si>
  <si>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</si>
  <si>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</si>
  <si>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</si>
  <si>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</si>
  <si>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</si>
  <si>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</si>
  <si>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</si>
  <si>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</si>
  <si>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</si>
  <si>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</si>
  <si>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</si>
  <si>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</si>
  <si>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</si>
  <si>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</si>
  <si>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</si>
  <si>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</si>
  <si>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</si>
  <si>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</si>
  <si>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</si>
  <si>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</si>
  <si>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</si>
  <si>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</si>
  <si>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</si>
  <si>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</si>
  <si>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</si>
  <si>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</si>
  <si>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</si>
  <si>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</si>
  <si>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</si>
  <si>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</si>
  <si>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</si>
  <si>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</si>
  <si>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</si>
  <si>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</si>
  <si>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</si>
  <si>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</si>
  <si>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</si>
  <si>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</si>
  <si>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</si>
  <si>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</si>
  <si>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</si>
  <si>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</si>
  <si>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</si>
  <si>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</si>
  <si>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</si>
  <si>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</si>
  <si>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</si>
  <si>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</si>
  <si>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</si>
  <si>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</si>
  <si>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</si>
  <si>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</si>
  <si>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</si>
  <si>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</si>
  <si>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</si>
  <si>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</si>
  <si>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</si>
  <si>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</si>
  <si>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</si>
  <si>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</si>
  <si>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</si>
  <si>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</si>
  <si>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</si>
  <si>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</si>
  <si>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</si>
  <si>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</si>
  <si>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</si>
  <si>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</si>
  <si>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</si>
  <si>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</si>
  <si>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</si>
  <si>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</si>
  <si>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</si>
  <si>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</si>
  <si>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</si>
  <si>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</si>
  <si>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</si>
  <si>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</si>
  <si>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</si>
  <si>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</si>
  <si>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</si>
  <si>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</si>
  <si>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</si>
  <si>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</si>
  <si>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</si>
  <si>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</si>
  <si>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</si>
  <si>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</si>
  <si>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</si>
  <si>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</si>
  <si>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</si>
  <si>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</si>
  <si>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</si>
  <si>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</si>
  <si>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</si>
  <si>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</si>
  <si>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</si>
  <si>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</si>
  <si>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</si>
  <si>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</si>
  <si>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</si>
  <si>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</si>
  <si>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</si>
  <si>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</si>
  <si>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</si>
  <si>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</si>
  <si>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</si>
  <si>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</si>
  <si>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</si>
  <si>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</si>
  <si>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</si>
  <si>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</si>
  <si>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</si>
  <si>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</si>
  <si>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</si>
  <si>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</si>
  <si>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</si>
  <si>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</si>
  <si>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</si>
  <si>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</si>
  <si>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</si>
  <si>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</si>
  <si>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</si>
  <si>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</si>
  <si>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</si>
  <si>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</si>
  <si>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</si>
  <si>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</si>
  <si>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</si>
  <si>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</si>
  <si>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</si>
  <si>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</si>
  <si>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</si>
  <si>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</si>
  <si>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</si>
  <si>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</si>
  <si>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</si>
  <si>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</si>
  <si>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</si>
  <si>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</si>
  <si>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</si>
  <si>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</si>
  <si>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</si>
  <si>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</si>
  <si>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</si>
  <si>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</si>
  <si>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</si>
  <si>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</si>
  <si>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</si>
  <si>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</si>
  <si>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</si>
  <si>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</si>
  <si>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</si>
  <si>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</si>
  <si>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</si>
  <si>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</si>
  <si>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</si>
  <si>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</si>
  <si>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</si>
  <si>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</si>
  <si>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</si>
  <si>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</si>
  <si>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</si>
  <si>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</si>
  <si>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</si>
  <si>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</si>
  <si>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</si>
  <si>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</si>
  <si>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</si>
  <si>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</si>
  <si>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</si>
  <si>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</si>
  <si>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</si>
  <si>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</si>
  <si>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</si>
  <si>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</si>
  <si>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</si>
  <si>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</si>
  <si>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</si>
  <si>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</si>
  <si>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</si>
  <si>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</si>
  <si>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</si>
  <si>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</si>
  <si>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</si>
  <si>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</si>
  <si>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</si>
  <si>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</si>
  <si>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</si>
  <si>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</si>
  <si>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</si>
  <si>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</si>
  <si>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</si>
  <si>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</si>
  <si>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</si>
  <si>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</si>
  <si>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</si>
  <si>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</si>
  <si>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</si>
  <si>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</si>
  <si>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</si>
  <si>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</si>
  <si>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</si>
  <si>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</si>
  <si>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</si>
  <si>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</si>
  <si>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</si>
  <si>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</si>
  <si>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</si>
  <si>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</si>
  <si>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</si>
  <si>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</si>
  <si>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</si>
  <si>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</si>
  <si>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</si>
  <si>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</si>
  <si>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</si>
  <si>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</si>
  <si>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</si>
  <si>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</si>
  <si>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</si>
  <si>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</si>
  <si>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</si>
  <si>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</si>
  <si>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</si>
  <si>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</si>
  <si>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</si>
  <si>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</si>
  <si>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</si>
  <si>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</si>
  <si>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</si>
  <si>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</si>
  <si>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</si>
  <si>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</si>
  <si>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</si>
  <si>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</si>
  <si>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</si>
  <si>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</si>
  <si>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</si>
  <si>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</si>
  <si>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</si>
  <si>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</si>
  <si>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</si>
  <si>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</si>
  <si>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</si>
  <si>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</si>
  <si>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</si>
  <si>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</si>
  <si>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</si>
  <si>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</si>
  <si>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</si>
  <si>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</si>
  <si>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</si>
  <si>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</si>
  <si>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</si>
  <si>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</si>
  <si>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</si>
  <si>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</si>
  <si>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</si>
  <si>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</si>
  <si>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</si>
  <si>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</si>
  <si>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</si>
  <si>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</si>
  <si>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</si>
  <si>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</si>
  <si>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</si>
  <si>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</si>
  <si>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</si>
  <si>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</si>
  <si>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</si>
  <si>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</si>
  <si>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</si>
  <si>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</si>
  <si>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</si>
  <si>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</si>
  <si>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</si>
  <si>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</si>
  <si>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</si>
  <si>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</si>
  <si>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</si>
  <si>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</si>
  <si>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</si>
  <si>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</si>
  <si>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</si>
  <si>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</si>
  <si>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</si>
  <si>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</si>
  <si>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</si>
  <si>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</si>
  <si>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</si>
  <si>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</si>
  <si>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</si>
  <si>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</si>
  <si>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</si>
  <si>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</si>
  <si>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</si>
  <si>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</si>
  <si>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</si>
  <si>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</si>
  <si>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</si>
  <si>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</si>
  <si>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</si>
  <si>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</si>
  <si>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</si>
  <si>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</si>
  <si>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</si>
  <si>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</si>
  <si>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</si>
  <si>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</si>
  <si>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</si>
  <si>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</si>
  <si>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</si>
  <si>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</si>
  <si>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</si>
  <si>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</si>
  <si>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</si>
  <si>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</si>
  <si>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</si>
  <si>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</si>
  <si>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</si>
  <si>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</si>
  <si>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</si>
  <si>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</si>
  <si>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</si>
  <si>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</si>
  <si>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</si>
  <si>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</si>
  <si>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</si>
  <si>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</si>
  <si>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</si>
  <si>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</si>
  <si>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</si>
  <si>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</si>
  <si>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</si>
  <si>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</si>
  <si>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</si>
  <si>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</si>
  <si>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</si>
  <si>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</si>
  <si>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</si>
  <si>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</si>
  <si>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</si>
  <si>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</si>
  <si>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</si>
  <si>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</si>
  <si>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</si>
  <si>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</si>
  <si>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</si>
  <si>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</si>
  <si>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</si>
  <si>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</si>
  <si>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</si>
  <si>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</si>
  <si>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</si>
  <si>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</si>
  <si>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</si>
  <si>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</si>
  <si>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</si>
  <si>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</si>
  <si>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</si>
  <si>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</si>
  <si>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</si>
  <si>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</si>
  <si>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</si>
  <si>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</si>
  <si>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</si>
  <si>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</si>
  <si>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</si>
  <si>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</si>
  <si>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</si>
  <si>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</si>
  <si>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</si>
  <si>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</si>
  <si>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</si>
  <si>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</si>
  <si>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</si>
  <si>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</si>
  <si>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</si>
  <si>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</si>
  <si>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</si>
  <si>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</si>
  <si>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</si>
  <si>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</si>
  <si>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</si>
  <si>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</si>
  <si>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</si>
  <si>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</si>
  <si>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</si>
  <si>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</si>
  <si>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</si>
  <si>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</si>
  <si>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</si>
  <si>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</si>
  <si>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</si>
  <si>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</si>
  <si>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</si>
  <si>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</si>
  <si>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</si>
  <si>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</si>
  <si>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</si>
  <si>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</si>
  <si>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</si>
  <si>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</si>
  <si>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</si>
  <si>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</si>
  <si>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</si>
  <si>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</si>
  <si>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</si>
  <si>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</si>
  <si>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</si>
  <si>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</si>
  <si>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</si>
  <si>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</si>
  <si>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</si>
  <si>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</si>
  <si>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</si>
  <si>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</si>
  <si>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</si>
  <si>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</si>
  <si>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</si>
  <si>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</si>
  <si>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</si>
  <si>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</si>
  <si>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</si>
  <si>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</si>
  <si>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</si>
  <si>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</si>
  <si>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</si>
  <si>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</si>
  <si>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</si>
  <si>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</si>
  <si>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</si>
  <si>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</si>
  <si>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</si>
  <si>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</si>
  <si>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</si>
  <si>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</si>
  <si>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</si>
  <si>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</si>
  <si>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</si>
  <si>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</si>
  <si>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</si>
  <si>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</si>
  <si>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</si>
  <si>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</si>
  <si>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</si>
  <si>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</si>
  <si>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</si>
  <si>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</si>
  <si>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</si>
  <si>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</si>
  <si>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</si>
  <si>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</si>
  <si>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</si>
  <si>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</si>
  <si>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</si>
  <si>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</si>
  <si>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</si>
  <si>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</si>
  <si>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</si>
  <si>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</si>
  <si>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</si>
  <si>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</si>
  <si>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</si>
  <si>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</si>
  <si>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</si>
  <si>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</si>
  <si>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</si>
  <si>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</si>
  <si>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</si>
  <si>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</si>
  <si>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</si>
  <si>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</si>
  <si>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</si>
  <si>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</si>
  <si>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</si>
  <si>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</si>
  <si>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</si>
  <si>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</si>
  <si>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</si>
  <si>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</si>
  <si>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</si>
  <si>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</si>
  <si>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</si>
  <si>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</si>
  <si>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</si>
  <si>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</si>
  <si>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</si>
  <si>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</si>
  <si>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</si>
  <si>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</si>
  <si>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</si>
  <si>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</si>
  <si>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</si>
  <si>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</si>
  <si>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</si>
  <si>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</si>
  <si>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</si>
  <si>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</si>
  <si>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</si>
  <si>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</si>
  <si>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</si>
  <si>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</si>
  <si>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</si>
  <si>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</si>
  <si>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</si>
  <si>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</si>
  <si>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</si>
  <si>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</si>
  <si>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</si>
  <si>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</si>
  <si>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</si>
  <si>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</si>
  <si>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</si>
  <si>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</si>
  <si>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</si>
  <si>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</si>
  <si>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</si>
  <si>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</si>
  <si>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</si>
  <si>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</si>
  <si>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</si>
  <si>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</si>
  <si>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</si>
  <si>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</si>
  <si>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</si>
  <si>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</si>
  <si>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</si>
  <si>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</si>
  <si>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</si>
  <si>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</si>
  <si>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</si>
  <si>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</si>
  <si>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</si>
  <si>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</si>
  <si>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</si>
  <si>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</si>
  <si>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</si>
  <si>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</si>
  <si>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</si>
  <si>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</si>
  <si>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</si>
  <si>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</si>
  <si>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</si>
  <si>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</si>
  <si>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</si>
  <si>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</si>
  <si>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</si>
  <si>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</si>
  <si>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</si>
  <si>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</si>
  <si>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</si>
  <si>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</si>
  <si>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</si>
  <si>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</si>
  <si>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</si>
  <si>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</si>
  <si>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</si>
  <si>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</si>
  <si>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</si>
  <si>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</si>
  <si>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</si>
  <si>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</si>
  <si>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</si>
  <si>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</si>
  <si>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</si>
  <si>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</si>
  <si>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</si>
  <si>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</si>
  <si>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</si>
  <si>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</si>
  <si>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</si>
  <si>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</si>
  <si>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</si>
  <si>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</si>
  <si>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</si>
  <si>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</si>
  <si>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</si>
  <si>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</si>
  <si>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</si>
  <si>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</si>
  <si>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</si>
  <si>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</si>
  <si>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</si>
  <si>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</si>
  <si>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</si>
  <si>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</si>
  <si>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</si>
  <si>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</si>
  <si>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</si>
  <si>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</si>
  <si>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</si>
  <si>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</si>
  <si>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</si>
  <si>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</si>
  <si>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</si>
  <si>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</si>
  <si>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</si>
  <si>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</si>
  <si>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</si>
  <si>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</si>
  <si>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</si>
  <si>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</si>
  <si>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</si>
  <si>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</si>
  <si>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</si>
  <si>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</si>
  <si>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</si>
  <si>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</si>
  <si>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</si>
  <si>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</si>
  <si>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</si>
  <si>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</si>
  <si>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</si>
  <si>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</si>
  <si>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</si>
  <si>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</si>
  <si>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</si>
  <si>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</si>
  <si>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</si>
  <si>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</si>
  <si>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</si>
  <si>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</si>
  <si>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</si>
  <si>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</si>
  <si>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</si>
  <si>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</si>
  <si>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</si>
  <si>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</si>
  <si>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</si>
  <si>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</si>
  <si>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</si>
  <si>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</si>
  <si>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</si>
  <si>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</si>
  <si>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</si>
  <si>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</si>
  <si>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</si>
  <si>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</si>
  <si>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</si>
  <si>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</si>
  <si>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</si>
  <si>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</si>
  <si>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</si>
  <si>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</si>
  <si>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</si>
  <si>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</si>
  <si>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</si>
  <si>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</si>
  <si>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</si>
  <si>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</si>
  <si>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</si>
  <si>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</si>
  <si>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</si>
  <si>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</si>
  <si>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</si>
  <si>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</si>
  <si>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</si>
  <si>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</si>
  <si>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</si>
  <si>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</si>
  <si>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</si>
  <si>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</si>
  <si>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</si>
  <si>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</si>
  <si>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</si>
  <si>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</si>
  <si>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</si>
  <si>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</si>
  <si>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</si>
  <si>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</si>
  <si>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</si>
  <si>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</si>
  <si>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</si>
  <si>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</si>
  <si>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</si>
  <si>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</si>
  <si>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</si>
  <si>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</si>
  <si>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</si>
  <si>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</si>
  <si>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</si>
  <si>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</si>
  <si>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</si>
  <si>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</si>
  <si>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</si>
  <si>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</si>
  <si>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</si>
  <si>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</si>
  <si>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</si>
  <si>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</si>
  <si>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</si>
  <si>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</si>
  <si>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</si>
  <si>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</si>
  <si>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</si>
  <si>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</si>
  <si>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</si>
  <si>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</si>
  <si>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</si>
  <si>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</si>
  <si>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</si>
  <si>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</si>
  <si>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</si>
  <si>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</si>
  <si>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</si>
  <si>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</si>
  <si>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</si>
  <si>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</si>
  <si>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</si>
  <si>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</si>
  <si>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</si>
  <si>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</si>
  <si>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</si>
  <si>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</si>
  <si>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</si>
  <si>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</si>
  <si>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</si>
  <si>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</si>
  <si>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</si>
  <si>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</si>
  <si>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</si>
  <si>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</si>
  <si>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</si>
  <si>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</si>
  <si>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</si>
  <si>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</si>
  <si>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</si>
  <si>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</si>
  <si>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</si>
  <si>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</si>
  <si>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</si>
  <si>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</si>
  <si>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</si>
  <si>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</si>
  <si>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</si>
  <si>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</si>
  <si>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</si>
  <si>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</si>
  <si>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</si>
  <si>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</si>
  <si>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</si>
  <si>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</si>
  <si>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</si>
  <si>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</si>
  <si>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</si>
  <si>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</si>
  <si>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</si>
  <si>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</si>
  <si>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</si>
  <si>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</si>
  <si>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</si>
  <si>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</si>
  <si>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</si>
  <si>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</si>
  <si>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</si>
  <si>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</si>
  <si>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</si>
  <si>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</si>
  <si>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</si>
  <si>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</si>
  <si>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</si>
  <si>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</si>
  <si>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</si>
  <si>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</si>
  <si>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</si>
  <si>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</si>
  <si>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</si>
  <si>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</si>
  <si>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</si>
  <si>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</si>
  <si>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</si>
  <si>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</si>
  <si>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</si>
  <si>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</si>
  <si>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</si>
  <si>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</si>
  <si>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</si>
  <si>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</si>
  <si>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</si>
  <si>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</si>
  <si>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</si>
  <si>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</si>
  <si>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</si>
  <si>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</si>
  <si>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</si>
  <si>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</si>
  <si>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</si>
  <si>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</si>
  <si>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</si>
  <si>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</si>
  <si>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</si>
  <si>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</si>
  <si>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</si>
  <si>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</si>
  <si>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</si>
  <si>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</si>
  <si>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</si>
  <si>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</si>
  <si>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</si>
  <si>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</si>
  <si>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</si>
  <si>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</si>
  <si>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</si>
  <si>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</si>
  <si>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</si>
  <si>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</si>
  <si>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</si>
  <si>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</si>
  <si>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</si>
  <si>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</si>
  <si>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</si>
  <si>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</si>
  <si>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</si>
  <si>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</si>
  <si>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</si>
  <si>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</si>
  <si>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</si>
  <si>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</si>
  <si>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</si>
  <si>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</si>
  <si>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</si>
  <si>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</si>
  <si>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</si>
  <si>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</si>
  <si>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</si>
  <si>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</si>
  <si>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</si>
  <si>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</si>
  <si>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</si>
  <si>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</si>
  <si>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</si>
  <si>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</si>
  <si>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</si>
  <si>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</si>
  <si>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</si>
  <si>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</si>
  <si>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</si>
  <si>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</si>
  <si>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</si>
  <si>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</si>
  <si>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</si>
  <si>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</si>
  <si>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</si>
  <si>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</si>
  <si>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</si>
  <si>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</si>
  <si>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</si>
  <si>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</si>
  <si>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</si>
  <si>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</si>
  <si>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</si>
  <si>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</si>
  <si>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</si>
  <si>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</si>
  <si>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</si>
  <si>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</si>
  <si>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</si>
  <si>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</si>
  <si>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</si>
  <si>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</si>
  <si>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</si>
  <si>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</si>
  <si>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</si>
  <si>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</si>
  <si>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</si>
  <si>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</si>
  <si>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</si>
  <si>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</si>
  <si>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</si>
  <si>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</si>
  <si>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</si>
  <si>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</si>
  <si>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</si>
  <si>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</si>
  <si>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</si>
  <si>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</si>
  <si>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</si>
  <si>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</si>
  <si>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</si>
  <si>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</si>
  <si>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</si>
  <si>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</si>
  <si>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</si>
  <si>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</si>
  <si>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</si>
  <si>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</si>
  <si>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</si>
  <si>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</si>
  <si>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</si>
  <si>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</si>
  <si>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</si>
  <si>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</si>
  <si>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</si>
  <si>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</si>
  <si>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</si>
  <si>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</si>
  <si>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</si>
  <si>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</si>
  <si>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</si>
  <si>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</si>
  <si>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</si>
  <si>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</si>
  <si>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</si>
  <si>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</si>
  <si>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</si>
  <si>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</si>
  <si>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</si>
  <si>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</si>
  <si>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</si>
  <si>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</si>
  <si>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</si>
  <si>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</si>
  <si>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</si>
  <si>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</si>
  <si>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</si>
  <si>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</si>
  <si>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</si>
  <si>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</si>
  <si>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</si>
  <si>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</si>
  <si>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</si>
  <si>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</si>
  <si>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</si>
  <si>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</si>
  <si>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</si>
  <si>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</si>
  <si>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</si>
  <si>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</si>
  <si>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</si>
  <si>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</si>
  <si>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</si>
  <si>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</si>
  <si>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</si>
  <si>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</si>
  <si>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</si>
  <si>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</si>
  <si>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</si>
  <si>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</si>
  <si>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</si>
  <si>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</si>
  <si>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</si>
  <si>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</si>
  <si>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</si>
  <si>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</si>
  <si>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</si>
  <si>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</si>
  <si>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</si>
  <si>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</si>
  <si>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</si>
  <si>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</si>
  <si>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</si>
  <si>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</si>
  <si>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</si>
  <si>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</si>
  <si>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</si>
  <si>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</si>
  <si>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</si>
  <si>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</si>
  <si>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</si>
  <si>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</si>
  <si>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</si>
  <si>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</si>
  <si>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</si>
  <si>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</si>
  <si>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</si>
  <si>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</si>
  <si>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</si>
  <si>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</si>
  <si>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</si>
  <si>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</si>
  <si>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</si>
  <si>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</si>
  <si>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</si>
  <si>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</si>
  <si>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</si>
  <si>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</si>
  <si>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</si>
  <si>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</si>
  <si>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</si>
  <si>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</si>
  <si>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</si>
  <si>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</si>
  <si>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</si>
  <si>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</si>
  <si>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</si>
  <si>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</si>
  <si>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</si>
  <si>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</si>
  <si>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</si>
  <si>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</si>
  <si>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</si>
  <si>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</si>
  <si>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</si>
  <si>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</si>
  <si>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</si>
  <si>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</si>
  <si>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</si>
  <si>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</si>
  <si>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</si>
  <si>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</si>
  <si>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</si>
  <si>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</si>
  <si>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</si>
  <si>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</si>
  <si>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</si>
  <si>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</si>
  <si>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</si>
  <si>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</si>
  <si>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</si>
  <si>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</si>
  <si>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</si>
  <si>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</si>
  <si>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</si>
  <si>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</si>
  <si>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</si>
  <si>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</si>
  <si>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</si>
  <si>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</si>
  <si>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</si>
  <si>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</si>
  <si>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</si>
  <si>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</si>
  <si>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</si>
  <si>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</si>
  <si>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</si>
  <si>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</si>
  <si>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</si>
  <si>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</si>
  <si>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</si>
  <si>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</si>
  <si>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</si>
  <si>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</si>
  <si>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</si>
  <si>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</si>
  <si>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</si>
  <si>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</si>
  <si>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</si>
  <si>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</si>
  <si>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</si>
  <si>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</si>
  <si>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</si>
  <si>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</si>
  <si>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</si>
  <si>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</si>
  <si>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</si>
  <si>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</si>
  <si>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</si>
  <si>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</si>
  <si>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</si>
  <si>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</si>
  <si>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</si>
  <si>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</si>
  <si>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</si>
  <si>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</si>
  <si>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</si>
  <si>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</si>
  <si>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</si>
  <si>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</si>
  <si>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</si>
  <si>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</si>
  <si>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</si>
  <si>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</si>
  <si>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</si>
  <si>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</si>
  <si>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</si>
  <si>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</si>
  <si>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</si>
  <si>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</si>
  <si>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</si>
  <si>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</si>
  <si>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</si>
  <si>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</si>
  <si>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</si>
  <si>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</si>
  <si>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</si>
  <si>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</si>
  <si>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</si>
  <si>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</si>
  <si>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</si>
  <si>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</si>
  <si>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</si>
  <si>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</si>
  <si>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</si>
  <si>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</si>
  <si>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</si>
  <si>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</si>
  <si>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</si>
  <si>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</si>
  <si>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</si>
  <si>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</si>
  <si>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</si>
  <si>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</si>
  <si>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</si>
  <si>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</si>
  <si>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</si>
  <si>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</si>
  <si>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</si>
  <si>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</si>
  <si>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</si>
  <si>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</si>
  <si>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</si>
  <si>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</si>
  <si>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</si>
  <si>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</si>
  <si>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</si>
  <si>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</si>
  <si>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</si>
  <si>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</si>
  <si>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</si>
  <si>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</si>
  <si>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</si>
  <si>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</si>
  <si>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</si>
  <si>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</si>
  <si>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</si>
  <si>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</si>
  <si>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</si>
  <si>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</si>
  <si>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</si>
  <si>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</si>
  <si>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</si>
  <si>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</si>
  <si>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</si>
  <si>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</si>
  <si>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</si>
  <si>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</si>
  <si>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</si>
  <si>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</si>
  <si>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</si>
  <si>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</si>
  <si>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</si>
  <si>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</si>
  <si>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</si>
  <si>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</si>
  <si>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</si>
  <si>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</si>
  <si>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</si>
  <si>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</si>
  <si>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</si>
  <si>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</si>
  <si>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</si>
  <si>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</si>
  <si>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</si>
  <si>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</si>
  <si>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</si>
  <si>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</si>
  <si>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</si>
  <si>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</si>
  <si>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</si>
  <si>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</si>
  <si>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</si>
  <si>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</si>
  <si>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</si>
  <si>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</si>
  <si>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</si>
  <si>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</si>
  <si>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</si>
  <si>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</si>
  <si>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</si>
  <si>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</si>
  <si>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</si>
  <si>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</si>
  <si>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</si>
  <si>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</si>
  <si>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</si>
  <si>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</si>
  <si>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</si>
  <si>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</si>
  <si>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</si>
  <si>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</si>
  <si>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</si>
  <si>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</si>
  <si>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</si>
  <si>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</si>
  <si>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</si>
  <si>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</si>
  <si>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</si>
  <si>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</si>
  <si>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</si>
  <si>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</si>
  <si>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</si>
  <si>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</si>
  <si>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</si>
  <si>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</si>
  <si>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</si>
  <si>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</si>
  <si>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</si>
  <si>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</si>
  <si>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</si>
  <si>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</si>
  <si>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</si>
  <si>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</si>
  <si>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</si>
  <si>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</si>
  <si>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</si>
  <si>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</si>
  <si>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</si>
  <si>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</si>
  <si>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</si>
  <si>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</si>
  <si>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</si>
  <si>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</si>
  <si>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</si>
  <si>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</si>
  <si>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</si>
  <si>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</si>
  <si>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</si>
  <si>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</si>
  <si>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</si>
  <si>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</si>
  <si>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</si>
  <si>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</si>
  <si>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</si>
  <si>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</si>
  <si>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</si>
  <si>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</si>
  <si>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</si>
  <si>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</si>
  <si>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</si>
  <si>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</si>
  <si>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</si>
  <si>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</si>
  <si>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</si>
  <si>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</si>
  <si>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</si>
  <si>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</si>
  <si>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</si>
  <si>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</si>
  <si>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</si>
  <si>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</si>
  <si>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</si>
  <si>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</si>
  <si>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</si>
  <si>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</si>
  <si>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</si>
  <si>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</si>
  <si>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</si>
  <si>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</si>
  <si>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</si>
  <si>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</si>
  <si>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</si>
  <si>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</si>
  <si>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</si>
  <si>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</si>
  <si>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</si>
  <si>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</si>
  <si>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</si>
  <si>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</si>
  <si>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</si>
  <si>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</si>
  <si>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</si>
  <si>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</si>
  <si>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</si>
  <si>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</si>
  <si>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</si>
  <si>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</si>
  <si>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</si>
  <si>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</si>
  <si>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</si>
  <si>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</si>
  <si>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</si>
  <si>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</si>
  <si>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</si>
  <si>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</si>
  <si>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</si>
  <si>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</si>
  <si>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</si>
  <si>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</si>
  <si>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</si>
  <si>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</si>
  <si>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</si>
  <si>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</si>
  <si>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</si>
  <si>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</si>
  <si>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</si>
  <si>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</si>
  <si>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</si>
  <si>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</si>
  <si>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</si>
  <si>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</si>
  <si>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</si>
  <si>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</si>
  <si>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</si>
  <si>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</si>
  <si>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</si>
  <si>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</si>
  <si>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</si>
  <si>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</si>
  <si>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</si>
  <si>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</si>
  <si>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</si>
  <si>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</si>
  <si>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</si>
  <si>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</si>
  <si>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</si>
  <si>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</si>
  <si>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</si>
  <si>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</si>
  <si>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</si>
  <si>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</si>
  <si>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</si>
  <si>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</si>
  <si>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</si>
  <si>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</si>
  <si>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</si>
  <si>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</si>
  <si>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</si>
  <si>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</si>
  <si>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</si>
  <si>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</si>
  <si>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</si>
  <si>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</si>
  <si>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</si>
  <si>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</si>
  <si>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</si>
  <si>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</si>
  <si>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</si>
  <si>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</si>
  <si>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</si>
  <si>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</si>
  <si>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</si>
  <si>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</si>
  <si>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</si>
  <si>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</si>
  <si>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</si>
  <si>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</si>
  <si>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</si>
  <si>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</si>
  <si>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</si>
  <si>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</si>
  <si>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</si>
  <si>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</si>
  <si>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</si>
  <si>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</si>
  <si>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</si>
  <si>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</si>
  <si>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</si>
  <si>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</si>
  <si>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</si>
  <si>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</si>
  <si>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</si>
  <si>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</si>
  <si>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</si>
  <si>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</si>
  <si>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</si>
  <si>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</si>
  <si>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</si>
  <si>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</si>
  <si>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</si>
  <si>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</si>
  <si>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</si>
  <si>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</si>
  <si>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</si>
  <si>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</si>
  <si>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</si>
  <si>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</si>
  <si>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</si>
  <si>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</si>
  <si>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</si>
  <si>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</si>
  <si>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</si>
  <si>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</si>
  <si>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</si>
  <si>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</si>
  <si>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</si>
  <si>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</si>
  <si>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</si>
  <si>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</si>
  <si>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</si>
  <si>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</si>
  <si>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</si>
  <si>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</si>
  <si>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</si>
  <si>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</si>
  <si>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</si>
  <si>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</si>
  <si>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</si>
  <si>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</si>
  <si>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</si>
  <si>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</si>
  <si>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</si>
  <si>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</si>
  <si>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</si>
  <si>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</si>
  <si>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</si>
  <si>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</si>
  <si>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</si>
  <si>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</si>
  <si>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</si>
  <si>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</si>
  <si>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</si>
  <si>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</si>
  <si>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</si>
  <si>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</si>
  <si>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</si>
  <si>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</si>
  <si>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</si>
  <si>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</si>
  <si>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</si>
  <si>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</si>
  <si>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</si>
  <si>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</si>
  <si>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</si>
  <si>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</si>
  <si>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</si>
  <si>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</si>
  <si>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</si>
  <si>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</si>
  <si>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</si>
  <si>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</si>
  <si>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</si>
  <si>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</si>
  <si>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</si>
  <si>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</si>
  <si>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</si>
  <si>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</si>
  <si>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</si>
  <si>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</si>
  <si>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</si>
  <si>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</si>
  <si>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</si>
  <si>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</si>
  <si>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</si>
  <si>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</si>
  <si>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</si>
  <si>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</si>
  <si>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</si>
  <si>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</si>
  <si>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</si>
  <si>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</si>
  <si>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</si>
  <si>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</si>
  <si>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</si>
  <si>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</si>
  <si>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</si>
  <si>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</si>
  <si>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</si>
  <si>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</si>
  <si>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</si>
  <si>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</si>
  <si>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</si>
  <si>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</si>
  <si>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</si>
  <si>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</si>
  <si>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</si>
  <si>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</si>
  <si>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</si>
  <si>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</si>
  <si>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</si>
  <si>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</si>
  <si>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</si>
  <si>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</si>
  <si>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</si>
  <si>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</si>
  <si>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</si>
  <si>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</si>
  <si>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</si>
  <si>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</si>
  <si>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</si>
  <si>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</si>
  <si>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</si>
  <si>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</si>
  <si>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</si>
  <si>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</si>
  <si>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</si>
  <si>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</si>
  <si>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</si>
  <si>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</si>
  <si>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</si>
  <si>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</si>
  <si>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</si>
  <si>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</si>
  <si>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</si>
  <si>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</si>
  <si>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</si>
  <si>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</si>
  <si>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</si>
  <si>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</si>
  <si>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</si>
  <si>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</si>
  <si>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</si>
  <si>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</si>
  <si>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</si>
  <si>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</si>
  <si>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</si>
  <si>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</si>
  <si>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</si>
  <si>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</si>
  <si>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</si>
  <si>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</si>
  <si>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</si>
  <si>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</si>
  <si>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</si>
  <si>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</si>
  <si>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</si>
  <si>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</si>
  <si>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</si>
  <si>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</si>
  <si>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</si>
  <si>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</si>
  <si>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</si>
  <si>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</si>
  <si>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</si>
  <si>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</si>
  <si>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</si>
  <si>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</si>
  <si>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</si>
  <si>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</si>
  <si>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</si>
  <si>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</si>
  <si>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</si>
  <si>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</si>
  <si>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</si>
  <si>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</si>
  <si>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</si>
  <si>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</si>
  <si>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</si>
  <si>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</si>
  <si>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</si>
  <si>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</si>
  <si>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</si>
  <si>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</si>
  <si>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</si>
  <si>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</si>
  <si>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</si>
  <si>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</si>
  <si>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</si>
  <si>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</si>
  <si>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</si>
  <si>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</si>
  <si>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</si>
  <si>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</si>
  <si>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</si>
  <si>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</si>
  <si>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</si>
  <si>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</si>
  <si>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</si>
  <si>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</si>
  <si>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</si>
  <si>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</si>
  <si>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</si>
  <si>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</si>
  <si>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</si>
  <si>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</si>
  <si>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</si>
  <si>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</si>
  <si>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</si>
  <si>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</si>
  <si>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</si>
  <si>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</si>
  <si>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</si>
  <si>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</si>
  <si>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</si>
  <si>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</si>
  <si>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</si>
  <si>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</si>
  <si>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</si>
  <si>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</si>
  <si>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</si>
  <si>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</si>
  <si>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</si>
  <si>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</si>
  <si>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</si>
  <si>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</si>
  <si>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</si>
  <si>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</si>
  <si>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</si>
  <si>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</si>
  <si>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</si>
  <si>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</si>
  <si>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</si>
  <si>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</si>
  <si>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</si>
  <si>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</si>
  <si>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</si>
  <si>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</si>
  <si>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</si>
  <si>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</si>
  <si>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</si>
  <si>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</si>
  <si>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</si>
  <si>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</si>
  <si>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</si>
  <si>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</si>
  <si>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</si>
  <si>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</si>
  <si>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</si>
  <si>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</si>
  <si>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</si>
  <si>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</si>
  <si>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</si>
  <si>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</si>
  <si>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</si>
  <si>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</si>
  <si>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</si>
  <si>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</si>
  <si>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</si>
  <si>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</si>
  <si>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</si>
  <si>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</si>
  <si>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</si>
  <si>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</si>
  <si>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</si>
  <si>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</si>
  <si>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</si>
  <si>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</si>
  <si>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</si>
  <si>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</si>
  <si>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</si>
  <si>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</si>
  <si>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</si>
  <si>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</si>
  <si>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</si>
  <si>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</si>
  <si>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</si>
  <si>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</si>
  <si>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</si>
  <si>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</si>
  <si>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</si>
  <si>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</si>
  <si>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</si>
  <si>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</si>
  <si>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</si>
  <si>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</si>
  <si>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</si>
  <si>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</si>
  <si>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</si>
  <si>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</si>
  <si>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</si>
  <si>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</si>
  <si>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</si>
  <si>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</si>
  <si>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</si>
  <si>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</si>
  <si>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</si>
  <si>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</si>
  <si>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</si>
  <si>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</si>
  <si>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</si>
  <si>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</si>
  <si>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</si>
  <si>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</si>
  <si>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</si>
  <si>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</si>
  <si>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</si>
  <si>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</si>
  <si>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</si>
  <si>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</si>
  <si>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</si>
  <si>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</si>
  <si>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</si>
  <si>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</si>
  <si>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</si>
  <si>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</si>
  <si>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</si>
  <si>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</si>
  <si>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</si>
  <si>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</si>
  <si>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</si>
  <si>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</si>
  <si>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</si>
  <si>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</si>
  <si>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</si>
  <si>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</si>
  <si>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</si>
  <si>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</si>
  <si>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</si>
  <si>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</si>
  <si>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</si>
  <si>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</si>
  <si>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</si>
  <si>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</si>
  <si>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</si>
  <si>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</si>
  <si>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</si>
  <si>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</si>
  <si>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</si>
  <si>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</si>
  <si>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</si>
  <si>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</si>
  <si>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</si>
  <si>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</si>
  <si>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</si>
  <si>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</si>
  <si>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</si>
  <si>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</si>
  <si>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</si>
  <si>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</si>
  <si>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</si>
  <si>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</si>
  <si>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</si>
  <si>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</si>
  <si>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</si>
  <si>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</si>
  <si>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</si>
  <si>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</si>
  <si>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</si>
  <si>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</si>
  <si>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</si>
  <si>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</si>
  <si>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</si>
  <si>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</si>
  <si>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</si>
  <si>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</si>
  <si>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</si>
  <si>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</si>
  <si>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</si>
  <si>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</si>
  <si>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</si>
  <si>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</si>
  <si>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</si>
  <si>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</si>
  <si>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</si>
  <si>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</si>
  <si>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</si>
  <si>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</si>
  <si>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</si>
  <si>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</si>
  <si>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</si>
  <si>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</si>
  <si>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</si>
  <si>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</si>
  <si>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</si>
  <si>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</si>
  <si>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</si>
  <si>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</si>
  <si>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</si>
  <si>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</si>
  <si>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</si>
  <si>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</si>
  <si>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</si>
  <si>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</si>
  <si>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</si>
  <si>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</si>
  <si>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</si>
  <si>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</si>
  <si>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</si>
  <si>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</si>
  <si>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</si>
  <si>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</si>
  <si>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</si>
  <si>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</si>
  <si>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</si>
  <si>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</si>
  <si>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</si>
  <si>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</si>
  <si>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</si>
  <si>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</si>
  <si>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</si>
  <si>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</si>
  <si>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</si>
  <si>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</si>
  <si>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</si>
  <si>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</si>
  <si>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</si>
  <si>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</si>
  <si>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</si>
  <si>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</si>
  <si>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</si>
  <si>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</si>
  <si>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</si>
  <si>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</si>
  <si>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</si>
  <si>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</si>
  <si>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</si>
  <si>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</si>
  <si>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</si>
  <si>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</si>
  <si>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</si>
  <si>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</si>
  <si>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</si>
  <si>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</si>
  <si>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</si>
  <si>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</si>
  <si>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</si>
  <si>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</si>
  <si>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</si>
  <si>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</si>
  <si>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</si>
  <si>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</si>
  <si>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</si>
  <si>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</si>
  <si>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</si>
  <si>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</si>
  <si>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</si>
  <si>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</si>
  <si>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</si>
  <si>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</si>
  <si>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</si>
  <si>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</si>
  <si>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</si>
  <si>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</si>
  <si>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</si>
  <si>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</si>
  <si>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</si>
  <si>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</si>
  <si>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</si>
  <si>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</si>
  <si>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</si>
  <si>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</si>
  <si>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</si>
  <si>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</si>
  <si>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</si>
  <si>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</si>
  <si>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</si>
  <si>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</si>
  <si>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</si>
  <si>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</si>
  <si>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</si>
  <si>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</si>
  <si>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</si>
  <si>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</si>
  <si>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</si>
  <si>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</si>
  <si>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</si>
  <si>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</si>
  <si>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</si>
  <si>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</si>
  <si>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</si>
  <si>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</si>
  <si>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</si>
  <si>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</si>
  <si>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</si>
  <si>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</si>
  <si>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</si>
  <si>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</si>
  <si>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</si>
  <si>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</si>
  <si>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</si>
  <si>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</si>
  <si>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</si>
  <si>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</si>
  <si>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</si>
  <si>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</si>
  <si>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</si>
  <si>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</si>
  <si>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</si>
  <si>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</si>
  <si>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</si>
  <si>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</si>
  <si>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</si>
  <si>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</si>
  <si>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</si>
  <si>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</si>
  <si>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</si>
  <si>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</si>
  <si>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</si>
  <si>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</si>
  <si>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</si>
  <si>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</si>
  <si>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</si>
  <si>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</si>
  <si>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</si>
  <si>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</si>
  <si>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</si>
  <si>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</si>
  <si>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</si>
  <si>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</si>
  <si>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</si>
  <si>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</si>
  <si>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</si>
  <si>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</si>
  <si>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</si>
  <si>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</si>
  <si>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</si>
  <si>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</si>
  <si>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</si>
  <si>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</si>
  <si>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</si>
  <si>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</si>
  <si>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</si>
  <si>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</si>
  <si>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</si>
  <si>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</si>
  <si>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</si>
  <si>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</si>
  <si>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</si>
  <si>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</si>
  <si>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</si>
  <si>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</si>
  <si>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</si>
  <si>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</si>
  <si>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</si>
  <si>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</si>
  <si>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</si>
  <si>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</si>
  <si>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</si>
  <si>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</si>
  <si>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</si>
  <si>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</si>
  <si>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</si>
  <si>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</si>
  <si>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</si>
  <si>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</si>
  <si>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</si>
  <si>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</si>
  <si>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</si>
  <si>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</si>
  <si>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</si>
  <si>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</si>
  <si>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</si>
  <si>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</si>
  <si>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</si>
  <si>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</si>
  <si>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</si>
  <si>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</si>
  <si>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</si>
  <si>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</si>
  <si>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</si>
  <si>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</si>
  <si>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</si>
  <si>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</si>
  <si>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</si>
  <si>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</si>
  <si>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</si>
  <si>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</si>
  <si>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</si>
  <si>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</si>
  <si>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</si>
  <si>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</si>
  <si>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</si>
  <si>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</si>
  <si>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</si>
  <si>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</si>
  <si>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</si>
  <si>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</si>
  <si>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</si>
  <si>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</si>
  <si>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</si>
  <si>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</si>
  <si>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</si>
  <si>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</si>
  <si>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</si>
  <si>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</si>
  <si>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</si>
  <si>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</si>
  <si>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</si>
  <si>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</si>
  <si>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</si>
  <si>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</si>
  <si>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</si>
  <si>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</si>
  <si>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</si>
  <si>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</si>
  <si>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</si>
  <si>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</si>
  <si>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</si>
  <si>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</si>
  <si>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</si>
  <si>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</si>
  <si>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</si>
  <si>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</si>
  <si>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</si>
  <si>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</si>
  <si>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</si>
  <si>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</si>
  <si>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</si>
  <si>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</si>
  <si>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</si>
  <si>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</si>
  <si>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</si>
  <si>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</si>
  <si>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</si>
  <si>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</si>
  <si>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</si>
  <si>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</si>
  <si>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</si>
  <si>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</si>
  <si>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</si>
  <si>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</si>
  <si>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</si>
  <si>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</si>
  <si>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</si>
  <si>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</si>
  <si>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</si>
  <si>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</si>
  <si>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</si>
  <si>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</si>
  <si>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</si>
  <si>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</si>
  <si>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</si>
  <si>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</si>
  <si>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</si>
  <si>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</si>
  <si>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</si>
  <si>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</si>
  <si>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</si>
  <si>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</si>
  <si>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</si>
  <si>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</si>
  <si>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</si>
  <si>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</si>
  <si>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序号</t>
  </si>
  <si>
    <t>序号</t>
    <phoneticPr fontId="134" type="noConversion"/>
  </si>
  <si>
    <t>房号</t>
    <phoneticPr fontId="134" type="noConversion"/>
  </si>
  <si>
    <r>
      <t>3</t>
    </r>
    <r>
      <rPr>
        <sz val="11"/>
        <color theme="1"/>
        <rFont val="宋体"/>
        <family val="3"/>
        <charset val="134"/>
        <scheme val="minor"/>
      </rPr>
      <t>9-4</t>
    </r>
    <phoneticPr fontId="134" type="noConversion"/>
  </si>
  <si>
    <r>
      <t>3</t>
    </r>
    <r>
      <rPr>
        <sz val="11"/>
        <color theme="1"/>
        <rFont val="宋体"/>
        <family val="3"/>
        <charset val="134"/>
        <scheme val="minor"/>
      </rPr>
      <t>9-14</t>
    </r>
    <phoneticPr fontId="134" type="noConversion"/>
  </si>
  <si>
    <t>所在楼层</t>
    <phoneticPr fontId="134" type="noConversion"/>
  </si>
  <si>
    <t>建筑面积</t>
  </si>
  <si>
    <t>建筑面积</t>
    <phoneticPr fontId="134" type="noConversion"/>
  </si>
  <si>
    <t>办公</t>
    <phoneticPr fontId="272" type="noConversion"/>
  </si>
  <si>
    <t>&lt;500平米</t>
    <phoneticPr fontId="274" type="noConversion"/>
  </si>
  <si>
    <t>零售业（含餐饮）</t>
    <phoneticPr fontId="247" type="noConversion"/>
  </si>
  <si>
    <t>2025年</t>
    <phoneticPr fontId="272" type="noConversion"/>
  </si>
  <si>
    <t>leases</t>
    <phoneticPr fontId="272" type="noConversion"/>
  </si>
  <si>
    <t>未来0-3个月到期</t>
    <phoneticPr fontId="274" type="noConversion"/>
  </si>
  <si>
    <t>管理费</t>
    <phoneticPr fontId="272" type="noConversion"/>
  </si>
  <si>
    <t>商业</t>
    <phoneticPr fontId="272" type="noConversion"/>
  </si>
  <si>
    <t>500-1000平米</t>
    <phoneticPr fontId="274" type="noConversion"/>
  </si>
  <si>
    <t>教育</t>
    <phoneticPr fontId="247" type="noConversion"/>
  </si>
  <si>
    <t>2026年</t>
    <phoneticPr fontId="272" type="noConversion"/>
  </si>
  <si>
    <t>出租率</t>
    <phoneticPr fontId="272" type="noConversion"/>
  </si>
  <si>
    <t>未来3-6个月到期</t>
    <phoneticPr fontId="274" type="noConversion"/>
  </si>
  <si>
    <t>地下及库房</t>
    <phoneticPr fontId="3" type="noConversion"/>
  </si>
  <si>
    <t>1000-3000平米</t>
    <phoneticPr fontId="274" type="noConversion"/>
  </si>
  <si>
    <t>IT及高科技</t>
    <phoneticPr fontId="247" type="noConversion"/>
  </si>
  <si>
    <t>2027年</t>
  </si>
  <si>
    <t>签约率</t>
    <phoneticPr fontId="272" type="noConversion"/>
  </si>
  <si>
    <t>未来7-12个月到期</t>
    <phoneticPr fontId="274" type="noConversion"/>
  </si>
  <si>
    <t>公寓</t>
    <phoneticPr fontId="3" type="noConversion"/>
  </si>
  <si>
    <t>3000平米以上</t>
    <phoneticPr fontId="274" type="noConversion"/>
  </si>
  <si>
    <t>金融、投资及保险业</t>
    <phoneticPr fontId="247" type="noConversion"/>
  </si>
  <si>
    <t>2028年</t>
  </si>
  <si>
    <t>平均租金</t>
    <phoneticPr fontId="272" type="noConversion"/>
  </si>
  <si>
    <t>文体娱乐</t>
    <phoneticPr fontId="247" type="noConversion"/>
  </si>
  <si>
    <t>2029年及以后</t>
    <phoneticPr fontId="272" type="noConversion"/>
  </si>
  <si>
    <t>工程</t>
    <phoneticPr fontId="247" type="noConversion"/>
  </si>
  <si>
    <t>专业服务业</t>
    <phoneticPr fontId="247" type="noConversion"/>
  </si>
  <si>
    <t>制造业</t>
    <phoneticPr fontId="247" type="noConversion"/>
  </si>
  <si>
    <t>医药业</t>
    <phoneticPr fontId="247" type="noConversion"/>
  </si>
  <si>
    <t>交通物流</t>
    <phoneticPr fontId="247" type="noConversion"/>
  </si>
  <si>
    <t>集团总部</t>
    <phoneticPr fontId="247" type="noConversion"/>
  </si>
  <si>
    <t>能源业</t>
    <phoneticPr fontId="247" type="noConversion"/>
  </si>
  <si>
    <t>贸易</t>
    <phoneticPr fontId="247" type="noConversion"/>
  </si>
  <si>
    <t>房地产</t>
    <phoneticPr fontId="247" type="noConversion"/>
  </si>
  <si>
    <t>弘源高科</t>
  </si>
  <si>
    <t>租赁清单</t>
    <phoneticPr fontId="274" type="noConversion"/>
  </si>
  <si>
    <t>基本租赁信息</t>
  </si>
  <si>
    <t>租赁期限</t>
  </si>
  <si>
    <t>现行价格</t>
  </si>
  <si>
    <t>装修(免租)期</t>
  </si>
  <si>
    <t>签约租金及物业费</t>
  </si>
  <si>
    <t>租金递增情况</t>
  </si>
  <si>
    <t>楼层</t>
    <phoneticPr fontId="274" type="noConversion"/>
  </si>
  <si>
    <t>单元号</t>
  </si>
  <si>
    <t>租户名称</t>
  </si>
  <si>
    <t>所属行业</t>
  </si>
  <si>
    <t>合同类型</t>
  </si>
  <si>
    <t>商业类型</t>
  </si>
  <si>
    <t>开始日期</t>
  </si>
  <si>
    <t>结束日期</t>
  </si>
  <si>
    <t>租期</t>
  </si>
  <si>
    <t>日租金</t>
  </si>
  <si>
    <t>月数</t>
  </si>
  <si>
    <t>自</t>
  </si>
  <si>
    <t>至</t>
  </si>
  <si>
    <t>月租金</t>
  </si>
  <si>
    <t>月管理费</t>
  </si>
  <si>
    <t>第1次涨租日</t>
  </si>
  <si>
    <t>增幅</t>
  </si>
  <si>
    <t>调整后日租金</t>
  </si>
  <si>
    <t>调整后月租金</t>
  </si>
  <si>
    <t>第2次涨租日</t>
  </si>
  <si>
    <t>第3次涨租日</t>
    <phoneticPr fontId="274" type="noConversion"/>
  </si>
  <si>
    <t>租赁租户</t>
  </si>
  <si>
    <t/>
  </si>
  <si>
    <t>1</t>
  </si>
  <si>
    <t>39-4-01</t>
  </si>
  <si>
    <t>北京和合聚餐饮有限公司</t>
  </si>
  <si>
    <t>零售业（含餐饮）</t>
  </si>
  <si>
    <t>N/A</t>
  </si>
  <si>
    <t>2</t>
  </si>
  <si>
    <t>39-4-02</t>
  </si>
  <si>
    <t>北京梦想蜂连锁商业有限公司</t>
  </si>
  <si>
    <t>3</t>
  </si>
  <si>
    <t>39-4-03</t>
  </si>
  <si>
    <t>北京壹壹壹商业连锁有限公司</t>
  </si>
  <si>
    <t>2020/11/25    2025/6/25     2026/10/25      2027/10/25      2028/11/1</t>
  </si>
  <si>
    <t>2020/12/31      2025/8/24   2026/11/24   2027/11/24    2028/11/24</t>
  </si>
  <si>
    <t>4</t>
  </si>
  <si>
    <t>39-4-04</t>
  </si>
  <si>
    <t>北京丁一餐饮管理有限公司</t>
  </si>
  <si>
    <t>5</t>
  </si>
  <si>
    <t>39-14-02/39-4-07</t>
  </si>
  <si>
    <t>马云骥</t>
  </si>
  <si>
    <t>6</t>
  </si>
  <si>
    <t>39-14-01/39-4-06</t>
  </si>
  <si>
    <t>北京渝味晓宇餐饮有限公司</t>
  </si>
  <si>
    <t>7</t>
  </si>
  <si>
    <t>2F/3F</t>
  </si>
  <si>
    <t>北京升鑫网络科技有限公司</t>
  </si>
  <si>
    <t>IT及高科技</t>
  </si>
  <si>
    <t>（此行前添加行）</t>
    <phoneticPr fontId="272" type="noConversion"/>
  </si>
  <si>
    <t>签约租户</t>
  </si>
  <si>
    <t>办公面积</t>
  </si>
  <si>
    <t>商业面积</t>
  </si>
  <si>
    <t>总面积</t>
  </si>
  <si>
    <t>办公出租面积</t>
  </si>
  <si>
    <t>商业出租面积</t>
  </si>
  <si>
    <t>办公签约面积</t>
  </si>
  <si>
    <t>商业签约面积</t>
  </si>
  <si>
    <t>办公出租率</t>
  </si>
  <si>
    <t>商业出租率</t>
  </si>
  <si>
    <t>总出租率</t>
  </si>
  <si>
    <t>办公签约率</t>
  </si>
  <si>
    <t>商业签约率</t>
    <phoneticPr fontId="274" type="noConversion"/>
  </si>
  <si>
    <t>总签约率</t>
  </si>
  <si>
    <t>办公平均租金</t>
  </si>
  <si>
    <t>商业平均租金</t>
  </si>
  <si>
    <t>总平均租金</t>
  </si>
  <si>
    <t>加权平均到期期限(按面积加权)(年)</t>
  </si>
  <si>
    <t>公式数据</t>
    <phoneticPr fontId="274" type="noConversion"/>
  </si>
  <si>
    <t>抵押</t>
  </si>
  <si>
    <t>房地产抵押价值</t>
  </si>
  <si>
    <t>北京市</t>
  </si>
  <si>
    <t>企业</t>
  </si>
  <si>
    <t>自定义容积率</t>
  </si>
  <si>
    <t>不临65条商业街</t>
  </si>
  <si>
    <t>与级别开发程度一致</t>
  </si>
  <si>
    <t>楼层修正</t>
  </si>
  <si>
    <t>地上</t>
  </si>
  <si>
    <t>是</t>
  </si>
  <si>
    <t>39-4</t>
  </si>
  <si>
    <t>成新度</t>
  </si>
  <si>
    <t>押一</t>
  </si>
  <si>
    <t>钢混</t>
  </si>
  <si>
    <t>非生产用房</t>
  </si>
  <si>
    <t>未包含在土地购买价格中</t>
  </si>
  <si>
    <t>已包含在土地取得成本中</t>
  </si>
  <si>
    <t>较好</t>
  </si>
  <si>
    <t>一般</t>
  </si>
  <si>
    <t>较差</t>
  </si>
  <si>
    <t>好</t>
  </si>
  <si>
    <t>收益法-203</t>
  </si>
  <si>
    <t>收益法-203</t>
    <phoneticPr fontId="16" type="noConversion"/>
  </si>
  <si>
    <t>收益法-303</t>
  </si>
  <si>
    <t>收益法-303</t>
    <phoneticPr fontId="16" type="noConversion"/>
  </si>
  <si>
    <t>收益法-39-4</t>
  </si>
  <si>
    <t>收益法-39-4</t>
    <phoneticPr fontId="16" type="noConversion"/>
  </si>
  <si>
    <t>成本法-203</t>
  </si>
  <si>
    <t>成本法-303</t>
  </si>
  <si>
    <t>成本法-303</t>
    <phoneticPr fontId="16" type="noConversion"/>
  </si>
  <si>
    <t>现房</t>
  </si>
  <si>
    <t>项目局部</t>
  </si>
  <si>
    <t>单套模式</t>
  </si>
  <si>
    <t>售价</t>
  </si>
  <si>
    <t>总价</t>
  </si>
  <si>
    <t>收益比率</t>
  </si>
  <si>
    <t>成本比率</t>
  </si>
  <si>
    <t>成本法-39-4</t>
  </si>
  <si>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</si>
  <si>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</si>
  <si>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</si>
  <si>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1层</t>
  </si>
  <si>
    <t>临街</t>
  </si>
  <si>
    <t>临街状况</t>
    <phoneticPr fontId="3" type="noConversion"/>
  </si>
  <si>
    <t>临街</t>
    <phoneticPr fontId="24" type="noConversion"/>
  </si>
  <si>
    <t>不临街</t>
  </si>
  <si>
    <t>不临街</t>
    <phoneticPr fontId="24" type="noConversion"/>
  </si>
  <si>
    <t>可视性</t>
    <phoneticPr fontId="3" type="noConversion"/>
  </si>
  <si>
    <t>好</t>
    <phoneticPr fontId="24" type="noConversion"/>
  </si>
  <si>
    <t>较好</t>
    <phoneticPr fontId="24" type="noConversion"/>
  </si>
  <si>
    <t>一般</t>
    <phoneticPr fontId="24" type="noConversion"/>
  </si>
  <si>
    <t>较差</t>
    <phoneticPr fontId="24" type="noConversion"/>
  </si>
  <si>
    <t>差</t>
    <phoneticPr fontId="24" type="noConversion"/>
  </si>
  <si>
    <t>情况4</t>
  </si>
  <si>
    <t>正常</t>
  </si>
  <si>
    <t>转让取得</t>
  </si>
  <si>
    <t>非个人房产</t>
  </si>
  <si>
    <t>2016年5月1日后购买</t>
  </si>
  <si>
    <t>2016年5月1日前购买</t>
  </si>
  <si>
    <t>否</t>
  </si>
  <si>
    <t>购买价</t>
    <phoneticPr fontId="134" type="noConversion"/>
  </si>
  <si>
    <t>比较法-住宅</t>
  </si>
  <si>
    <t>39-14</t>
  </si>
  <si>
    <t>项目模式</t>
  </si>
  <si>
    <t>购房发票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</si>
</sst>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0.00_);_(* \(#,##0.00\);_(* &quot;-&quot;??_);_(@_)"/>
    <numFmt numFmtId="198" formatCode="_(* #,##0_);_(* \(#,##0\);_(* &quot;-&quot;??_);_(@_)"/>
    <numFmt numFmtId="199" formatCode="[$-409]d\-mmm\-yy;@"/>
    <numFmt numFmtId="200" formatCode="yyyy\-mm\-d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8"/>
      <name val="微软雅黑"/>
      <family val="2"/>
      <charset val="134"/>
    </font>
    <font>
      <sz val="9"/>
      <name val="等线"/>
      <family val="3"/>
      <charset val="134"/>
    </font>
    <font>
      <sz val="12"/>
      <name val="Times New Roman"/>
      <family val="1"/>
    </font>
    <font>
      <sz val="9"/>
      <name val="Times New Roman"/>
      <family val="1"/>
    </font>
    <font>
      <sz val="8"/>
      <color theme="1"/>
      <name val="微软雅黑"/>
      <family val="2"/>
      <charset val="134"/>
    </font>
    <font>
      <b/>
      <sz val="8"/>
      <name val="微软雅黑"/>
      <family val="2"/>
      <charset val="134"/>
    </font>
    <font>
      <sz val="11"/>
      <color indexed="8"/>
      <name val="宋体"/>
      <family val="2"/>
      <scheme val="minor"/>
    </font>
    <font>
      <b/>
      <sz val="8"/>
      <color theme="0"/>
      <name val="微软雅黑"/>
      <family val="2"/>
      <charset val="134"/>
    </font>
    <font>
      <sz val="8"/>
      <color theme="0"/>
      <name val="微软雅黑"/>
      <family val="2"/>
      <charset val="134"/>
    </font>
    <font>
      <sz val="8"/>
      <color indexed="8"/>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xf numFmtId="197" fontId="273" fillId="0" borderId="0" applyFont="0" applyFill="0" applyBorder="0" applyAlignment="0" applyProtection="0"/>
    <xf numFmtId="9" fontId="273" fillId="0" borderId="0" applyFont="0" applyFill="0" applyBorder="0" applyAlignment="0" applyProtection="0"/>
    <xf numFmtId="0" fontId="273" fillId="0" borderId="0"/>
    <xf numFmtId="0" fontId="277" fillId="0" borderId="0">
      <alignment vertical="center"/>
    </xf>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pplyFont="1" applyAlignment="1">
      <alignment vertical="center"/>
    </xf>
    <xf numFmtId="197" fontId="271" fillId="0" borderId="0" xfId="20" applyFont="1" applyAlignment="1">
      <alignment vertical="center"/>
    </xf>
    <xf numFmtId="0" fontId="271" fillId="0" borderId="0" xfId="19" applyFont="1"/>
    <xf numFmtId="197" fontId="271" fillId="0" borderId="0" xfId="20" applyFont="1"/>
    <xf numFmtId="0" fontId="275" fillId="0" borderId="0" xfId="8" applyFont="1">
      <alignment vertical="center"/>
    </xf>
    <xf numFmtId="10" fontId="271" fillId="0" borderId="0" xfId="21" applyNumberFormat="1" applyFont="1" applyAlignment="1">
      <alignment vertical="center"/>
    </xf>
    <xf numFmtId="197" fontId="271" fillId="0" borderId="0" xfId="20" applyFont="1" applyFill="1" applyAlignment="1">
      <alignment vertical="center"/>
    </xf>
    <xf numFmtId="14" fontId="271" fillId="0" borderId="0" xfId="19" applyNumberFormat="1" applyFont="1"/>
    <xf numFmtId="197" fontId="271" fillId="0" borderId="0" xfId="20" applyFont="1" applyFill="1"/>
    <xf numFmtId="198" fontId="271" fillId="0" borderId="0" xfId="20" applyNumberFormat="1" applyFont="1" applyFill="1" applyAlignment="1">
      <alignment vertical="center"/>
    </xf>
    <xf numFmtId="9" fontId="271" fillId="0" borderId="0" xfId="21" applyFont="1" applyFill="1" applyAlignment="1">
      <alignment vertical="center"/>
    </xf>
    <xf numFmtId="0" fontId="271" fillId="0" borderId="0" xfId="20" applyNumberFormat="1" applyFont="1"/>
    <xf numFmtId="181" fontId="271" fillId="0" borderId="0" xfId="21" applyNumberFormat="1" applyFont="1" applyFill="1" applyAlignment="1">
      <alignment vertical="center"/>
    </xf>
    <xf numFmtId="199" fontId="271" fillId="0" borderId="0" xfId="19" applyNumberFormat="1" applyFont="1" applyAlignment="1">
      <alignment vertical="center"/>
    </xf>
    <xf numFmtId="10" fontId="271" fillId="0" borderId="0" xfId="19" applyNumberFormat="1" applyFont="1" applyAlignment="1">
      <alignment vertical="center"/>
    </xf>
    <xf numFmtId="0" fontId="271" fillId="0" borderId="0" xfId="22" applyFont="1" applyAlignment="1">
      <alignment vertical="center"/>
    </xf>
    <xf numFmtId="0" fontId="276" fillId="0" borderId="0" xfId="22" applyFont="1" applyAlignment="1">
      <alignment vertical="center"/>
    </xf>
    <xf numFmtId="189" fontId="276" fillId="0" borderId="0" xfId="20" applyNumberFormat="1" applyFont="1" applyFill="1" applyAlignment="1">
      <alignment vertical="center"/>
    </xf>
    <xf numFmtId="0" fontId="278" fillId="22" borderId="95" xfId="23" applyFont="1" applyFill="1" applyBorder="1" applyAlignment="1">
      <alignment horizontal="center" vertical="center"/>
    </xf>
    <xf numFmtId="0" fontId="278" fillId="22" borderId="23" xfId="23" applyFont="1" applyFill="1" applyBorder="1" applyAlignment="1">
      <alignment horizontal="center" vertical="center"/>
    </xf>
    <xf numFmtId="0" fontId="278" fillId="22" borderId="1" xfId="23" applyFont="1" applyFill="1" applyBorder="1" applyAlignment="1">
      <alignment horizontal="center" vertical="center"/>
    </xf>
    <xf numFmtId="0" fontId="278" fillId="22" borderId="24" xfId="23" applyFont="1" applyFill="1" applyBorder="1" applyAlignment="1">
      <alignment horizontal="center" vertical="center"/>
    </xf>
    <xf numFmtId="0" fontId="278" fillId="22" borderId="86" xfId="23" applyFont="1" applyFill="1" applyBorder="1" applyAlignment="1">
      <alignment horizontal="center" vertical="center"/>
    </xf>
    <xf numFmtId="1" fontId="280" fillId="0" borderId="23" xfId="23" applyNumberFormat="1" applyFont="1" applyBorder="1" applyAlignment="1" applyProtection="1">
      <alignment horizontal="center" vertical="center"/>
      <protection locked="0"/>
    </xf>
    <xf numFmtId="1" fontId="280" fillId="0" borderId="1" xfId="23" applyNumberFormat="1" applyFont="1" applyBorder="1" applyAlignment="1" applyProtection="1">
      <alignment horizontal="center" vertical="center"/>
      <protection locked="0"/>
    </xf>
    <xf numFmtId="1" fontId="280" fillId="0" borderId="1" xfId="23" applyNumberFormat="1" applyFont="1" applyBorder="1" applyAlignment="1" applyProtection="1">
      <alignment horizontal="left" vertical="center"/>
      <protection locked="0"/>
    </xf>
    <xf numFmtId="1" fontId="280" fillId="0" borderId="24" xfId="23" applyNumberFormat="1" applyFont="1" applyBorder="1" applyAlignment="1" applyProtection="1">
      <alignment horizontal="right" vertical="center"/>
      <protection locked="0"/>
    </xf>
    <xf numFmtId="200" fontId="280" fillId="0" borderId="23" xfId="23" applyNumberFormat="1" applyFont="1" applyBorder="1" applyAlignment="1" applyProtection="1">
      <alignment horizontal="center" vertical="center"/>
      <protection locked="0"/>
    </xf>
    <xf numFmtId="200" fontId="280" fillId="0" borderId="1" xfId="23" applyNumberFormat="1" applyFont="1" applyBorder="1" applyAlignment="1" applyProtection="1">
      <alignment horizontal="center" vertical="center"/>
      <protection locked="0"/>
    </xf>
    <xf numFmtId="1" fontId="280" fillId="0" borderId="86" xfId="23" applyNumberFormat="1" applyFont="1" applyBorder="1" applyAlignment="1" applyProtection="1">
      <alignment horizontal="right" vertical="center"/>
      <protection locked="0"/>
    </xf>
    <xf numFmtId="1" fontId="280" fillId="0" borderId="23" xfId="23" applyNumberFormat="1" applyFont="1" applyBorder="1" applyAlignment="1" applyProtection="1">
      <alignment horizontal="right" vertical="center"/>
      <protection locked="0"/>
    </xf>
    <xf numFmtId="1" fontId="280" fillId="0" borderId="24" xfId="23" applyNumberFormat="1" applyFont="1" applyBorder="1" applyAlignment="1" applyProtection="1">
      <alignment horizontal="center" vertical="center"/>
      <protection locked="0"/>
    </xf>
    <xf numFmtId="1" fontId="280" fillId="0" borderId="1" xfId="23" applyNumberFormat="1" applyFont="1" applyBorder="1" applyAlignment="1" applyProtection="1">
      <alignment horizontal="right" vertical="center"/>
      <protection locked="0"/>
    </xf>
    <xf numFmtId="197" fontId="280" fillId="0" borderId="24" xfId="20" applyFont="1" applyBorder="1" applyAlignment="1" applyProtection="1">
      <alignment horizontal="right" vertical="center"/>
      <protection locked="0"/>
    </xf>
    <xf numFmtId="0" fontId="280" fillId="0" borderId="24" xfId="23" applyFont="1" applyBorder="1" applyAlignment="1" applyProtection="1">
      <alignment horizontal="right" vertical="center"/>
      <protection locked="0"/>
    </xf>
    <xf numFmtId="197" fontId="271" fillId="0" borderId="86" xfId="20" applyFont="1" applyFill="1" applyBorder="1" applyAlignment="1" applyProtection="1">
      <alignment horizontal="right" vertical="center"/>
      <protection locked="0"/>
    </xf>
    <xf numFmtId="198" fontId="271" fillId="0" borderId="1" xfId="20" applyNumberFormat="1" applyFont="1" applyFill="1" applyBorder="1" applyAlignment="1">
      <alignment horizontal="right" vertical="center"/>
    </xf>
    <xf numFmtId="14" fontId="271" fillId="0" borderId="1" xfId="19" applyNumberFormat="1" applyFont="1" applyBorder="1" applyAlignment="1">
      <alignment horizontal="right" vertical="center" wrapText="1"/>
    </xf>
    <xf numFmtId="197" fontId="280" fillId="0" borderId="23" xfId="20" applyFont="1" applyBorder="1" applyAlignment="1" applyProtection="1">
      <alignment horizontal="right" vertical="center"/>
      <protection locked="0"/>
    </xf>
    <xf numFmtId="197" fontId="280" fillId="0" borderId="1" xfId="20" applyFont="1" applyBorder="1" applyAlignment="1" applyProtection="1">
      <alignment horizontal="right" vertical="center"/>
      <protection locked="0"/>
    </xf>
    <xf numFmtId="10" fontId="280" fillId="0" borderId="1" xfId="23" applyNumberFormat="1" applyFont="1" applyBorder="1" applyAlignment="1" applyProtection="1">
      <alignment horizontal="right" vertical="center"/>
      <protection locked="0"/>
    </xf>
    <xf numFmtId="197" fontId="280" fillId="0" borderId="86" xfId="20" applyFont="1" applyBorder="1" applyAlignment="1" applyProtection="1">
      <alignment horizontal="right" vertical="center"/>
      <protection locked="0"/>
    </xf>
    <xf numFmtId="198" fontId="271" fillId="0" borderId="1" xfId="20" applyNumberFormat="1" applyFont="1" applyFill="1" applyBorder="1" applyAlignment="1">
      <alignment horizontal="center" vertical="center"/>
    </xf>
    <xf numFmtId="197" fontId="280" fillId="23" borderId="86" xfId="20" applyFont="1" applyFill="1" applyBorder="1" applyAlignment="1" applyProtection="1">
      <alignment horizontal="right" vertical="center"/>
      <protection locked="0"/>
    </xf>
    <xf numFmtId="1" fontId="276" fillId="23" borderId="23" xfId="19" applyNumberFormat="1" applyFont="1" applyFill="1" applyBorder="1" applyAlignment="1">
      <alignment vertical="center"/>
    </xf>
    <xf numFmtId="1" fontId="280" fillId="23" borderId="1" xfId="23" applyNumberFormat="1" applyFont="1" applyFill="1" applyBorder="1" applyAlignment="1" applyProtection="1">
      <alignment horizontal="center" vertical="center"/>
      <protection locked="0"/>
    </xf>
    <xf numFmtId="1" fontId="280" fillId="0" borderId="11" xfId="23" applyNumberFormat="1" applyFont="1" applyBorder="1" applyAlignment="1" applyProtection="1">
      <alignment horizontal="center" vertical="center"/>
      <protection locked="0"/>
    </xf>
    <xf numFmtId="1" fontId="280" fillId="0" borderId="13" xfId="23" applyNumberFormat="1" applyFont="1" applyBorder="1" applyAlignment="1" applyProtection="1">
      <alignment horizontal="center" vertical="center"/>
      <protection locked="0"/>
    </xf>
    <xf numFmtId="1" fontId="280" fillId="0" borderId="13" xfId="23" applyNumberFormat="1" applyFont="1" applyBorder="1" applyAlignment="1" applyProtection="1">
      <alignment horizontal="left" vertical="center"/>
      <protection locked="0"/>
    </xf>
    <xf numFmtId="197" fontId="280" fillId="0" borderId="61" xfId="20" applyFont="1" applyBorder="1" applyAlignment="1" applyProtection="1">
      <alignment horizontal="right" vertical="center"/>
      <protection locked="0"/>
    </xf>
    <xf numFmtId="200" fontId="280" fillId="0" borderId="11" xfId="23" applyNumberFormat="1" applyFont="1" applyBorder="1" applyAlignment="1" applyProtection="1">
      <alignment horizontal="center" vertical="center"/>
      <protection locked="0"/>
    </xf>
    <xf numFmtId="200" fontId="280" fillId="0" borderId="13" xfId="23" applyNumberFormat="1" applyFont="1" applyBorder="1" applyAlignment="1" applyProtection="1">
      <alignment horizontal="center" vertical="center"/>
      <protection locked="0"/>
    </xf>
    <xf numFmtId="1" fontId="280" fillId="0" borderId="61" xfId="23" applyNumberFormat="1" applyFont="1" applyBorder="1" applyAlignment="1" applyProtection="1">
      <alignment horizontal="right" vertical="center"/>
      <protection locked="0"/>
    </xf>
    <xf numFmtId="197" fontId="280" fillId="0" borderId="72" xfId="20" applyFont="1" applyBorder="1" applyAlignment="1" applyProtection="1">
      <alignment horizontal="right" vertical="center"/>
      <protection locked="0"/>
    </xf>
    <xf numFmtId="2" fontId="280" fillId="0" borderId="11" xfId="23" applyNumberFormat="1" applyFont="1" applyBorder="1" applyAlignment="1" applyProtection="1">
      <alignment horizontal="right" vertical="center"/>
      <protection locked="0"/>
    </xf>
    <xf numFmtId="14" fontId="280" fillId="0" borderId="13" xfId="23" applyNumberFormat="1" applyFont="1" applyBorder="1" applyAlignment="1" applyProtection="1">
      <alignment horizontal="center" vertical="center"/>
      <protection locked="0"/>
    </xf>
    <xf numFmtId="14" fontId="280" fillId="0" borderId="61" xfId="23" applyNumberFormat="1" applyFont="1" applyBorder="1" applyAlignment="1" applyProtection="1">
      <alignment horizontal="center" vertical="center"/>
      <protection locked="0"/>
    </xf>
    <xf numFmtId="197" fontId="280" fillId="0" borderId="11" xfId="20" applyFont="1" applyBorder="1" applyAlignment="1" applyProtection="1">
      <alignment horizontal="right" vertical="center"/>
      <protection locked="0"/>
    </xf>
    <xf numFmtId="197" fontId="280" fillId="0" borderId="13" xfId="20" applyFont="1" applyBorder="1" applyAlignment="1" applyProtection="1">
      <alignment horizontal="right" vertical="center"/>
      <protection locked="0"/>
    </xf>
    <xf numFmtId="1" fontId="280" fillId="0" borderId="13" xfId="23" applyNumberFormat="1" applyFont="1" applyBorder="1" applyAlignment="1" applyProtection="1">
      <alignment horizontal="right" vertical="center"/>
      <protection locked="0"/>
    </xf>
    <xf numFmtId="1" fontId="276" fillId="23" borderId="25" xfId="19" applyNumberFormat="1" applyFont="1" applyFill="1" applyBorder="1" applyAlignment="1">
      <alignment vertical="center"/>
    </xf>
    <xf numFmtId="1" fontId="280" fillId="23" borderId="32" xfId="23" applyNumberFormat="1" applyFont="1" applyFill="1" applyBorder="1" applyAlignment="1" applyProtection="1">
      <alignment horizontal="center" vertical="center"/>
      <protection locked="0"/>
    </xf>
    <xf numFmtId="1" fontId="280" fillId="0" borderId="32" xfId="23" applyNumberFormat="1" applyFont="1" applyBorder="1" applyAlignment="1" applyProtection="1">
      <alignment horizontal="center" vertical="center"/>
      <protection locked="0"/>
    </xf>
    <xf numFmtId="1" fontId="280" fillId="0" borderId="32" xfId="23" applyNumberFormat="1" applyFont="1" applyBorder="1" applyAlignment="1" applyProtection="1">
      <alignment horizontal="left" vertical="center"/>
      <protection locked="0"/>
    </xf>
    <xf numFmtId="197" fontId="280" fillId="0" borderId="49" xfId="20" applyFont="1" applyBorder="1" applyAlignment="1" applyProtection="1">
      <alignment horizontal="right" vertical="center"/>
      <protection locked="0"/>
    </xf>
    <xf numFmtId="200" fontId="280" fillId="0" borderId="25" xfId="23" applyNumberFormat="1" applyFont="1" applyBorder="1" applyAlignment="1" applyProtection="1">
      <alignment horizontal="center" vertical="center"/>
      <protection locked="0"/>
    </xf>
    <xf numFmtId="200" fontId="280" fillId="0" borderId="32" xfId="23" applyNumberFormat="1" applyFont="1" applyBorder="1" applyAlignment="1" applyProtection="1">
      <alignment horizontal="center" vertical="center"/>
      <protection locked="0"/>
    </xf>
    <xf numFmtId="0" fontId="280" fillId="0" borderId="49" xfId="23" applyFont="1" applyBorder="1" applyAlignment="1" applyProtection="1">
      <alignment horizontal="right" vertical="center"/>
      <protection locked="0"/>
    </xf>
    <xf numFmtId="197" fontId="280" fillId="0" borderId="96" xfId="20" applyFont="1" applyBorder="1" applyAlignment="1" applyProtection="1">
      <alignment horizontal="right" vertical="center"/>
      <protection locked="0"/>
    </xf>
    <xf numFmtId="0" fontId="280" fillId="0" borderId="25" xfId="23" applyFont="1" applyBorder="1" applyAlignment="1" applyProtection="1">
      <alignment horizontal="right" vertical="center"/>
      <protection locked="0"/>
    </xf>
    <xf numFmtId="1" fontId="280" fillId="0" borderId="49" xfId="23" applyNumberFormat="1" applyFont="1" applyBorder="1" applyAlignment="1" applyProtection="1">
      <alignment horizontal="center" vertical="center"/>
      <protection locked="0"/>
    </xf>
    <xf numFmtId="197" fontId="280" fillId="0" borderId="25" xfId="20" applyFont="1" applyBorder="1" applyAlignment="1" applyProtection="1">
      <alignment horizontal="right" vertical="center"/>
      <protection locked="0"/>
    </xf>
    <xf numFmtId="197" fontId="280" fillId="0" borderId="32" xfId="20" applyFont="1" applyBorder="1" applyAlignment="1" applyProtection="1">
      <alignment horizontal="right" vertical="center"/>
      <protection locked="0"/>
    </xf>
    <xf numFmtId="10" fontId="280" fillId="0" borderId="32" xfId="23" applyNumberFormat="1" applyFont="1" applyBorder="1" applyAlignment="1" applyProtection="1">
      <alignment horizontal="right" vertical="center"/>
      <protection locked="0"/>
    </xf>
    <xf numFmtId="0" fontId="280" fillId="0" borderId="0" xfId="23" applyFont="1">
      <alignment vertical="center"/>
    </xf>
    <xf numFmtId="4" fontId="271" fillId="0" borderId="0" xfId="22" applyNumberFormat="1" applyFont="1" applyAlignment="1">
      <alignment vertical="center"/>
    </xf>
    <xf numFmtId="9" fontId="271" fillId="0" borderId="0" xfId="22" applyNumberFormat="1" applyFont="1" applyAlignment="1">
      <alignment vertical="center"/>
    </xf>
    <xf numFmtId="10" fontId="271" fillId="0" borderId="0" xfId="22" applyNumberFormat="1" applyFont="1" applyAlignment="1">
      <alignment vertical="center"/>
    </xf>
    <xf numFmtId="2" fontId="271" fillId="0" borderId="0" xfId="22" applyNumberFormat="1" applyFont="1" applyAlignment="1">
      <alignment vertical="center"/>
    </xf>
    <xf numFmtId="0" fontId="271" fillId="0" borderId="0" xfId="22" applyFont="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49" fontId="60" fillId="0" borderId="1" xfId="0" applyNumberFormat="1"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197" fontId="271" fillId="0" borderId="0" xfId="22" applyNumberFormat="1" applyFont="1" applyAlignment="1">
      <alignment vertical="center"/>
    </xf>
    <xf numFmtId="1"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8" fillId="22" borderId="6" xfId="23" applyFont="1" applyFill="1" applyBorder="1" applyAlignment="1">
      <alignment horizontal="center" vertical="center"/>
    </xf>
    <xf numFmtId="0" fontId="279" fillId="22" borderId="19" xfId="23" applyFont="1" applyFill="1" applyBorder="1">
      <alignment vertical="center"/>
    </xf>
    <xf numFmtId="0" fontId="279" fillId="22" borderId="31" xfId="23" applyFont="1" applyFill="1" applyBorder="1">
      <alignment vertical="center"/>
    </xf>
    <xf numFmtId="0" fontId="278" fillId="22" borderId="69" xfId="23" applyFont="1" applyFill="1" applyBorder="1" applyAlignment="1">
      <alignment horizontal="center" vertical="center"/>
    </xf>
    <xf numFmtId="0" fontId="278" fillId="22" borderId="60" xfId="23"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4">
    <cellStyle name="Normal 22" xfId="19" xr:uid="{AC919A99-ED75-43F9-8A00-64A83166C739}"/>
    <cellStyle name="百分比" xfId="17" builtinId="5"/>
    <cellStyle name="百分比 2" xfId="14" xr:uid="{00000000-0005-0000-0000-000001000000}"/>
    <cellStyle name="百分比 3" xfId="21" xr:uid="{9BA93302-9318-4ED3-BE0D-E9257364D049}"/>
    <cellStyle name="常规" xfId="0" builtinId="0"/>
    <cellStyle name="常规 10" xfId="22" xr:uid="{1F869188-5EA0-418D-B55A-A21CCC69E965}"/>
    <cellStyle name="常规 11" xfId="18" xr:uid="{00000000-0005-0000-0000-000003000000}"/>
    <cellStyle name="常规 16" xfId="10" xr:uid="{00000000-0005-0000-0000-000004000000}"/>
    <cellStyle name="常规 18" xfId="23" xr:uid="{6CF6D195-ABA0-4DC5-B3F3-4EB24FF0DCA8}"/>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0" xr:uid="{AA2D7BDF-9D90-4F25-9E9E-1020E83B3E13}"/>
  </cellStyles>
  <dxfs count="193">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16</xdr:col>
      <xdr:colOff>646252</xdr:colOff>
      <xdr:row>28</xdr:row>
      <xdr:rowOff>142257</xdr:rowOff>
    </xdr:to>
    <xdr:pic>
      <xdr:nvPicPr>
        <xdr:cNvPr id="2" name="图片 1">
          <a:extLst>
            <a:ext uri="{FF2B5EF4-FFF2-40B4-BE49-F238E27FC236}">
              <a16:creationId xmlns:a16="http://schemas.microsoft.com/office/drawing/2014/main" id="{6FFE4D66-CC26-EC73-FB8A-579A409F5BE5}"/>
            </a:ext>
          </a:extLst>
        </xdr:cNvPr>
        <xdr:cNvPicPr>
          <a:picLocks noChangeAspect="1"/>
        </xdr:cNvPicPr>
      </xdr:nvPicPr>
      <xdr:blipFill>
        <a:blip xmlns:r="http://schemas.openxmlformats.org/officeDocument/2006/relationships" r:embed="rId1"/>
        <a:stretch>
          <a:fillRect/>
        </a:stretch>
      </xdr:blipFill>
      <xdr:spPr>
        <a:xfrm>
          <a:off x="38100" y="0"/>
          <a:ext cx="11580952" cy="4942857"/>
        </a:xfrm>
        <a:prstGeom prst="rect">
          <a:avLst/>
        </a:prstGeom>
      </xdr:spPr>
    </xdr:pic>
    <xdr:clientData/>
  </xdr:twoCellAnchor>
  <xdr:twoCellAnchor editAs="oneCell">
    <xdr:from>
      <xdr:col>0</xdr:col>
      <xdr:colOff>0</xdr:colOff>
      <xdr:row>30</xdr:row>
      <xdr:rowOff>0</xdr:rowOff>
    </xdr:from>
    <xdr:to>
      <xdr:col>12</xdr:col>
      <xdr:colOff>294209</xdr:colOff>
      <xdr:row>62</xdr:row>
      <xdr:rowOff>18362</xdr:rowOff>
    </xdr:to>
    <xdr:pic>
      <xdr:nvPicPr>
        <xdr:cNvPr id="3" name="图片 2">
          <a:extLst>
            <a:ext uri="{FF2B5EF4-FFF2-40B4-BE49-F238E27FC236}">
              <a16:creationId xmlns:a16="http://schemas.microsoft.com/office/drawing/2014/main" id="{8DF1D871-C726-DA4A-7BE9-E766DF57295A}"/>
            </a:ext>
          </a:extLst>
        </xdr:cNvPr>
        <xdr:cNvPicPr>
          <a:picLocks noChangeAspect="1"/>
        </xdr:cNvPicPr>
      </xdr:nvPicPr>
      <xdr:blipFill>
        <a:blip xmlns:r="http://schemas.openxmlformats.org/officeDocument/2006/relationships" r:embed="rId2"/>
        <a:stretch>
          <a:fillRect/>
        </a:stretch>
      </xdr:blipFill>
      <xdr:spPr>
        <a:xfrm>
          <a:off x="0" y="5143500"/>
          <a:ext cx="8523809" cy="5504762"/>
        </a:xfrm>
        <a:prstGeom prst="rect">
          <a:avLst/>
        </a:prstGeom>
      </xdr:spPr>
    </xdr:pic>
    <xdr:clientData/>
  </xdr:twoCellAnchor>
  <xdr:twoCellAnchor editAs="oneCell">
    <xdr:from>
      <xdr:col>12</xdr:col>
      <xdr:colOff>381000</xdr:colOff>
      <xdr:row>29</xdr:row>
      <xdr:rowOff>57150</xdr:rowOff>
    </xdr:from>
    <xdr:to>
      <xdr:col>23</xdr:col>
      <xdr:colOff>431721</xdr:colOff>
      <xdr:row>58</xdr:row>
      <xdr:rowOff>113671</xdr:rowOff>
    </xdr:to>
    <xdr:pic>
      <xdr:nvPicPr>
        <xdr:cNvPr id="4" name="图片 3">
          <a:extLst>
            <a:ext uri="{FF2B5EF4-FFF2-40B4-BE49-F238E27FC236}">
              <a16:creationId xmlns:a16="http://schemas.microsoft.com/office/drawing/2014/main" id="{C773E8B8-075E-B24D-11DC-CD1383E96E9F}"/>
            </a:ext>
          </a:extLst>
        </xdr:cNvPr>
        <xdr:cNvPicPr>
          <a:picLocks noChangeAspect="1"/>
        </xdr:cNvPicPr>
      </xdr:nvPicPr>
      <xdr:blipFill>
        <a:blip xmlns:r="http://schemas.openxmlformats.org/officeDocument/2006/relationships" r:embed="rId3"/>
        <a:stretch>
          <a:fillRect/>
        </a:stretch>
      </xdr:blipFill>
      <xdr:spPr>
        <a:xfrm>
          <a:off x="8610600" y="5029200"/>
          <a:ext cx="7885714" cy="5028571"/>
        </a:xfrm>
        <a:prstGeom prst="rect">
          <a:avLst/>
        </a:prstGeom>
      </xdr:spPr>
    </xdr:pic>
    <xdr:clientData/>
  </xdr:twoCellAnchor>
  <xdr:twoCellAnchor editAs="oneCell">
    <xdr:from>
      <xdr:col>0</xdr:col>
      <xdr:colOff>0</xdr:colOff>
      <xdr:row>62</xdr:row>
      <xdr:rowOff>114300</xdr:rowOff>
    </xdr:from>
    <xdr:to>
      <xdr:col>10</xdr:col>
      <xdr:colOff>495300</xdr:colOff>
      <xdr:row>92</xdr:row>
      <xdr:rowOff>81069</xdr:rowOff>
    </xdr:to>
    <xdr:pic>
      <xdr:nvPicPr>
        <xdr:cNvPr id="5" name="图片 4">
          <a:extLst>
            <a:ext uri="{FF2B5EF4-FFF2-40B4-BE49-F238E27FC236}">
              <a16:creationId xmlns:a16="http://schemas.microsoft.com/office/drawing/2014/main" id="{F9451930-6029-ED94-08EE-51C4E97D2984}"/>
            </a:ext>
          </a:extLst>
        </xdr:cNvPr>
        <xdr:cNvPicPr>
          <a:picLocks noChangeAspect="1"/>
        </xdr:cNvPicPr>
      </xdr:nvPicPr>
      <xdr:blipFill>
        <a:blip xmlns:r="http://schemas.openxmlformats.org/officeDocument/2006/relationships" r:embed="rId4"/>
        <a:stretch>
          <a:fillRect/>
        </a:stretch>
      </xdr:blipFill>
      <xdr:spPr>
        <a:xfrm>
          <a:off x="0" y="10744200"/>
          <a:ext cx="7353300" cy="5110269"/>
        </a:xfrm>
        <a:prstGeom prst="rect">
          <a:avLst/>
        </a:prstGeom>
      </xdr:spPr>
    </xdr:pic>
    <xdr:clientData/>
  </xdr:twoCellAnchor>
  <xdr:twoCellAnchor editAs="oneCell">
    <xdr:from>
      <xdr:col>11</xdr:col>
      <xdr:colOff>85725</xdr:colOff>
      <xdr:row>61</xdr:row>
      <xdr:rowOff>85725</xdr:rowOff>
    </xdr:from>
    <xdr:to>
      <xdr:col>21</xdr:col>
      <xdr:colOff>208677</xdr:colOff>
      <xdr:row>86</xdr:row>
      <xdr:rowOff>56618</xdr:rowOff>
    </xdr:to>
    <xdr:pic>
      <xdr:nvPicPr>
        <xdr:cNvPr id="6" name="图片 5">
          <a:extLst>
            <a:ext uri="{FF2B5EF4-FFF2-40B4-BE49-F238E27FC236}">
              <a16:creationId xmlns:a16="http://schemas.microsoft.com/office/drawing/2014/main" id="{0509B9A0-5EAF-108B-5C69-5F16F2142AAE}"/>
            </a:ext>
          </a:extLst>
        </xdr:cNvPr>
        <xdr:cNvPicPr>
          <a:picLocks noChangeAspect="1"/>
        </xdr:cNvPicPr>
      </xdr:nvPicPr>
      <xdr:blipFill>
        <a:blip xmlns:r="http://schemas.openxmlformats.org/officeDocument/2006/relationships" r:embed="rId5"/>
        <a:stretch>
          <a:fillRect/>
        </a:stretch>
      </xdr:blipFill>
      <xdr:spPr>
        <a:xfrm>
          <a:off x="7629525" y="10544175"/>
          <a:ext cx="6980952" cy="4257143"/>
        </a:xfrm>
        <a:prstGeom prst="rect">
          <a:avLst/>
        </a:prstGeom>
      </xdr:spPr>
    </xdr:pic>
    <xdr:clientData/>
  </xdr:twoCellAnchor>
  <xdr:twoCellAnchor editAs="oneCell">
    <xdr:from>
      <xdr:col>19</xdr:col>
      <xdr:colOff>0</xdr:colOff>
      <xdr:row>10</xdr:row>
      <xdr:rowOff>0</xdr:rowOff>
    </xdr:from>
    <xdr:to>
      <xdr:col>22</xdr:col>
      <xdr:colOff>361648</xdr:colOff>
      <xdr:row>27</xdr:row>
      <xdr:rowOff>37731</xdr:rowOff>
    </xdr:to>
    <xdr:pic>
      <xdr:nvPicPr>
        <xdr:cNvPr id="7" name="图片 6">
          <a:extLst>
            <a:ext uri="{FF2B5EF4-FFF2-40B4-BE49-F238E27FC236}">
              <a16:creationId xmlns:a16="http://schemas.microsoft.com/office/drawing/2014/main" id="{39796408-689E-C014-7843-49A87D2E31CB}"/>
            </a:ext>
          </a:extLst>
        </xdr:cNvPr>
        <xdr:cNvPicPr>
          <a:picLocks noChangeAspect="1"/>
        </xdr:cNvPicPr>
      </xdr:nvPicPr>
      <xdr:blipFill>
        <a:blip xmlns:r="http://schemas.openxmlformats.org/officeDocument/2006/relationships" r:embed="rId6"/>
        <a:stretch>
          <a:fillRect/>
        </a:stretch>
      </xdr:blipFill>
      <xdr:spPr>
        <a:xfrm>
          <a:off x="13030200" y="1714500"/>
          <a:ext cx="2419048" cy="2952381"/>
        </a:xfrm>
        <a:prstGeom prst="rect">
          <a:avLst/>
        </a:prstGeom>
      </xdr:spPr>
    </xdr:pic>
    <xdr:clientData/>
  </xdr:twoCellAnchor>
  <xdr:twoCellAnchor editAs="oneCell">
    <xdr:from>
      <xdr:col>22</xdr:col>
      <xdr:colOff>666750</xdr:colOff>
      <xdr:row>9</xdr:row>
      <xdr:rowOff>81642</xdr:rowOff>
    </xdr:from>
    <xdr:to>
      <xdr:col>36</xdr:col>
      <xdr:colOff>24086</xdr:colOff>
      <xdr:row>12</xdr:row>
      <xdr:rowOff>1542</xdr:rowOff>
    </xdr:to>
    <xdr:pic>
      <xdr:nvPicPr>
        <xdr:cNvPr id="12" name="图片 11">
          <a:extLst>
            <a:ext uri="{FF2B5EF4-FFF2-40B4-BE49-F238E27FC236}">
              <a16:creationId xmlns:a16="http://schemas.microsoft.com/office/drawing/2014/main" id="{C42E8AEF-62BC-FAB5-F8FC-8DB234378308}"/>
            </a:ext>
          </a:extLst>
        </xdr:cNvPr>
        <xdr:cNvPicPr>
          <a:picLocks noChangeAspect="1"/>
        </xdr:cNvPicPr>
      </xdr:nvPicPr>
      <xdr:blipFill>
        <a:blip xmlns:r="http://schemas.openxmlformats.org/officeDocument/2006/relationships" r:embed="rId7"/>
        <a:stretch>
          <a:fillRect/>
        </a:stretch>
      </xdr:blipFill>
      <xdr:spPr>
        <a:xfrm>
          <a:off x="15634607" y="1673678"/>
          <a:ext cx="9400000" cy="447619"/>
        </a:xfrm>
        <a:prstGeom prst="rect">
          <a:avLst/>
        </a:prstGeom>
      </xdr:spPr>
    </xdr:pic>
    <xdr:clientData/>
  </xdr:twoCellAnchor>
  <xdr:twoCellAnchor editAs="oneCell">
    <xdr:from>
      <xdr:col>22</xdr:col>
      <xdr:colOff>435428</xdr:colOff>
      <xdr:row>12</xdr:row>
      <xdr:rowOff>149679</xdr:rowOff>
    </xdr:from>
    <xdr:to>
      <xdr:col>36</xdr:col>
      <xdr:colOff>666531</xdr:colOff>
      <xdr:row>16</xdr:row>
      <xdr:rowOff>42107</xdr:rowOff>
    </xdr:to>
    <xdr:pic>
      <xdr:nvPicPr>
        <xdr:cNvPr id="13" name="图片 12">
          <a:extLst>
            <a:ext uri="{FF2B5EF4-FFF2-40B4-BE49-F238E27FC236}">
              <a16:creationId xmlns:a16="http://schemas.microsoft.com/office/drawing/2014/main" id="{465609B4-0A85-4ED9-EDCB-2C501BD99239}"/>
            </a:ext>
          </a:extLst>
        </xdr:cNvPr>
        <xdr:cNvPicPr>
          <a:picLocks noChangeAspect="1"/>
        </xdr:cNvPicPr>
      </xdr:nvPicPr>
      <xdr:blipFill>
        <a:blip xmlns:r="http://schemas.openxmlformats.org/officeDocument/2006/relationships" r:embed="rId8"/>
        <a:stretch>
          <a:fillRect/>
        </a:stretch>
      </xdr:blipFill>
      <xdr:spPr>
        <a:xfrm>
          <a:off x="15403285" y="2272393"/>
          <a:ext cx="10266667" cy="600000"/>
        </a:xfrm>
        <a:prstGeom prst="rect">
          <a:avLst/>
        </a:prstGeom>
      </xdr:spPr>
    </xdr:pic>
    <xdr:clientData/>
  </xdr:twoCellAnchor>
  <xdr:twoCellAnchor editAs="oneCell">
    <xdr:from>
      <xdr:col>22</xdr:col>
      <xdr:colOff>462643</xdr:colOff>
      <xdr:row>17</xdr:row>
      <xdr:rowOff>54429</xdr:rowOff>
    </xdr:from>
    <xdr:to>
      <xdr:col>37</xdr:col>
      <xdr:colOff>244385</xdr:colOff>
      <xdr:row>21</xdr:row>
      <xdr:rowOff>165906</xdr:rowOff>
    </xdr:to>
    <xdr:pic>
      <xdr:nvPicPr>
        <xdr:cNvPr id="14" name="图片 13">
          <a:extLst>
            <a:ext uri="{FF2B5EF4-FFF2-40B4-BE49-F238E27FC236}">
              <a16:creationId xmlns:a16="http://schemas.microsoft.com/office/drawing/2014/main" id="{6A600D8E-4D79-E6B0-D505-E64F7F87DE9C}"/>
            </a:ext>
          </a:extLst>
        </xdr:cNvPr>
        <xdr:cNvPicPr>
          <a:picLocks noChangeAspect="1"/>
        </xdr:cNvPicPr>
      </xdr:nvPicPr>
      <xdr:blipFill>
        <a:blip xmlns:r="http://schemas.openxmlformats.org/officeDocument/2006/relationships" r:embed="rId9"/>
        <a:stretch>
          <a:fillRect/>
        </a:stretch>
      </xdr:blipFill>
      <xdr:spPr>
        <a:xfrm>
          <a:off x="15430500" y="3061608"/>
          <a:ext cx="10504762" cy="819048"/>
        </a:xfrm>
        <a:prstGeom prst="rect">
          <a:avLst/>
        </a:prstGeom>
      </xdr:spPr>
    </xdr:pic>
    <xdr:clientData/>
  </xdr:twoCellAnchor>
  <xdr:twoCellAnchor editAs="oneCell">
    <xdr:from>
      <xdr:col>22</xdr:col>
      <xdr:colOff>612322</xdr:colOff>
      <xdr:row>22</xdr:row>
      <xdr:rowOff>27214</xdr:rowOff>
    </xdr:from>
    <xdr:to>
      <xdr:col>37</xdr:col>
      <xdr:colOff>298826</xdr:colOff>
      <xdr:row>26</xdr:row>
      <xdr:rowOff>110119</xdr:rowOff>
    </xdr:to>
    <xdr:pic>
      <xdr:nvPicPr>
        <xdr:cNvPr id="15" name="图片 14">
          <a:extLst>
            <a:ext uri="{FF2B5EF4-FFF2-40B4-BE49-F238E27FC236}">
              <a16:creationId xmlns:a16="http://schemas.microsoft.com/office/drawing/2014/main" id="{6FFC877B-4D19-13F6-30BB-1938F731AE01}"/>
            </a:ext>
          </a:extLst>
        </xdr:cNvPr>
        <xdr:cNvPicPr>
          <a:picLocks noChangeAspect="1"/>
        </xdr:cNvPicPr>
      </xdr:nvPicPr>
      <xdr:blipFill>
        <a:blip xmlns:r="http://schemas.openxmlformats.org/officeDocument/2006/relationships" r:embed="rId10"/>
        <a:stretch>
          <a:fillRect/>
        </a:stretch>
      </xdr:blipFill>
      <xdr:spPr>
        <a:xfrm>
          <a:off x="15580179" y="3918857"/>
          <a:ext cx="10409524" cy="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38</xdr:row>
      <xdr:rowOff>161090</xdr:rowOff>
    </xdr:to>
    <xdr:pic>
      <xdr:nvPicPr>
        <xdr:cNvPr id="2" name="图片 1">
          <a:extLst>
            <a:ext uri="{FF2B5EF4-FFF2-40B4-BE49-F238E27FC236}">
              <a16:creationId xmlns:a16="http://schemas.microsoft.com/office/drawing/2014/main" id="{7F99E035-86B2-EED2-E4C7-08D3AFBC7C60}"/>
            </a:ext>
          </a:extLst>
        </xdr:cNvPr>
        <xdr:cNvPicPr>
          <a:picLocks noChangeAspect="1"/>
        </xdr:cNvPicPr>
      </xdr:nvPicPr>
      <xdr:blipFill>
        <a:blip xmlns:r="http://schemas.openxmlformats.org/officeDocument/2006/relationships" r:embed="rId1"/>
        <a:stretch>
          <a:fillRect/>
        </a:stretch>
      </xdr:blipFill>
      <xdr:spPr>
        <a:xfrm>
          <a:off x="0" y="0"/>
          <a:ext cx="9000000" cy="6676190"/>
        </a:xfrm>
        <a:prstGeom prst="rect">
          <a:avLst/>
        </a:prstGeom>
      </xdr:spPr>
    </xdr:pic>
    <xdr:clientData/>
  </xdr:twoCellAnchor>
  <xdr:twoCellAnchor editAs="oneCell">
    <xdr:from>
      <xdr:col>13</xdr:col>
      <xdr:colOff>152400</xdr:colOff>
      <xdr:row>0</xdr:row>
      <xdr:rowOff>0</xdr:rowOff>
    </xdr:from>
    <xdr:to>
      <xdr:col>23</xdr:col>
      <xdr:colOff>656305</xdr:colOff>
      <xdr:row>28</xdr:row>
      <xdr:rowOff>104162</xdr:rowOff>
    </xdr:to>
    <xdr:pic>
      <xdr:nvPicPr>
        <xdr:cNvPr id="3" name="图片 2">
          <a:extLst>
            <a:ext uri="{FF2B5EF4-FFF2-40B4-BE49-F238E27FC236}">
              <a16:creationId xmlns:a16="http://schemas.microsoft.com/office/drawing/2014/main" id="{8DA3FD32-614B-9F82-A8AD-08A2460BB4AF}"/>
            </a:ext>
          </a:extLst>
        </xdr:cNvPr>
        <xdr:cNvPicPr>
          <a:picLocks noChangeAspect="1"/>
        </xdr:cNvPicPr>
      </xdr:nvPicPr>
      <xdr:blipFill>
        <a:blip xmlns:r="http://schemas.openxmlformats.org/officeDocument/2006/relationships" r:embed="rId2"/>
        <a:stretch>
          <a:fillRect/>
        </a:stretch>
      </xdr:blipFill>
      <xdr:spPr>
        <a:xfrm>
          <a:off x="9067800" y="0"/>
          <a:ext cx="7361905" cy="4904762"/>
        </a:xfrm>
        <a:prstGeom prst="rect">
          <a:avLst/>
        </a:prstGeom>
      </xdr:spPr>
    </xdr:pic>
    <xdr:clientData/>
  </xdr:twoCellAnchor>
  <xdr:twoCellAnchor editAs="oneCell">
    <xdr:from>
      <xdr:col>0</xdr:col>
      <xdr:colOff>0</xdr:colOff>
      <xdr:row>40</xdr:row>
      <xdr:rowOff>0</xdr:rowOff>
    </xdr:from>
    <xdr:to>
      <xdr:col>13</xdr:col>
      <xdr:colOff>617933</xdr:colOff>
      <xdr:row>70</xdr:row>
      <xdr:rowOff>142214</xdr:rowOff>
    </xdr:to>
    <xdr:pic>
      <xdr:nvPicPr>
        <xdr:cNvPr id="4" name="图片 3">
          <a:extLst>
            <a:ext uri="{FF2B5EF4-FFF2-40B4-BE49-F238E27FC236}">
              <a16:creationId xmlns:a16="http://schemas.microsoft.com/office/drawing/2014/main" id="{EB6BEC0C-4B8F-66D7-421C-704C7E045F26}"/>
            </a:ext>
          </a:extLst>
        </xdr:cNvPr>
        <xdr:cNvPicPr>
          <a:picLocks noChangeAspect="1"/>
        </xdr:cNvPicPr>
      </xdr:nvPicPr>
      <xdr:blipFill>
        <a:blip xmlns:r="http://schemas.openxmlformats.org/officeDocument/2006/relationships" r:embed="rId3"/>
        <a:stretch>
          <a:fillRect/>
        </a:stretch>
      </xdr:blipFill>
      <xdr:spPr>
        <a:xfrm>
          <a:off x="0" y="6858000"/>
          <a:ext cx="9533333" cy="5285714"/>
        </a:xfrm>
        <a:prstGeom prst="rect">
          <a:avLst/>
        </a:prstGeom>
      </xdr:spPr>
    </xdr:pic>
    <xdr:clientData/>
  </xdr:twoCellAnchor>
  <xdr:twoCellAnchor editAs="oneCell">
    <xdr:from>
      <xdr:col>13</xdr:col>
      <xdr:colOff>571500</xdr:colOff>
      <xdr:row>39</xdr:row>
      <xdr:rowOff>47625</xdr:rowOff>
    </xdr:from>
    <xdr:to>
      <xdr:col>27</xdr:col>
      <xdr:colOff>265538</xdr:colOff>
      <xdr:row>47</xdr:row>
      <xdr:rowOff>123644</xdr:rowOff>
    </xdr:to>
    <xdr:pic>
      <xdr:nvPicPr>
        <xdr:cNvPr id="5" name="图片 4">
          <a:extLst>
            <a:ext uri="{FF2B5EF4-FFF2-40B4-BE49-F238E27FC236}">
              <a16:creationId xmlns:a16="http://schemas.microsoft.com/office/drawing/2014/main" id="{AFEBA9AA-4735-1E9F-C84E-FC9301BAD77D}"/>
            </a:ext>
          </a:extLst>
        </xdr:cNvPr>
        <xdr:cNvPicPr>
          <a:picLocks noChangeAspect="1"/>
        </xdr:cNvPicPr>
      </xdr:nvPicPr>
      <xdr:blipFill>
        <a:blip xmlns:r="http://schemas.openxmlformats.org/officeDocument/2006/relationships" r:embed="rId4"/>
        <a:stretch>
          <a:fillRect/>
        </a:stretch>
      </xdr:blipFill>
      <xdr:spPr>
        <a:xfrm>
          <a:off x="9486900" y="6734175"/>
          <a:ext cx="9295238" cy="1447619"/>
        </a:xfrm>
        <a:prstGeom prst="rect">
          <a:avLst/>
        </a:prstGeom>
      </xdr:spPr>
    </xdr:pic>
    <xdr:clientData/>
  </xdr:twoCellAnchor>
  <xdr:twoCellAnchor editAs="oneCell">
    <xdr:from>
      <xdr:col>15</xdr:col>
      <xdr:colOff>0</xdr:colOff>
      <xdr:row>49</xdr:row>
      <xdr:rowOff>0</xdr:rowOff>
    </xdr:from>
    <xdr:to>
      <xdr:col>28</xdr:col>
      <xdr:colOff>246505</xdr:colOff>
      <xdr:row>70</xdr:row>
      <xdr:rowOff>66217</xdr:rowOff>
    </xdr:to>
    <xdr:pic>
      <xdr:nvPicPr>
        <xdr:cNvPr id="6" name="图片 5">
          <a:extLst>
            <a:ext uri="{FF2B5EF4-FFF2-40B4-BE49-F238E27FC236}">
              <a16:creationId xmlns:a16="http://schemas.microsoft.com/office/drawing/2014/main" id="{37CA11CE-99ED-724B-79D3-8D2DC1951F7B}"/>
            </a:ext>
          </a:extLst>
        </xdr:cNvPr>
        <xdr:cNvPicPr>
          <a:picLocks noChangeAspect="1"/>
        </xdr:cNvPicPr>
      </xdr:nvPicPr>
      <xdr:blipFill>
        <a:blip xmlns:r="http://schemas.openxmlformats.org/officeDocument/2006/relationships" r:embed="rId5"/>
        <a:stretch>
          <a:fillRect/>
        </a:stretch>
      </xdr:blipFill>
      <xdr:spPr>
        <a:xfrm>
          <a:off x="10287000" y="8401050"/>
          <a:ext cx="9161905" cy="3666667"/>
        </a:xfrm>
        <a:prstGeom prst="rect">
          <a:avLst/>
        </a:prstGeom>
      </xdr:spPr>
    </xdr:pic>
    <xdr:clientData/>
  </xdr:twoCellAnchor>
  <xdr:twoCellAnchor editAs="oneCell">
    <xdr:from>
      <xdr:col>0</xdr:col>
      <xdr:colOff>0</xdr:colOff>
      <xdr:row>72</xdr:row>
      <xdr:rowOff>161925</xdr:rowOff>
    </xdr:from>
    <xdr:to>
      <xdr:col>4</xdr:col>
      <xdr:colOff>580609</xdr:colOff>
      <xdr:row>118</xdr:row>
      <xdr:rowOff>75225</xdr:rowOff>
    </xdr:to>
    <xdr:pic>
      <xdr:nvPicPr>
        <xdr:cNvPr id="7" name="图片 6">
          <a:extLst>
            <a:ext uri="{FF2B5EF4-FFF2-40B4-BE49-F238E27FC236}">
              <a16:creationId xmlns:a16="http://schemas.microsoft.com/office/drawing/2014/main" id="{F8947D1A-263C-494B-8A8D-B6E19C62591F}"/>
            </a:ext>
          </a:extLst>
        </xdr:cNvPr>
        <xdr:cNvPicPr>
          <a:picLocks noChangeAspect="1"/>
        </xdr:cNvPicPr>
      </xdr:nvPicPr>
      <xdr:blipFill>
        <a:blip xmlns:r="http://schemas.openxmlformats.org/officeDocument/2006/relationships" r:embed="rId6"/>
        <a:stretch>
          <a:fillRect/>
        </a:stretch>
      </xdr:blipFill>
      <xdr:spPr>
        <a:xfrm>
          <a:off x="0" y="12506325"/>
          <a:ext cx="3323809" cy="7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JUTSUBU01\DBase_H200#2\&#65399;&#65388;&#65391;&#65404;&#65389;&#22338;&#65420;&#65435;&#65392;\CF1000&#65412;&#654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amartin5/Desktop/Fuel/Weekly%20volumes/Weekly%20Fuel%20Report%20Week19%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www.dft.gov.uk\RoadLengths\RoadAre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2006%20Mar%20closing\Final%20Product\LPSH%201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ork/Asset%20Management/&#20135;&#19994;&#22253;/Project%20Highland%20(&#24344;&#27589;)/Asset%20Management/&#25237;&#21518;&#31649;&#29702;&#27169;&#22411;/&#12304;&#28023;&#25511;&#31435;&#39033;&#25237;&#36164;&#27169;&#22411;&#12305;&#24344;&#27589;&#20135;&#19994;&#22253;&#25237;&#36164;&#27169;&#22411;_20220131-NOI&#32771;&#26680;&#30446;&#26631;.xlsx%20-%20Alan%20Revis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2006%20Mar%20closing\Final%20Product\LPSH%201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0.96.129.158\Backup%20Data%20Jakkrit\&#3591;&#3634;&#3609;&#3648;&#3626;&#3609;&#3629;&#3619;&#3634;&#3588;&#3634;%20(&#3605;&#3657;&#3629;&#3591;)\Peak%20(C5)\WINDOWS\390338R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dows/TEMP/Period%209/0905bpv2-LBE@P9%20Updated%2019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S3"/>
      <sheetName val="Sheet2"/>
      <sheetName val="電気設備表"/>
      <sheetName val="#REF"/>
      <sheetName val="jobhist"/>
      <sheetName val="ﾁｪｯｸ用"/>
      <sheetName val="外気負荷"/>
      <sheetName val="工場棟・目次"/>
      <sheetName val="事務棟・目次"/>
      <sheetName val="外構・目次"/>
      <sheetName val="見積書"/>
      <sheetName val="General"/>
      <sheetName val="COMP"/>
      <sheetName val="工事名、社内ﾚｰﾄ"/>
      <sheetName val="出図表"/>
      <sheetName val="SW-TEO"/>
      <sheetName val="基本"/>
      <sheetName val="门窗表"/>
      <sheetName val="合成単価作成表-BLDG"/>
      <sheetName val="車会集約"/>
      <sheetName val="AG原単位"/>
      <sheetName val="決裁時原価"/>
      <sheetName val="外国人所得税Table"/>
      <sheetName val="CF1000ﾄﾝ"/>
      <sheetName val="MOTO"/>
      <sheetName val="管理区分"/>
      <sheetName val="工場棟"/>
      <sheetName val="面积指标"/>
      <sheetName val="A1~A4钢结构明细表"/>
      <sheetName val="下拉"/>
      <sheetName val="Fee Rate Summary"/>
      <sheetName val="预算表"/>
      <sheetName val="概総括1"/>
      <sheetName val="比較表(上)"/>
      <sheetName val="MN T.B."/>
      <sheetName val="墙面"/>
      <sheetName val="Cash bal"/>
      <sheetName val="预算"/>
      <sheetName val="Cash bal Mar"/>
      <sheetName val="選択肢"/>
      <sheetName val="LB020A(月)"/>
      <sheetName val="照度計算"/>
      <sheetName val="2017.7.25 竹中増減表"/>
      <sheetName val="#REF!"/>
      <sheetName val="敏感参数"/>
      <sheetName val="一発シート"/>
      <sheetName val="Data"/>
      <sheetName val="投资估算表"/>
      <sheetName val="A翼写字楼"/>
      <sheetName val="Con"/>
      <sheetName val="VO-006"/>
      <sheetName val="VO-001"/>
      <sheetName val="SUMMARY"/>
      <sheetName val="Annex B"/>
      <sheetName val="fin stmt"/>
      <sheetName val="Financ. Overview"/>
      <sheetName val="Toolbox"/>
      <sheetName val="FI"/>
      <sheetName val="常用项目"/>
      <sheetName val="Budget"/>
      <sheetName val="21"/>
      <sheetName val="base case"/>
      <sheetName val="可视对讲、公共弱电"/>
      <sheetName val="强电进户"/>
      <sheetName val="公共、应急照明"/>
      <sheetName val="消防报警"/>
      <sheetName val="弱电户内"/>
      <sheetName val="强电动力"/>
      <sheetName val="弱电进户"/>
      <sheetName val="雨污水及围墙计算单"/>
      <sheetName val="混凝土"/>
      <sheetName val="单位"/>
      <sheetName val="（加气块）计算单  "/>
      <sheetName val="（水泥）计算单"/>
      <sheetName val="（砖）计算单 "/>
      <sheetName val="（道渣）计算单"/>
      <sheetName val="eqpmad2"/>
      <sheetName val="8.1"/>
      <sheetName val="单位库"/>
      <sheetName val="BQ"/>
      <sheetName val="Bill-2.1"/>
      <sheetName val="汇总"/>
      <sheetName val="Control"/>
      <sheetName val="Acumulado"/>
    </sheetNames>
    <sheetDataSet>
      <sheetData sheetId="0" refreshError="1">
        <row r="5">
          <cell r="H5" t="str">
            <v>1</v>
          </cell>
        </row>
        <row r="41">
          <cell r="H41">
            <v>19.724486250000002</v>
          </cell>
          <cell r="I41">
            <v>34.296115380952379</v>
          </cell>
          <cell r="J41">
            <v>34.337647961904757</v>
          </cell>
          <cell r="K41">
            <v>34.377021096357147</v>
          </cell>
          <cell r="L41">
            <v>34.414170000914531</v>
          </cell>
          <cell r="M41">
            <v>34.449027948680055</v>
          </cell>
          <cell r="N41">
            <v>33.864876960949978</v>
          </cell>
          <cell r="O41">
            <v>31.573508830492763</v>
          </cell>
          <cell r="P41">
            <v>24.237559095407548</v>
          </cell>
          <cell r="Q41">
            <v>24.149030868269776</v>
          </cell>
        </row>
        <row r="42">
          <cell r="H42">
            <v>-135.57551374999997</v>
          </cell>
          <cell r="I42">
            <v>-101.2793983690476</v>
          </cell>
          <cell r="J42">
            <v>-66.941750407142848</v>
          </cell>
          <cell r="K42">
            <v>-32.564729310785694</v>
          </cell>
          <cell r="L42">
            <v>1.8494406901288312</v>
          </cell>
          <cell r="M42">
            <v>36.298468638808892</v>
          </cell>
          <cell r="N42">
            <v>70.16334559975887</v>
          </cell>
          <cell r="O42">
            <v>101.73685443025164</v>
          </cell>
          <cell r="P42">
            <v>125.97441352565919</v>
          </cell>
          <cell r="Q42">
            <v>150.12344439392893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HiddenSheet1"/>
      <sheetName val="Summary"/>
      <sheetName val="Unleaded"/>
      <sheetName val="Ultimate Unleaded"/>
      <sheetName val="Diesel"/>
      <sheetName val="Ultimate Diesel"/>
      <sheetName val="Bunker Fuel"/>
      <sheetName val="_pcHiddenSheet2"/>
      <sheetName val="_pcHiddenSheet3"/>
      <sheetName val="LPG"/>
      <sheetName val="Gas Oil"/>
      <sheetName val="_pcHiddenSheet4"/>
      <sheetName val="_pcHiddenSheet5"/>
      <sheetName val="_pcHiddenSheet6"/>
      <sheetName val="_pcHiddenSheet7"/>
      <sheetName val="CFS3"/>
      <sheetName val="Con"/>
    </sheetNames>
    <sheetDataSet>
      <sheetData sheetId="0" refreshError="1"/>
      <sheetData sheetId="1">
        <row r="9">
          <cell r="A9" t="str">
            <v>__Quantity_Cost_Center_Desc_by_Date_in_2_00_06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ata"/>
      <sheetName val="00data"/>
      <sheetName val="Road_surface_area"/>
      <sheetName val="English_area"/>
      <sheetName val="Total road area"/>
      <sheetName val="1990_figs"/>
      <sheetName val="PC's_figures"/>
      <sheetName val="UK_figs"/>
      <sheetName val="Controls"/>
      <sheetName val="Bullfrog - EPU page from model"/>
      <sheetName val="Links"/>
      <sheetName val="Debt - NZD"/>
      <sheetName val="MCW"/>
      <sheetName val="Debt - US HT"/>
      <sheetName val="#REF!"/>
      <sheetName val="Validation"/>
      <sheetName val="pcQueryData"/>
      <sheetName val="C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P&amp;L"/>
      <sheetName val="选项"/>
      <sheetName val="总表"/>
      <sheetName val="Account Code"/>
      <sheetName val="pcQueryData"/>
      <sheetName val="Total road area"/>
      <sheetName val="管理费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
      <sheetName val="NOI考核目标"/>
      <sheetName val="Output"/>
      <sheetName val="JQ-CF"/>
      <sheetName val="JQ-RR"/>
      <sheetName val="ZJ-CF"/>
      <sheetName val="ZJ-RR"/>
      <sheetName val="ZGC-CF"/>
      <sheetName val="ZGC-RR"/>
      <sheetName val="SD-CF"/>
      <sheetName val="SD-RR"/>
      <sheetName val="Total road area"/>
      <sheetName val="Con"/>
    </sheetNames>
    <sheetDataSet>
      <sheetData sheetId="0" refreshError="1"/>
      <sheetData sheetId="1" refreshError="1"/>
      <sheetData sheetId="2">
        <row r="3">
          <cell r="Z3" t="str">
            <v>BASE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选项"/>
      <sheetName val="Tennancy"/>
      <sheetName val="总表"/>
      <sheetName val="Total road area"/>
      <sheetName val="Output"/>
    </sheetNames>
    <sheetDataSet>
      <sheetData sheetId="0"/>
      <sheetData sheetId="1" refreshError="1">
        <row r="1">
          <cell r="J1" t="str">
            <v>Shanghai</v>
          </cell>
        </row>
        <row r="4">
          <cell r="B4" t="str">
            <v>FINANCE &amp; MANAGEMENT REPORT</v>
          </cell>
          <cell r="I4" t="str">
            <v>JANUARY 2006</v>
          </cell>
        </row>
        <row r="6">
          <cell r="B6" t="str">
            <v>CONTENTS</v>
          </cell>
          <cell r="J6" t="str">
            <v>Page</v>
          </cell>
        </row>
        <row r="9">
          <cell r="B9" t="str">
            <v>Manager's Review</v>
          </cell>
          <cell r="J9" t="str">
            <v>1 - 3</v>
          </cell>
        </row>
        <row r="11">
          <cell r="B11" t="str">
            <v>Profit &amp; Loss Summary</v>
          </cell>
          <cell r="J11">
            <v>4</v>
          </cell>
        </row>
        <row r="13">
          <cell r="B13" t="str">
            <v>Balance Sheet</v>
          </cell>
          <cell r="J13">
            <v>5</v>
          </cell>
        </row>
        <row r="15">
          <cell r="B15" t="str">
            <v>Residences Revenue &amp; Market Mix</v>
          </cell>
          <cell r="J15">
            <v>6</v>
          </cell>
        </row>
        <row r="17">
          <cell r="B17" t="str">
            <v>Summary Statistics Schedule</v>
          </cell>
          <cell r="J17">
            <v>7</v>
          </cell>
        </row>
        <row r="19">
          <cell r="B19" t="str">
            <v>Profit &amp; Loss Summary - Residences</v>
          </cell>
          <cell r="J19">
            <v>8</v>
          </cell>
        </row>
        <row r="21">
          <cell r="B21" t="str">
            <v>Food &amp; Beverage Revenue</v>
          </cell>
          <cell r="J21">
            <v>9</v>
          </cell>
        </row>
        <row r="23">
          <cell r="B23" t="str">
            <v>Food &amp; Beverage Expenses</v>
          </cell>
          <cell r="J23">
            <v>10</v>
          </cell>
        </row>
        <row r="25">
          <cell r="B25" t="str">
            <v>Food &amp; Beverage Covers &amp; Average Check</v>
          </cell>
          <cell r="J25">
            <v>11</v>
          </cell>
        </row>
        <row r="27">
          <cell r="B27" t="str">
            <v>Profit &amp; Loss Summary - Telephone</v>
          </cell>
          <cell r="J27">
            <v>12</v>
          </cell>
        </row>
        <row r="29">
          <cell r="B29" t="str">
            <v>Profit &amp; Loss Summary - Business Centre</v>
          </cell>
          <cell r="J29">
            <v>13</v>
          </cell>
        </row>
        <row r="31">
          <cell r="B31" t="str">
            <v>Profit &amp; Loss Summary - Sports &amp; Leisure</v>
          </cell>
          <cell r="J31">
            <v>14</v>
          </cell>
        </row>
        <row r="33">
          <cell r="B33" t="str">
            <v>Rental &amp; Other Income</v>
          </cell>
          <cell r="J33">
            <v>15</v>
          </cell>
        </row>
        <row r="35">
          <cell r="B35" t="str">
            <v>Administrative &amp; General Expenses</v>
          </cell>
          <cell r="J35">
            <v>16</v>
          </cell>
        </row>
        <row r="37">
          <cell r="B37" t="str">
            <v>Sales &amp;  Marketing Expenses</v>
          </cell>
          <cell r="J37">
            <v>17</v>
          </cell>
        </row>
        <row r="39">
          <cell r="B39" t="str">
            <v>Property Operation Maintenance &amp; Energy Costs</v>
          </cell>
          <cell r="J39">
            <v>18</v>
          </cell>
        </row>
        <row r="41">
          <cell r="B41" t="str">
            <v>Personnel &amp; Training and Employee Benefits</v>
          </cell>
          <cell r="J41">
            <v>19</v>
          </cell>
        </row>
        <row r="43">
          <cell r="B43" t="str">
            <v>Manpower Summary</v>
          </cell>
          <cell r="J43">
            <v>20</v>
          </cell>
        </row>
        <row r="45">
          <cell r="B45" t="str">
            <v>Detailed Capital Expenditure Summary</v>
          </cell>
          <cell r="J45" t="str">
            <v>21-22</v>
          </cell>
        </row>
        <row r="47">
          <cell r="B47" t="str">
            <v>Fixed Assets Summary</v>
          </cell>
          <cell r="J47">
            <v>23</v>
          </cell>
        </row>
        <row r="49">
          <cell r="B49" t="str">
            <v>Debtors Ageing Analysis</v>
          </cell>
          <cell r="J49">
            <v>24</v>
          </cell>
        </row>
        <row r="51">
          <cell r="B51" t="str">
            <v>Creditors Ageing Analysis</v>
          </cell>
          <cell r="J51" t="str">
            <v>25-26</v>
          </cell>
        </row>
        <row r="53">
          <cell r="B53" t="str">
            <v>Three Months Cash Flow Projection</v>
          </cell>
          <cell r="J53">
            <v>27</v>
          </cell>
        </row>
        <row r="54">
          <cell r="J54"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General"/>
      <sheetName val="应收账款Mx"/>
      <sheetName val="Sheet3 _2_"/>
      <sheetName val="BBEuros"/>
      <sheetName val="DEPRE"/>
      <sheetName val="InvoiceList"/>
      <sheetName val="Income &amp; Occupancy Customer"/>
      <sheetName val="노무비"/>
      <sheetName val="Summary"/>
      <sheetName val="Set"/>
      <sheetName val="Income Statements"/>
      <sheetName val="QoQ Forecast"/>
      <sheetName val="유통망계획"/>
      <sheetName val="CV"/>
      <sheetName val="ES(Kor)"/>
      <sheetName val="Calculation (2)"/>
      <sheetName val="JCF"/>
      <sheetName val="Multiple output"/>
      <sheetName val="sheet6"/>
      <sheetName val="ABP inputs"/>
      <sheetName val="Synergy Sales Budget"/>
      <sheetName val="Project Budget Worksheet"/>
      <sheetName val="analysis"/>
      <sheetName val="Builtup Area"/>
      <sheetName val="Headings"/>
      <sheetName val="RCC,Ret. Wall"/>
      <sheetName val="BOQ T4B"/>
      <sheetName val="Aladdin Macro1"/>
      <sheetName val="BalSht"/>
      <sheetName val="Acc_10.5"/>
      <sheetName val="Global Assm."/>
      <sheetName val="F1a-Pile"/>
      <sheetName val="INDIGINEOUS ITEMS "/>
      <sheetName val="fco"/>
      <sheetName val="Formulas"/>
      <sheetName val="TIll_Q_sal"/>
      <sheetName val="tiller"/>
      <sheetName val="Material "/>
      <sheetName val="Labour &amp; Plant"/>
      <sheetName val="Lead"/>
      <sheetName val="Main-Material"/>
      <sheetName val="Sheet1"/>
      <sheetName val="GBW"/>
      <sheetName val="Design"/>
      <sheetName val="BOQ"/>
      <sheetName val=" B3"/>
      <sheetName val=" B1"/>
      <sheetName val="beam-reinft-IIInd floor"/>
      <sheetName val="Sheet2"/>
      <sheetName val="Portfolio Summary"/>
      <sheetName val="Depreciation"/>
      <sheetName val="CapitalOutlay"/>
      <sheetName val="Assum"/>
      <sheetName val="Approved MTD Proj #'s"/>
      <sheetName val="Sheet3_(2)"/>
      <sheetName val="Sheet3__2_"/>
      <sheetName val="MN T.B."/>
      <sheetName val="CFForecast detail"/>
      <sheetName val="Site Dev BOQ"/>
      <sheetName val="Break up Sheet"/>
      <sheetName val="Load Details-220kV"/>
      <sheetName val="Block A - BOQ"/>
      <sheetName val="strand"/>
      <sheetName val="Rollup Summary"/>
      <sheetName val="Vind-BtB"/>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download"/>
      <sheetName val="170810-lease tax"/>
      <sheetName val="Assumptions"/>
      <sheetName val="EBITDA"/>
      <sheetName val="IMPORT T12"/>
      <sheetName val="NewCo"/>
      <sheetName val="TB_FOR_MIS"/>
      <sheetName val="Area"/>
      <sheetName val="TB FOR MIS"/>
      <sheetName val="INPUT SHEET"/>
      <sheetName val="Current Bill MB ref"/>
      <sheetName val="Meas.-Hotel Part"/>
      <sheetName val="Occ"/>
      <sheetName val="Demand"/>
      <sheetName val="Inputs"/>
      <sheetName val="Ref"/>
      <sheetName val="van khuon"/>
      <sheetName val="Names"/>
      <sheetName val="Introduction"/>
      <sheetName val="IDC macro"/>
      <sheetName val="SALE"/>
      <sheetName val="SCH-E-1"/>
      <sheetName val="BIPR"/>
      <sheetName val="BPCA"/>
      <sheetName val="BBRS"/>
      <sheetName val="KPM DT"/>
      <sheetName val="Pay_Sep06"/>
      <sheetName val="A-1"/>
      <sheetName val="GL Links"/>
      <sheetName val="Main Sheet (MTD)"/>
      <sheetName val="Consl Daily Report"/>
      <sheetName val="Input"/>
      <sheetName val="Master Price List"/>
      <sheetName val="reference"/>
      <sheetName val="Company"/>
      <sheetName val="Index"/>
      <sheetName val="F"/>
      <sheetName val="EXHIBIT&quot; T&quot;"/>
      <sheetName val="Turnover"/>
      <sheetName val="compu"/>
      <sheetName val="PLAN_FEB97"/>
      <sheetName val="Fin Sum"/>
      <sheetName val="Preside"/>
      <sheetName val="balance sheet"/>
      <sheetName val="Factor_Sheet"/>
      <sheetName val="LISTS"/>
      <sheetName val="02022005"/>
      <sheetName val="16022005"/>
      <sheetName val="05012005"/>
      <sheetName val="19012005"/>
      <sheetName val="02032005"/>
      <sheetName val="16032005"/>
      <sheetName val="30032005"/>
      <sheetName val="P &amp; L"/>
      <sheetName val="Balance Sheet "/>
      <sheetName val="new_data"/>
      <sheetName val="earnmodl"/>
      <sheetName val="Dom Cell (IS)"/>
      <sheetName val="ras"/>
      <sheetName val="Summary Excise"/>
      <sheetName val="BS"/>
      <sheetName val="Other BS Sch 5-9"/>
      <sheetName val="Excess Calc"/>
      <sheetName val="Grouping Master"/>
      <sheetName val="March Analysts"/>
      <sheetName val="Rates"/>
      <sheetName val="M-2 Adjusted"/>
      <sheetName val="OpRes"/>
      <sheetName val="master"/>
      <sheetName val="Main workings"/>
      <sheetName val="CABLE DATA"/>
      <sheetName val="1st flr"/>
      <sheetName val="Civil Boq"/>
      <sheetName val="final abstract"/>
      <sheetName val="Rate analysis"/>
      <sheetName val="02"/>
      <sheetName val="03"/>
      <sheetName val="04"/>
      <sheetName val="01"/>
      <sheetName val="q-details"/>
      <sheetName val="van_khuon"/>
      <sheetName val="IDC_macro"/>
      <sheetName val="Portfolio_Summary"/>
      <sheetName val="Current_Bill_MB_ref"/>
      <sheetName val="Meas_-Hotel_Part"/>
      <sheetName val="Fin_Sum"/>
      <sheetName val="Base"/>
      <sheetName val=" Acc. Sched."/>
      <sheetName val="EDS  Bestshore Migration"/>
      <sheetName val="sept-plan"/>
      <sheetName val="International"/>
      <sheetName val="Internet"/>
      <sheetName val="Macro1"/>
      <sheetName val="Licences"/>
      <sheetName val="LBO Financials"/>
      <sheetName val="Hot"/>
      <sheetName val="Mico"/>
      <sheetName val="03 (2)"/>
      <sheetName val="WIng F(Typical)"/>
      <sheetName val="Legal Risk Analysis"/>
      <sheetName val="IMPORT_T12"/>
      <sheetName val="KPM_DT"/>
      <sheetName val="Task"/>
      <sheetName val="MASTER_RATE ANALYSIS"/>
      <sheetName val="Valuation - block 2"/>
      <sheetName val="classes"/>
      <sheetName val="IT Block"/>
      <sheetName val="Location CODE"/>
      <sheetName val="Location TYPE"/>
      <sheetName val="sub class"/>
      <sheetName val=" sub Loc "/>
      <sheetName val="LBO"/>
      <sheetName val="AOR"/>
      <sheetName val="MIS - kINR"/>
      <sheetName val="AOP13"/>
      <sheetName val="CashFlow"/>
      <sheetName val="TB"/>
      <sheetName val="CAP"/>
      <sheetName val="ANN.K"/>
      <sheetName val="OpTrack"/>
      <sheetName val="Training Deposits coding"/>
      <sheetName val="Sheet3"/>
      <sheetName val="FA Schedule Dec 07"/>
      <sheetName val="CARO"/>
      <sheetName val="269T(final)"/>
      <sheetName val="PLGroupings"/>
      <sheetName val="Results"/>
      <sheetName val="Base Assumptions"/>
      <sheetName val="RNT"/>
      <sheetName val="Combi"/>
      <sheetName val="NEW-IDs Fun &amp; Group"/>
      <sheetName val="Code"/>
      <sheetName val="Trial Balance"/>
      <sheetName val="GenAssump"/>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Goldberg Portfolio Combined"/>
      <sheetName val="Commercial Research"/>
      <sheetName val="Data"/>
      <sheetName val="Contribution"/>
      <sheetName val="Rx"/>
      <sheetName val="Variables_x"/>
      <sheetName val="A-Mum"/>
      <sheetName val="#REF"/>
      <sheetName val="BKCSTOCKVAL"/>
      <sheetName val="MAHSTOCKVAL"/>
      <sheetName val="Portfolio_Summary1"/>
      <sheetName val="Current_Bill_MB_ref1"/>
      <sheetName val="Meas_-Hotel_Part1"/>
      <sheetName val="Intaccrual"/>
      <sheetName val="SBU"/>
      <sheetName val="Operating Statistics"/>
      <sheetName val="Checks"/>
      <sheetName val="DET0900"/>
      <sheetName val="Theatre mgmt cont"/>
      <sheetName val=""/>
      <sheetName val="Menu"/>
      <sheetName val="9. Package split - Cost "/>
      <sheetName val="Service Invoice"/>
      <sheetName val="Cash Flow Working"/>
      <sheetName val="Retail Mall"/>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Leasing Commision"/>
      <sheetName val="Params"/>
      <sheetName val="XZLC003_PART1"/>
      <sheetName val="15-21"/>
      <sheetName val="P.R. TAXES"/>
      <sheetName val="BILLING SUM"/>
      <sheetName val="SODA02"/>
      <sheetName val="MIS AC wise"/>
      <sheetName val="Cover"/>
      <sheetName val="Output"/>
      <sheetName val="Con"/>
      <sheetName val="建築工事（工場棟）"/>
      <sheetName val="Control"/>
      <sheetName val="RA"/>
      <sheetName val="Related party - P&amp;L"/>
      <sheetName val="Night Shift"/>
      <sheetName val="97-98"/>
      <sheetName val="horizontal"/>
      <sheetName val="Rev Opt - Rollup"/>
      <sheetName val="Debtors analysis"/>
      <sheetName val="A1-Continuous"/>
      <sheetName val="pile Fabrication"/>
      <sheetName val="Improvements"/>
      <sheetName val="Notes-pivot1 "/>
      <sheetName val="Scope"/>
      <sheetName val="Estimate"/>
      <sheetName val="12-ACTPL"/>
      <sheetName val="apr-aug"/>
      <sheetName val="CASHFLOWS"/>
      <sheetName val="170810-lease_tax"/>
      <sheetName val="Main_Sheet_(MTD)"/>
      <sheetName val="Consl_Daily_Report"/>
      <sheetName val="balance_sheet"/>
      <sheetName val="drop-dwn list"/>
      <sheetName val="tngst1"/>
      <sheetName val="Boiler&amp;TG"/>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Timeline"/>
      <sheetName val="Open Items-311208"/>
      <sheetName val="ES"/>
      <sheetName val="Variables"/>
      <sheetName val="Publicbuilding"/>
      <sheetName val="Non-Factory"/>
      <sheetName val="extra work elec bill "/>
      <sheetName val="SEW4"/>
      <sheetName val="MFG"/>
      <sheetName val="Assump"/>
      <sheetName val="exp"/>
      <sheetName val="Sheet4"/>
      <sheetName val="A.O.R."/>
      <sheetName val="HBI NCD"/>
      <sheetName val="CUSTOM Jun99"/>
      <sheetName val="Gen_Ass"/>
      <sheetName val="Op_Ass"/>
      <sheetName val="Staff Costs"/>
      <sheetName val="General_Assumptions"/>
      <sheetName val="Tender Summary"/>
      <sheetName val="Bill 1-BOQ-Civil Works"/>
      <sheetName val="UNP-NCW "/>
      <sheetName val="CrRajWMM"/>
      <sheetName val="소상 &quot;1&quot;"/>
      <sheetName val="Graph (LGEN)"/>
      <sheetName val="out_prog"/>
      <sheetName val="선적schedule (2)"/>
      <sheetName val="Cost summary"/>
      <sheetName val="RCC Rates"/>
      <sheetName val="FORM7"/>
      <sheetName val="目录"/>
      <sheetName val="PRECAST lightconc-II"/>
      <sheetName val="4.4 External Plaster"/>
      <sheetName val="Felix Street Summary"/>
      <sheetName val="Newspapers"/>
      <sheetName val="AccDil"/>
      <sheetName val="Overall Summary"/>
      <sheetName val="Assumption"/>
      <sheetName val="EVA1"/>
      <sheetName val="ITEM  STUDY (2)"/>
      <sheetName val="EXPENSES"/>
      <sheetName val="TDS Certificate-Format"/>
      <sheetName val="FA"/>
      <sheetName val="ASSETS P&amp;M"/>
      <sheetName val="Assets Land &amp; Mise FA"/>
      <sheetName val="MultipleSecurities"/>
      <sheetName val="Ins Erection"/>
      <sheetName val="Determination of Threshold"/>
      <sheetName val="Debt"/>
      <sheetName val="cl 14 Annex 7 "/>
      <sheetName val="Encl 7A"/>
      <sheetName val="RA-markate"/>
      <sheetName val="Rollup"/>
      <sheetName val="0. Data Validation List"/>
      <sheetName val="Crest"/>
      <sheetName val="Pinnacle"/>
      <sheetName val="Zenith"/>
      <sheetName val="stacking sheet"/>
      <sheetName val="Basement Budget"/>
      <sheetName val="labour"/>
      <sheetName val="currency"/>
      <sheetName val="7 Jan 02"/>
      <sheetName val="Cash bal Mar"/>
      <sheetName val="Quotation"/>
      <sheetName val="RCC_Ret_ Wall"/>
      <sheetName val="HRD1"/>
      <sheetName val="Taluka wise dealer (2)"/>
      <sheetName val="TMasterCurrency"/>
      <sheetName val="TMasterSeg"/>
      <sheetName val="Notes"/>
      <sheetName val="FY2001-02"/>
      <sheetName val="XLR_NoRangeSheet"/>
      <sheetName val="Kontensalden"/>
      <sheetName val="BOM"/>
      <sheetName val="FA(Apr 07)"/>
      <sheetName val="Reco O.S"/>
      <sheetName val="Accounts"/>
      <sheetName val="Sheet3_(2)6"/>
      <sheetName val="QoQ_Forecast6"/>
      <sheetName val="Income_Statements6"/>
      <sheetName val="Sheet3__2_6"/>
      <sheetName val="Income_&amp;_Occupancy_Customer6"/>
      <sheetName val="Acc_10_56"/>
      <sheetName val="Aladdin_Macro16"/>
      <sheetName val="Global_Assm_6"/>
      <sheetName val="IMPORT_T121"/>
      <sheetName val="Portfolio_Summary2"/>
      <sheetName val="van_khuon1"/>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IDC_macro1"/>
      <sheetName val="170810-lease_tax1"/>
      <sheetName val="Main_Sheet_(MTD)1"/>
      <sheetName val="Consl_Daily_Report1"/>
      <sheetName val="balance_sheet1"/>
      <sheetName val="Rollup_Summary1"/>
      <sheetName val="TB_FOR_MIS1"/>
      <sheetName val="INPUT_SHEET"/>
      <sheetName val="Current_Bill_MB_ref2"/>
      <sheetName val="Meas_-Hotel_Part2"/>
      <sheetName val="Approved_MTD_Proj_#'s6"/>
      <sheetName val="Material_6"/>
      <sheetName val="Labour_&amp;_Plant6"/>
      <sheetName val="_B36"/>
      <sheetName val="_B16"/>
      <sheetName val="beam-reinft-IIInd_floor6"/>
      <sheetName val="MN_T_B_6"/>
      <sheetName val="CFForecast_detail6"/>
      <sheetName val="Site_Dev_BOQ6"/>
      <sheetName val="Break_up_Sheet6"/>
      <sheetName val="Load_Details-220kV6"/>
      <sheetName val="Block_A_-_BOQ6"/>
      <sheetName val="Fin_Sum1"/>
      <sheetName val="KPM_DT1"/>
      <sheetName val="March_Analysts"/>
      <sheetName val="CABLE_DATA1"/>
      <sheetName val="1st_flr1"/>
      <sheetName val="Civil_Boq1"/>
      <sheetName val="EXHIBIT&quot;_T&quot;"/>
      <sheetName val="P_&amp;_L"/>
      <sheetName val="M-2_Adjusted"/>
      <sheetName val="Master_Price_List"/>
      <sheetName val="Main_workings"/>
      <sheetName val="Balance_Sheet_"/>
      <sheetName val="Summary_Excise"/>
      <sheetName val="Other_BS_Sch_5-9"/>
      <sheetName val="Excess_Calc"/>
      <sheetName val="Grouping_Master"/>
      <sheetName val="final_abstract1"/>
      <sheetName val="Rate_analysis1"/>
      <sheetName val="Dom_Cell_(IS)"/>
      <sheetName val="_Acc__Sched_"/>
      <sheetName val="EDS__Bestshore_Migration"/>
      <sheetName val="MASTER_RATE_ANALYSIS"/>
      <sheetName val="Valuation_-_block_2"/>
      <sheetName val="IT_Block"/>
      <sheetName val="Location_CODE"/>
      <sheetName val="Location_TYPE"/>
      <sheetName val="sub_class"/>
      <sheetName val="_sub_Loc_"/>
      <sheetName val="Trial_Balance"/>
      <sheetName val="MIS_AC_wise"/>
      <sheetName val="Base_Assumptions"/>
      <sheetName val="SOPMA_DD"/>
      <sheetName val="03_(2)"/>
      <sheetName val="WIng_F(Typical)"/>
      <sheetName val="10__&amp;_11__Rate_Code_&amp;_BQ"/>
      <sheetName val="FITZ_MORT_94"/>
      <sheetName val="QoQ_In_Lakhs"/>
      <sheetName val="vb_9&amp;10"/>
      <sheetName val="Goldberg_Portfolio_Combined"/>
      <sheetName val="Commercial_Research"/>
      <sheetName val="Material_List_"/>
      <sheetName val="NEW-IDs_Fun_&amp;_Group"/>
      <sheetName val="IO_LIST"/>
      <sheetName val="Legal_Risk_Analysis"/>
      <sheetName val="MIS_-_kINR1"/>
      <sheetName val="9__Package_split_-_Cost_"/>
      <sheetName val="Operating_Statistics"/>
      <sheetName val="FA_Schedule_Dec_07"/>
      <sheetName val="Theatre_mgmt_cont"/>
      <sheetName val="P_R__TAXES"/>
      <sheetName val="BILLING_SUM"/>
      <sheetName val="Master_list"/>
      <sheetName val="Labour_List"/>
      <sheetName val="Material_List"/>
      <sheetName val="Architectural_Summary"/>
      <sheetName val="Labor_abs-NMR"/>
      <sheetName val="Beam_at_Ground_flr_lvl(Steel)"/>
      <sheetName val="1st_-vpd"/>
      <sheetName val="schedule_nos"/>
      <sheetName val="Fill_this_out_first___"/>
      <sheetName val="Leasing_Commision"/>
      <sheetName val="Service_Invoice"/>
      <sheetName val="Cash_Flow_Working"/>
      <sheetName val="Retail_Mall"/>
      <sheetName val="Training_Deposits_coding"/>
      <sheetName val="Related_party_-_P&amp;L"/>
      <sheetName val="Rev_Opt_-_Rollup"/>
      <sheetName val="Debtors_analysis"/>
      <sheetName val="pile_Fabrication"/>
      <sheetName val="LBO_Financials"/>
      <sheetName val="ANN_K"/>
      <sheetName val="Notes-pivot1_"/>
      <sheetName val="ASSETS_P&amp;M"/>
      <sheetName val="Assets_Land_&amp;_Mise_FA"/>
      <sheetName val="Open_Items-311208"/>
      <sheetName val="drop-dwn_list"/>
      <sheetName val="extra_work_elec_bill_"/>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BQ"/>
      <sheetName val="USB 1"/>
      <sheetName val="BOQ Distribution"/>
      <sheetName val="wordsdata"/>
      <sheetName val="GM &amp; TA"/>
      <sheetName val="steam outlet"/>
      <sheetName val="crs"/>
      <sheetName val="PIMS"/>
      <sheetName val="SCH 10"/>
      <sheetName val="SAP EMP"/>
      <sheetName val="?????"/>
      <sheetName val="Budget Summary"/>
      <sheetName val="PERHW"/>
      <sheetName val="Standalone"/>
      <sheetName val="RATE LIST (2)"/>
      <sheetName val="Control Sheet"/>
      <sheetName val="Recon"/>
      <sheetName val="Loss 3004"/>
      <sheetName val="Reconciliation of GL &amp; FAR"/>
      <sheetName val="schedules"/>
      <sheetName val="Summary_Local"/>
      <sheetName val="Settings"/>
      <sheetName val="HELP"/>
      <sheetName val="BS-2005"/>
      <sheetName val="MAIN_MENU"/>
      <sheetName val="exec summ"/>
      <sheetName val="TH"/>
      <sheetName val="details"/>
      <sheetName val="Phasing"/>
      <sheetName val="Hardware"/>
      <sheetName val="Power &amp; Fuel (S)"/>
      <sheetName val="concrete"/>
      <sheetName val="CSCCincSKR"/>
      <sheetName val="IO"/>
      <sheetName val="SALES"/>
      <sheetName val="Basework"/>
      <sheetName val="Monthly Inputs"/>
      <sheetName val="2000-1 Monthly Cashflows"/>
      <sheetName val="2002-2 Monthly Cashflows"/>
      <sheetName val="wdr bldg"/>
      <sheetName val="Formated Trial Balance"/>
      <sheetName val="SAP downloaded schedule"/>
      <sheetName val="Audit"/>
      <sheetName val="Transaction"/>
      <sheetName val="register"/>
      <sheetName val="EAST"/>
      <sheetName val="YOEMAGUM"/>
      <sheetName val="FCIIHyperion"/>
      <sheetName val="Multipliers &amp; KRA"/>
      <sheetName val="I"/>
      <sheetName val="Parameter"/>
      <sheetName val="Timesheet"/>
      <sheetName val="Loads"/>
      <sheetName val="p&amp;m"/>
      <sheetName val="S &amp; A"/>
      <sheetName val="Schedule v1"/>
      <sheetName val="Dep"/>
      <sheetName val="cash_flow"/>
      <sheetName val="sales_value"/>
      <sheetName val="colaw_dep"/>
      <sheetName val="freight"/>
      <sheetName val="gm"/>
      <sheetName val="interest"/>
      <sheetName val="jb_cost"/>
      <sheetName val="c_flow_%"/>
      <sheetName val="consum_cost"/>
      <sheetName val="form26"/>
      <sheetName val="F29B"/>
      <sheetName val=" "/>
      <sheetName val="Inv_Data"/>
      <sheetName val="Lease Expiry"/>
      <sheetName val="Tyre1"/>
      <sheetName val="Auto"/>
      <sheetName val="Customize Your Invoice"/>
      <sheetName val="Sale Charts"/>
      <sheetName val="EXIS-COMBINED"/>
      <sheetName val="HOUSE RENT DEPO."/>
      <sheetName val="Approval"/>
      <sheetName val="final 061106"/>
      <sheetName val="SAB P&amp;L"/>
      <sheetName val="cash flow"/>
      <sheetName val="Misc. Master"/>
      <sheetName val="Base data Security Procedures"/>
      <sheetName val="Expansion"/>
      <sheetName val="Capital Structure"/>
      <sheetName val="GROUPING"/>
      <sheetName val="NGS Data Sheet"/>
      <sheetName val="SGS Data Sheet"/>
      <sheetName val="WC analytics (+data pages)"/>
      <sheetName val="Collection"/>
      <sheetName val="dlvoid"/>
      <sheetName val="Redelvery provision changed"/>
      <sheetName val="CPR"/>
      <sheetName val="MARCH"/>
      <sheetName val="SEP "/>
      <sheetName val="Sources"/>
      <sheetName val="Earnings"/>
      <sheetName val="DYN PP"/>
      <sheetName val="TXN97"/>
      <sheetName val="June Reserve - Far East"/>
      <sheetName val="TBAL9697 -group wise  sdpl"/>
      <sheetName val="Coalmine"/>
      <sheetName val="Account title"/>
      <sheetName val="Titel"/>
      <sheetName val="Rs in lacs"/>
      <sheetName val="800CC_FR_HOSE"/>
      <sheetName val="Esteem Rear"/>
      <sheetName val="PROV_CONSOLIDATED"/>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Lease-rents"/>
      <sheetName val="Key Assumption"/>
      <sheetName val="Master Information"/>
      <sheetName val="Cases"/>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HIDDEN"/>
      <sheetName val="DEP99"/>
      <sheetName val="IGAAP"/>
      <sheetName val="INI"/>
      <sheetName val="meeting rectification control"/>
      <sheetName val="Loan Data"/>
      <sheetName val="Challan"/>
      <sheetName val="Standalone seg"/>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Financials"/>
      <sheetName val="Bgt_Lst"/>
      <sheetName val="Cnt_Lst"/>
      <sheetName val="labour rates"/>
      <sheetName val="old_serial no."/>
      <sheetName val="tot_ass_9697"/>
      <sheetName val="Budget_CF - Overall"/>
      <sheetName val="공사비 내역 (가)"/>
      <sheetName val="4K - (6a) Non Manual Breakdown"/>
      <sheetName val="3. Elemental Summary"/>
      <sheetName val="p1-costg"/>
      <sheetName val="costing"/>
      <sheetName val="August TB"/>
      <sheetName val="Trial Balance_Format"/>
      <sheetName val="Jan"/>
      <sheetName val="SP Break Up"/>
      <sheetName val="Cash Flow "/>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3-dep"/>
      <sheetName val="PetroChina"/>
      <sheetName val="DUMP "/>
      <sheetName val="Bspl Main"/>
      <sheetName val="Sch_BS"/>
      <sheetName val="BM"/>
      <sheetName val="PARAMETERS"/>
      <sheetName val="Misc__Master"/>
      <sheetName val="Capital_Structure"/>
      <sheetName val="TBAL9697_-group_wise__sdpl"/>
      <sheetName val="SEP_"/>
      <sheetName val="Account_title"/>
      <sheetName val="Redelvery_provision_changed"/>
      <sheetName val="Total MTH"/>
      <sheetName val="Grp_PL"/>
      <sheetName val="Charts"/>
      <sheetName val="Infinite Studios"/>
      <sheetName val="Neuros &amp; Immunos"/>
      <sheetName val="Nucleo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Lookups"/>
      <sheetName val="pri-com"/>
      <sheetName val="Factors"/>
      <sheetName val="NOT FULL RESTRAINT"/>
      <sheetName val="UC"/>
      <sheetName val="BEARING &amp; BUCKLING"/>
      <sheetName val="COM"/>
      <sheetName val="FSA"/>
      <sheetName val="B"/>
      <sheetName val="FF-2 (1)"/>
      <sheetName val="addl cost"/>
      <sheetName val="FF-1"/>
      <sheetName val="accumdeprn"/>
      <sheetName val="Names&amp;Cases"/>
      <sheetName val="COSTMAR"/>
      <sheetName val="Jun 2000"/>
      <sheetName val="Sheet2 (2)"/>
      <sheetName val="C120102"/>
      <sheetName val="nela"/>
      <sheetName val="COST-MTRS"/>
      <sheetName val="FLASH"/>
      <sheetName val="Annexure"/>
      <sheetName val="Schedules 3-8"/>
      <sheetName val="BHANDUP"/>
      <sheetName val="BS-203"/>
      <sheetName val="MPR_PA_1"/>
      <sheetName val="A"/>
      <sheetName val="Maping_Other"/>
      <sheetName val="Indices"/>
      <sheetName val="BOQ CIVIL"/>
      <sheetName val="Price Comparison"/>
      <sheetName val="Measurment"/>
      <sheetName val="entitlements"/>
      <sheetName val="Final Summary"/>
      <sheetName val="Figures in"/>
      <sheetName val="INQVAR PY"/>
      <sheetName val="EAW Final Accounts - 99"/>
      <sheetName val="Supplier"/>
      <sheetName val="Rates Basic"/>
      <sheetName val="Bal_Gr"/>
      <sheetName val="XWR"/>
      <sheetName val="Mthly CFS (Kha)"/>
      <sheetName val="sch"/>
      <sheetName val="grid"/>
      <sheetName val="O2.1"/>
      <sheetName val="RELACION REFERENCIAS"/>
      <sheetName val="GSTR-3B"/>
      <sheetName val="Collateral"/>
      <sheetName val="Category"/>
      <sheetName val="Repayment Summary"/>
      <sheetName val="cs1997"/>
      <sheetName val="2004"/>
      <sheetName val="2005"/>
      <sheetName val="Jul HK"/>
      <sheetName val="RMSCALC"/>
      <sheetName val="FSM"/>
      <sheetName val="cashflow-mgat"/>
      <sheetName val="Stack Expiry"/>
      <sheetName val="Stacking Plan"/>
      <sheetName val="Stacking Plan &amp; LEP"/>
      <sheetName val="Calendar"/>
      <sheetName val="Selection "/>
      <sheetName val="TENSCH"/>
      <sheetName val="Sheet1 (2)"/>
      <sheetName val="재무가정"/>
      <sheetName val="建築面積"/>
      <sheetName val="BPR"/>
      <sheetName val="Q1 Est"/>
      <sheetName val="gl"/>
      <sheetName val="Proforma"/>
      <sheetName val="B_S"/>
      <sheetName val="HSA"/>
      <sheetName val="WGSRL"/>
      <sheetName val="ADDN0304"/>
      <sheetName val="AR Graphs"/>
      <sheetName val="Jul 96 Worksheet"/>
      <sheetName val="NEES"/>
      <sheetName val="G02"/>
      <sheetName val="Périodes"/>
      <sheetName val="ANALY"/>
      <sheetName val="PERFO"/>
      <sheetName val="EXIT"/>
      <sheetName val="C30"/>
      <sheetName val="C"/>
      <sheetName val="電気設備表"/>
      <sheetName val="Book 1 Summary"/>
      <sheetName val="PROCESS"/>
      <sheetName val="2006-Cleancoded TB"/>
      <sheetName val="選択肢"/>
      <sheetName val="Sheet376"/>
      <sheetName val="EQUIP LIS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65">
          <cell r="A65" t="str">
            <v>(II)</v>
          </cell>
        </row>
      </sheetData>
      <sheetData sheetId="67">
        <row r="65">
          <cell r="A65" t="str">
            <v>(II)</v>
          </cell>
        </row>
      </sheetData>
      <sheetData sheetId="68">
        <row r="65">
          <cell r="A65" t="str">
            <v>(II)</v>
          </cell>
        </row>
      </sheetData>
      <sheetData sheetId="69">
        <row r="65">
          <cell r="A65" t="str">
            <v>(II)</v>
          </cell>
        </row>
      </sheetData>
      <sheetData sheetId="70">
        <row r="65">
          <cell r="A65" t="str">
            <v>(II)</v>
          </cell>
        </row>
      </sheetData>
      <sheetData sheetId="71">
        <row r="65">
          <cell r="A65" t="str">
            <v>(II)</v>
          </cell>
        </row>
      </sheetData>
      <sheetData sheetId="72">
        <row r="65">
          <cell r="A65" t="str">
            <v>(II)</v>
          </cell>
        </row>
      </sheetData>
      <sheetData sheetId="73">
        <row r="65">
          <cell r="A65" t="str">
            <v>(II)</v>
          </cell>
        </row>
      </sheetData>
      <sheetData sheetId="74">
        <row r="65">
          <cell r="A65" t="str">
            <v>(II)</v>
          </cell>
        </row>
      </sheetData>
      <sheetData sheetId="75">
        <row r="65">
          <cell r="A65" t="str">
            <v>(II)</v>
          </cell>
        </row>
      </sheetData>
      <sheetData sheetId="76">
        <row r="65">
          <cell r="A65" t="str">
            <v>(II)</v>
          </cell>
        </row>
      </sheetData>
      <sheetData sheetId="77">
        <row r="65">
          <cell r="A65" t="str">
            <v>(II)</v>
          </cell>
        </row>
      </sheetData>
      <sheetData sheetId="78">
        <row r="65">
          <cell r="A65" t="str">
            <v>(II)</v>
          </cell>
        </row>
      </sheetData>
      <sheetData sheetId="79">
        <row r="65">
          <cell r="A65" t="str">
            <v>(II)</v>
          </cell>
        </row>
      </sheetData>
      <sheetData sheetId="80">
        <row r="65">
          <cell r="A65" t="str">
            <v>(II)</v>
          </cell>
        </row>
      </sheetData>
      <sheetData sheetId="81">
        <row r="65">
          <cell r="A65" t="str">
            <v>(II)</v>
          </cell>
        </row>
      </sheetData>
      <sheetData sheetId="82">
        <row r="65">
          <cell r="A65" t="str">
            <v>(II)</v>
          </cell>
        </row>
      </sheetData>
      <sheetData sheetId="83">
        <row r="65">
          <cell r="A65" t="str">
            <v>(II)</v>
          </cell>
        </row>
      </sheetData>
      <sheetData sheetId="84">
        <row r="65">
          <cell r="A65" t="str">
            <v>(II)</v>
          </cell>
        </row>
      </sheetData>
      <sheetData sheetId="85">
        <row r="65">
          <cell r="A65" t="str">
            <v>(II)</v>
          </cell>
        </row>
      </sheetData>
      <sheetData sheetId="86">
        <row r="65">
          <cell r="A65" t="str">
            <v>(II)</v>
          </cell>
        </row>
      </sheetData>
      <sheetData sheetId="87">
        <row r="65">
          <cell r="A65" t="str">
            <v>(II)</v>
          </cell>
        </row>
      </sheetData>
      <sheetData sheetId="88">
        <row r="65">
          <cell r="A65" t="str">
            <v>(II)</v>
          </cell>
        </row>
      </sheetData>
      <sheetData sheetId="89">
        <row r="65">
          <cell r="A65" t="str">
            <v>(II)</v>
          </cell>
        </row>
      </sheetData>
      <sheetData sheetId="90">
        <row r="65">
          <cell r="A65" t="str">
            <v>(II)</v>
          </cell>
        </row>
      </sheetData>
      <sheetData sheetId="91">
        <row r="65">
          <cell r="A65" t="str">
            <v>(II)</v>
          </cell>
        </row>
      </sheetData>
      <sheetData sheetId="92">
        <row r="65">
          <cell r="A65" t="str">
            <v>(II)</v>
          </cell>
        </row>
      </sheetData>
      <sheetData sheetId="93">
        <row r="65">
          <cell r="A65" t="str">
            <v>(II)</v>
          </cell>
        </row>
      </sheetData>
      <sheetData sheetId="94">
        <row r="65">
          <cell r="A65" t="str">
            <v>(II)</v>
          </cell>
        </row>
      </sheetData>
      <sheetData sheetId="95">
        <row r="65">
          <cell r="A65" t="str">
            <v>(II)</v>
          </cell>
        </row>
      </sheetData>
      <sheetData sheetId="96">
        <row r="65">
          <cell r="A65" t="str">
            <v>(II)</v>
          </cell>
        </row>
      </sheetData>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65">
          <cell r="A65" t="str">
            <v>(II)</v>
          </cell>
        </row>
      </sheetData>
      <sheetData sheetId="290">
        <row r="65">
          <cell r="A65" t="str">
            <v>(II)</v>
          </cell>
        </row>
      </sheetData>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ow r="65">
          <cell r="A65" t="str">
            <v>(II)</v>
          </cell>
        </row>
      </sheetData>
      <sheetData sheetId="367">
        <row r="65">
          <cell r="A65" t="str">
            <v>(II)</v>
          </cell>
        </row>
      </sheetData>
      <sheetData sheetId="368">
        <row r="65">
          <cell r="A65" t="str">
            <v>(II)</v>
          </cell>
        </row>
      </sheetData>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efreshError="1"/>
      <sheetData sheetId="434" refreshError="1"/>
      <sheetData sheetId="435" refreshError="1"/>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ow r="65">
          <cell r="A65" t="str">
            <v>(II)</v>
          </cell>
        </row>
      </sheetData>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65">
          <cell r="A65" t="str">
            <v>(II)</v>
          </cell>
        </row>
      </sheetData>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65">
          <cell r="A65" t="str">
            <v>(II)</v>
          </cell>
        </row>
      </sheetData>
      <sheetData sheetId="550"/>
      <sheetData sheetId="551"/>
      <sheetData sheetId="552">
        <row r="65">
          <cell r="A65" t="str">
            <v>(II)</v>
          </cell>
        </row>
      </sheetData>
      <sheetData sheetId="553"/>
      <sheetData sheetId="554"/>
      <sheetData sheetId="555">
        <row r="65">
          <cell r="A65" t="str">
            <v>(II)</v>
          </cell>
        </row>
      </sheetData>
      <sheetData sheetId="556"/>
      <sheetData sheetId="557">
        <row r="65">
          <cell r="A65" t="str">
            <v>(II)</v>
          </cell>
        </row>
      </sheetData>
      <sheetData sheetId="558">
        <row r="65">
          <cell r="A65" t="str">
            <v>(II)</v>
          </cell>
        </row>
      </sheetData>
      <sheetData sheetId="559">
        <row r="65">
          <cell r="A65" t="str">
            <v>(II)</v>
          </cell>
        </row>
      </sheetData>
      <sheetData sheetId="560"/>
      <sheetData sheetId="561"/>
      <sheetData sheetId="562"/>
      <sheetData sheetId="563">
        <row r="65">
          <cell r="A65" t="str">
            <v>(II)</v>
          </cell>
        </row>
      </sheetData>
      <sheetData sheetId="564"/>
      <sheetData sheetId="565">
        <row r="65">
          <cell r="A65" t="str">
            <v>(II)</v>
          </cell>
        </row>
      </sheetData>
      <sheetData sheetId="566">
        <row r="65">
          <cell r="A65" t="str">
            <v>(II)</v>
          </cell>
        </row>
      </sheetData>
      <sheetData sheetId="567">
        <row r="65">
          <cell r="A65" t="str">
            <v>(II)</v>
          </cell>
        </row>
      </sheetData>
      <sheetData sheetId="568"/>
      <sheetData sheetId="569">
        <row r="65">
          <cell r="A65" t="str">
            <v>(II)</v>
          </cell>
        </row>
      </sheetData>
      <sheetData sheetId="570"/>
      <sheetData sheetId="571">
        <row r="65">
          <cell r="A65" t="str">
            <v>(II)</v>
          </cell>
        </row>
      </sheetData>
      <sheetData sheetId="572"/>
      <sheetData sheetId="573">
        <row r="65">
          <cell r="A65" t="str">
            <v>(II)</v>
          </cell>
        </row>
      </sheetData>
      <sheetData sheetId="574"/>
      <sheetData sheetId="575">
        <row r="65">
          <cell r="A65" t="str">
            <v>(II)</v>
          </cell>
        </row>
      </sheetData>
      <sheetData sheetId="576">
        <row r="65">
          <cell r="A65" t="str">
            <v>(II)</v>
          </cell>
        </row>
      </sheetData>
      <sheetData sheetId="577">
        <row r="65">
          <cell r="A65" t="str">
            <v>(II)</v>
          </cell>
        </row>
      </sheetData>
      <sheetData sheetId="578">
        <row r="65">
          <cell r="A65" t="str">
            <v>(II)</v>
          </cell>
        </row>
      </sheetData>
      <sheetData sheetId="579"/>
      <sheetData sheetId="580"/>
      <sheetData sheetId="581"/>
      <sheetData sheetId="582">
        <row r="65">
          <cell r="A65" t="str">
            <v>(II)</v>
          </cell>
        </row>
      </sheetData>
      <sheetData sheetId="583">
        <row r="65">
          <cell r="A65" t="str">
            <v>(II)</v>
          </cell>
        </row>
      </sheetData>
      <sheetData sheetId="584"/>
      <sheetData sheetId="585"/>
      <sheetData sheetId="586"/>
      <sheetData sheetId="587"/>
      <sheetData sheetId="588"/>
      <sheetData sheetId="589"/>
      <sheetData sheetId="590">
        <row r="65">
          <cell r="A65" t="str">
            <v>(II)</v>
          </cell>
        </row>
      </sheetData>
      <sheetData sheetId="591">
        <row r="65">
          <cell r="A65" t="str">
            <v>(II)</v>
          </cell>
        </row>
      </sheetData>
      <sheetData sheetId="592"/>
      <sheetData sheetId="593">
        <row r="65">
          <cell r="A65" t="str">
            <v>(II)</v>
          </cell>
        </row>
      </sheetData>
      <sheetData sheetId="594"/>
      <sheetData sheetId="595"/>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row r="65">
          <cell r="A65" t="str">
            <v>(II)</v>
          </cell>
        </row>
      </sheetData>
      <sheetData sheetId="602">
        <row r="65">
          <cell r="A65" t="str">
            <v>(II)</v>
          </cell>
        </row>
      </sheetData>
      <sheetData sheetId="603">
        <row r="65">
          <cell r="A65" t="str">
            <v>(II)</v>
          </cell>
        </row>
      </sheetData>
      <sheetData sheetId="604">
        <row r="65">
          <cell r="A65" t="str">
            <v>(II)</v>
          </cell>
        </row>
      </sheetData>
      <sheetData sheetId="605">
        <row r="65">
          <cell r="A65" t="str">
            <v>(II)</v>
          </cell>
        </row>
      </sheetData>
      <sheetData sheetId="606">
        <row r="65">
          <cell r="A65" t="str">
            <v>(II)</v>
          </cell>
        </row>
      </sheetData>
      <sheetData sheetId="607"/>
      <sheetData sheetId="608"/>
      <sheetData sheetId="609">
        <row r="65">
          <cell r="A65" t="str">
            <v>(II)</v>
          </cell>
        </row>
      </sheetData>
      <sheetData sheetId="610">
        <row r="65">
          <cell r="A65" t="str">
            <v>(II)</v>
          </cell>
        </row>
      </sheetData>
      <sheetData sheetId="611">
        <row r="65">
          <cell r="A65" t="str">
            <v>(II)</v>
          </cell>
        </row>
      </sheetData>
      <sheetData sheetId="612"/>
      <sheetData sheetId="613"/>
      <sheetData sheetId="614">
        <row r="65">
          <cell r="A65" t="str">
            <v>(II)</v>
          </cell>
        </row>
      </sheetData>
      <sheetData sheetId="615">
        <row r="65">
          <cell r="A65" t="str">
            <v>(II)</v>
          </cell>
        </row>
      </sheetData>
      <sheetData sheetId="616"/>
      <sheetData sheetId="617">
        <row r="65">
          <cell r="A65" t="str">
            <v>(II)</v>
          </cell>
        </row>
      </sheetData>
      <sheetData sheetId="618">
        <row r="65">
          <cell r="A65" t="str">
            <v>(II)</v>
          </cell>
        </row>
      </sheetData>
      <sheetData sheetId="619">
        <row r="65">
          <cell r="A65" t="str">
            <v>(II)</v>
          </cell>
        </row>
      </sheetData>
      <sheetData sheetId="620">
        <row r="65">
          <cell r="A65" t="str">
            <v>(II)</v>
          </cell>
        </row>
      </sheetData>
      <sheetData sheetId="621"/>
      <sheetData sheetId="622">
        <row r="65">
          <cell r="A65" t="str">
            <v>(II)</v>
          </cell>
        </row>
      </sheetData>
      <sheetData sheetId="623">
        <row r="65">
          <cell r="A65" t="str">
            <v>(II)</v>
          </cell>
        </row>
      </sheetData>
      <sheetData sheetId="624">
        <row r="65">
          <cell r="A65" t="str">
            <v>(II)</v>
          </cell>
        </row>
      </sheetData>
      <sheetData sheetId="625">
        <row r="65">
          <cell r="A65" t="str">
            <v>(II)</v>
          </cell>
        </row>
      </sheetData>
      <sheetData sheetId="626">
        <row r="65">
          <cell r="A65" t="str">
            <v>(II)</v>
          </cell>
        </row>
      </sheetData>
      <sheetData sheetId="627"/>
      <sheetData sheetId="628"/>
      <sheetData sheetId="629"/>
      <sheetData sheetId="630"/>
      <sheetData sheetId="631">
        <row r="65">
          <cell r="A65" t="str">
            <v>(II)</v>
          </cell>
        </row>
      </sheetData>
      <sheetData sheetId="632">
        <row r="65">
          <cell r="A65" t="str">
            <v>(II)</v>
          </cell>
        </row>
      </sheetData>
      <sheetData sheetId="633">
        <row r="65">
          <cell r="A65" t="str">
            <v>(II)</v>
          </cell>
        </row>
      </sheetData>
      <sheetData sheetId="634">
        <row r="65">
          <cell r="A65" t="str">
            <v>(II)</v>
          </cell>
        </row>
      </sheetData>
      <sheetData sheetId="635"/>
      <sheetData sheetId="636"/>
      <sheetData sheetId="637"/>
      <sheetData sheetId="638"/>
      <sheetData sheetId="639"/>
      <sheetData sheetId="640"/>
      <sheetData sheetId="641"/>
      <sheetData sheetId="642">
        <row r="65">
          <cell r="A65" t="str">
            <v>(II)</v>
          </cell>
        </row>
      </sheetData>
      <sheetData sheetId="643">
        <row r="65">
          <cell r="A65" t="str">
            <v>(II)</v>
          </cell>
        </row>
      </sheetData>
      <sheetData sheetId="644">
        <row r="65">
          <cell r="A65" t="str">
            <v>(II)</v>
          </cell>
        </row>
      </sheetData>
      <sheetData sheetId="645">
        <row r="65">
          <cell r="A65" t="str">
            <v>(II)</v>
          </cell>
        </row>
      </sheetData>
      <sheetData sheetId="646">
        <row r="65">
          <cell r="A65" t="str">
            <v>(II)</v>
          </cell>
        </row>
      </sheetData>
      <sheetData sheetId="647">
        <row r="65">
          <cell r="A65" t="str">
            <v>(II)</v>
          </cell>
        </row>
      </sheetData>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sheetData sheetId="655">
        <row r="65">
          <cell r="A65" t="str">
            <v>(II)</v>
          </cell>
        </row>
      </sheetData>
      <sheetData sheetId="656"/>
      <sheetData sheetId="657">
        <row r="65">
          <cell r="A65" t="str">
            <v>(II)</v>
          </cell>
        </row>
      </sheetData>
      <sheetData sheetId="658">
        <row r="65">
          <cell r="A65" t="str">
            <v>(II)</v>
          </cell>
        </row>
      </sheetData>
      <sheetData sheetId="659"/>
      <sheetData sheetId="660"/>
      <sheetData sheetId="661"/>
      <sheetData sheetId="662"/>
      <sheetData sheetId="663"/>
      <sheetData sheetId="664"/>
      <sheetData sheetId="665"/>
      <sheetData sheetId="666"/>
      <sheetData sheetId="667">
        <row r="65">
          <cell r="A65" t="str">
            <v>(II)</v>
          </cell>
        </row>
      </sheetData>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ow r="65">
          <cell r="A65" t="str">
            <v>(II)</v>
          </cell>
        </row>
      </sheetData>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refreshError="1"/>
      <sheetData sheetId="1059" refreshError="1"/>
      <sheetData sheetId="1060" refreshError="1"/>
      <sheetData sheetId="1061" refreshError="1"/>
      <sheetData sheetId="1062" refreshError="1"/>
      <sheetData sheetId="1063" refreshError="1"/>
      <sheetData sheetId="1064" refreshError="1"/>
      <sheetData sheetId="1065"/>
      <sheetData sheetId="1066"/>
      <sheetData sheetId="1067"/>
      <sheetData sheetId="1068"/>
      <sheetData sheetId="1069"/>
      <sheetData sheetId="1070"/>
      <sheetData sheetId="1071" refreshError="1"/>
      <sheetData sheetId="1072" refreshError="1"/>
      <sheetData sheetId="1073" refreshError="1"/>
      <sheetData sheetId="1074"/>
      <sheetData sheetId="1075"/>
      <sheetData sheetId="1076"/>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ow r="65">
          <cell r="A65" t="str">
            <v>(II)</v>
          </cell>
        </row>
      </sheetData>
      <sheetData sheetId="1140">
        <row r="65">
          <cell r="A65" t="str">
            <v>(II)</v>
          </cell>
        </row>
      </sheetData>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AB별"/>
      <sheetName val="Con"/>
      <sheetName val="Output"/>
      <sheetName val="summary"/>
      <sheetName val="PopCache"/>
      <sheetName val="Sheet3 (2)"/>
      <sheetName val="SMP"/>
      <sheetName val="CF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BS&amp;CF WLS"/>
      <sheetName val="PANDLAC WLS ROUTE"/>
      <sheetName val="BS&amp;CF WFP"/>
      <sheetName val="02A.INPUT"/>
      <sheetName val="03A.INPUT"/>
      <sheetName val="04A.INPUT"/>
      <sheetName val="05A.INPUT"/>
      <sheetName val="03B.INPUT"/>
      <sheetName val="04B.INPUT"/>
      <sheetName val="05B.INPUT"/>
      <sheetName val="05F.INPUT"/>
      <sheetName val="06B.INPUT"/>
      <sheetName val="PANDLAC WFP"/>
      <sheetName val="PANDLAC WLS-SMT-BUD05"/>
      <sheetName val="PANDLAC WLS-SMT-FST05"/>
      <sheetName val="PANDLAC WLS-ACT-FST05"/>
      <sheetName val="Summary P&amp;L"/>
      <sheetName val="Variance reconciliation"/>
      <sheetName val="Budget 06 comparison"/>
      <sheetName val="Bud06 Var Rec"/>
      <sheetName val="PANDLAC WLS-ACT"/>
      <sheetName val="Fcst Rec"/>
      <sheetName val="TRAFFIC-bud"/>
      <sheetName val="TRAFFIC-fst"/>
      <sheetName val="TRAFFIC INPUTS"/>
      <sheetName val="HW INPUTS"/>
      <sheetName val="Total road area"/>
      <sheetName val="Sheet3 (2)"/>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row r="9">
          <cell r="AA9">
            <v>1998</v>
          </cell>
          <cell r="AB9">
            <v>1998</v>
          </cell>
          <cell r="AC9">
            <v>1998</v>
          </cell>
        </row>
        <row r="10">
          <cell r="AA10" t="str">
            <v>changes</v>
          </cell>
          <cell r="AB10" t="str">
            <v>changes(2)</v>
          </cell>
          <cell r="AC10" t="str">
            <v>Budget (2)</v>
          </cell>
        </row>
        <row r="12">
          <cell r="AA12" t="str">
            <v>Units</v>
          </cell>
          <cell r="AB12" t="str">
            <v>Units</v>
          </cell>
          <cell r="AC12" t="str">
            <v>Units</v>
          </cell>
        </row>
        <row r="15">
          <cell r="AA15" t="e">
            <v>#REF!</v>
          </cell>
          <cell r="AC15">
            <v>1878217</v>
          </cell>
        </row>
        <row r="17">
          <cell r="AA17" t="e">
            <v>#REF!</v>
          </cell>
          <cell r="AC17">
            <v>831965</v>
          </cell>
        </row>
        <row r="18">
          <cell r="AA18" t="e">
            <v>#REF!</v>
          </cell>
          <cell r="AC18">
            <v>164363</v>
          </cell>
        </row>
        <row r="19">
          <cell r="AA19" t="e">
            <v>#REF!</v>
          </cell>
          <cell r="AC19">
            <v>63477</v>
          </cell>
        </row>
        <row r="20">
          <cell r="AA20" t="e">
            <v>#REF!</v>
          </cell>
          <cell r="AC20">
            <v>19071</v>
          </cell>
        </row>
        <row r="21">
          <cell r="AA21" t="e">
            <v>#REF!</v>
          </cell>
          <cell r="AC21">
            <v>140999</v>
          </cell>
        </row>
        <row r="26">
          <cell r="AA26" t="str">
            <v>£000</v>
          </cell>
          <cell r="AB26" t="str">
            <v>£000</v>
          </cell>
          <cell r="AC26" t="str">
            <v>£000</v>
          </cell>
        </row>
        <row r="28">
          <cell r="AA28" t="e">
            <v>#REF!</v>
          </cell>
          <cell r="AB28">
            <v>0</v>
          </cell>
          <cell r="AC28">
            <v>5748</v>
          </cell>
        </row>
        <row r="30">
          <cell r="AA30" t="e">
            <v>#REF!</v>
          </cell>
          <cell r="AB30">
            <v>0</v>
          </cell>
          <cell r="AC30">
            <v>18429</v>
          </cell>
        </row>
        <row r="31">
          <cell r="AA31" t="e">
            <v>#REF!</v>
          </cell>
          <cell r="AC31">
            <v>2000</v>
          </cell>
        </row>
        <row r="33">
          <cell r="AA33" t="e">
            <v>#REF!</v>
          </cell>
          <cell r="AC33">
            <v>830</v>
          </cell>
        </row>
        <row r="34">
          <cell r="AA34" t="e">
            <v>#REF!</v>
          </cell>
          <cell r="AB34">
            <v>0</v>
          </cell>
          <cell r="AC34">
            <v>1861</v>
          </cell>
        </row>
        <row r="35">
          <cell r="AA35" t="e">
            <v>#REF!</v>
          </cell>
          <cell r="AB35">
            <v>0</v>
          </cell>
          <cell r="AC35">
            <v>5499</v>
          </cell>
        </row>
        <row r="36">
          <cell r="AA36" t="e">
            <v>#REF!</v>
          </cell>
          <cell r="AC36">
            <v>66</v>
          </cell>
        </row>
        <row r="38">
          <cell r="AA38" t="e">
            <v>#REF!</v>
          </cell>
          <cell r="AB38">
            <v>0</v>
          </cell>
          <cell r="AC38">
            <v>34433</v>
          </cell>
        </row>
        <row r="52">
          <cell r="AA52" t="str">
            <v>£</v>
          </cell>
          <cell r="AB52" t="str">
            <v>£</v>
          </cell>
          <cell r="AC52" t="str">
            <v>£</v>
          </cell>
        </row>
        <row r="54">
          <cell r="AA54" t="e">
            <v>#REF!</v>
          </cell>
          <cell r="AC54">
            <v>3.0603492567685202</v>
          </cell>
        </row>
        <row r="55">
          <cell r="AA55" t="e">
            <v>#REF!</v>
          </cell>
          <cell r="AC55" t="e">
            <v>#DIV/0!</v>
          </cell>
        </row>
        <row r="56">
          <cell r="AA56" t="e">
            <v>#REF!</v>
          </cell>
          <cell r="AC56">
            <v>22.151172224793111</v>
          </cell>
        </row>
        <row r="57">
          <cell r="AA57" t="e">
            <v>#REF!</v>
          </cell>
          <cell r="AC57">
            <v>12.168188704270426</v>
          </cell>
        </row>
        <row r="58">
          <cell r="AA58" t="e">
            <v>#REF!</v>
          </cell>
          <cell r="AC58">
            <v>13.075602186618775</v>
          </cell>
        </row>
        <row r="59">
          <cell r="AA59" t="e">
            <v>#REF!</v>
          </cell>
          <cell r="AC59">
            <v>97.582717214619052</v>
          </cell>
        </row>
        <row r="60">
          <cell r="AA60" t="e">
            <v>#REF!</v>
          </cell>
          <cell r="AC60">
            <v>39.000276597706367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北京市房地产抵押价值预评估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受贵公司委托，我公司对北京市房地产抵押价值进行了预评估。</v>
      </c>
    </row>
    <row r="7" spans="1:2">
      <c r="A7" s="1113" t="s">
        <v>566</v>
      </c>
      <c r="B7" s="1114" t="str">
        <f>'预评函-1'!A7</f>
        <v>估价对象为北京市房地产，为所有。根据《国有土地使用证》[]，估价对象（分摊）出让国有建设用地使用权面积为0平方米，建筑面积为4179.02平方米。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估价对象为北京市房地产,属开发建设的，该项目尚在开发建设中。根据《国有土地使用证》[]，估价对象（分摊）出让国有建设用地使用权面积为0平方米，规划建筑面积为4179.02平方米。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2025年8月4日（评估专业人员实地查勘之日）</v>
      </c>
    </row>
    <row r="13" spans="1:2">
      <c r="A13" s="1113" t="s">
        <v>529</v>
      </c>
      <c r="B13" s="1114" t="str">
        <f>'预评函-1'!A18</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9" customFormat="1" ht="15" thickBot="1">
      <c r="A18" s="1116" t="s">
        <v>534</v>
      </c>
      <c r="B18" s="1117" t="str">
        <f>'预评函-1'!A24</f>
        <v>本次评估采用的主估价方法为成本法和收益法。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3448</v>
      </c>
    </row>
    <row r="21" spans="1:2">
      <c r="A21" s="1113" t="s">
        <v>537</v>
      </c>
      <c r="B21" s="1114">
        <f ca="1">'预评函-2'!D7</f>
        <v>21439</v>
      </c>
    </row>
    <row r="22" spans="1:2">
      <c r="A22" s="1113" t="s">
        <v>538</v>
      </c>
      <c r="B22" s="1114" t="str">
        <f ca="1">'预评函-2'!D6</f>
        <v>叁仟肆佰肆拾捌万元整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3448</v>
      </c>
    </row>
    <row r="31" spans="1:2">
      <c r="A31" s="1113" t="s">
        <v>576</v>
      </c>
      <c r="B31" s="1114">
        <f ca="1">'预评函-2'!D15</f>
        <v>21439</v>
      </c>
    </row>
    <row r="32" spans="1:2">
      <c r="A32" s="1113" t="s">
        <v>543</v>
      </c>
      <c r="B32" s="1114" t="str">
        <f ca="1">'预评函-2'!D14</f>
        <v>叁仟肆佰肆拾捌万元整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4.抵押净值</v>
      </c>
    </row>
    <row r="38" spans="1:2">
      <c r="A38" s="1113" t="s">
        <v>597</v>
      </c>
      <c r="B38" s="1114">
        <f ca="1">'预评函-2'!D19</f>
        <v>3446</v>
      </c>
    </row>
    <row r="39" spans="1:2">
      <c r="A39" s="1113" t="s">
        <v>545</v>
      </c>
      <c r="B39" s="1114">
        <f ca="1">'预评函-2'!D21</f>
        <v>8246</v>
      </c>
    </row>
    <row r="40" spans="1:2">
      <c r="A40" s="1113" t="s">
        <v>546</v>
      </c>
      <c r="B40" s="1114" t="str">
        <f ca="1">'预评函-2'!D20</f>
        <v>叁仟肆佰肆拾陆万元整</v>
      </c>
    </row>
    <row r="41" spans="1:2">
      <c r="A41" s="1113" t="s">
        <v>592</v>
      </c>
      <c r="B41" s="1114" t="str">
        <f>'预评函-3'!A4</f>
        <v>北京市房地产</v>
      </c>
    </row>
    <row r="42" spans="1:2">
      <c r="A42" s="1113" t="s">
        <v>590</v>
      </c>
      <c r="B42" s="1114" t="str">
        <f>'预评函-3'!B2</f>
        <v>建筑面积</v>
      </c>
    </row>
    <row r="43" spans="1:2">
      <c r="A43" s="1113" t="s">
        <v>591</v>
      </c>
      <c r="B43" s="1114">
        <f>'预评函-3'!B4</f>
        <v>4179.0200000000004</v>
      </c>
    </row>
    <row r="44" spans="1:2">
      <c r="A44" s="1113" t="s">
        <v>575</v>
      </c>
      <c r="B44" s="1114" t="str">
        <f>'预评函-3'!C2</f>
        <v>(分摊)土地面积</v>
      </c>
    </row>
    <row r="45" spans="1:2">
      <c r="A45" s="1113" t="s">
        <v>547</v>
      </c>
      <c r="B45" s="1114">
        <f>'预评函-3'!C4</f>
        <v>0</v>
      </c>
    </row>
    <row r="46" spans="1:2">
      <c r="A46" s="1113" t="s">
        <v>573</v>
      </c>
      <c r="B46" s="1114" t="str">
        <f>'预评函-3'!D2</f>
        <v>出让国有建设用地使用权价值</v>
      </c>
    </row>
    <row r="47" spans="1:2">
      <c r="A47" s="1113" t="s">
        <v>548</v>
      </c>
      <c r="B47" s="1114">
        <f ca="1">'预评函-3'!D4</f>
        <v>2555</v>
      </c>
    </row>
    <row r="48" spans="1:2">
      <c r="A48" s="1113" t="s">
        <v>549</v>
      </c>
      <c r="B48" s="1114">
        <f ca="1">'预评函-3'!E4</f>
        <v>15886</v>
      </c>
    </row>
    <row r="49" spans="1:2">
      <c r="A49" s="1113" t="s">
        <v>550</v>
      </c>
      <c r="B49" s="1114" t="str">
        <f ca="1">'预评函-3'!D5</f>
        <v>贰仟伍佰伍拾伍万元整</v>
      </c>
    </row>
    <row r="50" spans="1:2">
      <c r="A50" s="1113" t="s">
        <v>574</v>
      </c>
      <c r="B50" s="1114" t="str">
        <f>'预评函-3'!F2</f>
        <v>在建建筑物价值</v>
      </c>
    </row>
    <row r="51" spans="1:2">
      <c r="A51" s="1113" t="s">
        <v>551</v>
      </c>
      <c r="B51" s="1114">
        <f ca="1">'预评函-3'!F4</f>
        <v>893</v>
      </c>
    </row>
    <row r="52" spans="1:2">
      <c r="A52" s="1113" t="s">
        <v>552</v>
      </c>
      <c r="B52" s="1114">
        <f ca="1">'预评函-3'!G4</f>
        <v>5553</v>
      </c>
    </row>
    <row r="53" spans="1:2">
      <c r="A53" s="1113" t="s">
        <v>580</v>
      </c>
      <c r="B53" s="1114" t="str">
        <f ca="1">'预评函-3'!F5</f>
        <v>捌佰玖拾叁万元整</v>
      </c>
    </row>
    <row r="54" spans="1:2">
      <c r="A54" s="1113" t="s">
        <v>598</v>
      </c>
      <c r="B54" s="1114" t="str">
        <f>'预评函-3'!A8</f>
        <v>房地产抵押价值</v>
      </c>
    </row>
    <row r="55" spans="1:2">
      <c r="A55" s="1113" t="s">
        <v>581</v>
      </c>
      <c r="B55" s="1114" t="str">
        <f>'预评函-3'!A10</f>
        <v/>
      </c>
    </row>
    <row r="56" spans="1:2">
      <c r="A56" s="1113" t="s">
        <v>582</v>
      </c>
      <c r="B56" s="1114" t="str">
        <f>'预评函-3'!A12</f>
        <v>抵押净值</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v>
      </c>
    </row>
    <row r="67" spans="1:2">
      <c r="A67" s="1113" t="s">
        <v>571</v>
      </c>
      <c r="B67" s="1114" t="str">
        <f>'预评函-4'!A21</f>
        <v>——</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8" width="15.125" style="1439" customWidth="1"/>
    <col min="29" max="16384" width="9" style="1399"/>
  </cols>
  <sheetData>
    <row r="1" spans="1:28" s="1434" customFormat="1" ht="40.5">
      <c r="A1" s="1430" t="s">
        <v>44</v>
      </c>
      <c r="B1" s="1431" t="s">
        <v>973</v>
      </c>
      <c r="C1" s="1432" t="s">
        <v>314</v>
      </c>
      <c r="D1" s="1433" t="s">
        <v>3334</v>
      </c>
      <c r="E1" s="1432" t="s">
        <v>974</v>
      </c>
      <c r="F1" s="1432" t="s">
        <v>975</v>
      </c>
      <c r="G1" s="1432" t="s">
        <v>976</v>
      </c>
      <c r="H1" s="1432" t="s">
        <v>977</v>
      </c>
      <c r="I1" s="1432" t="s">
        <v>978</v>
      </c>
      <c r="J1" s="1432" t="s">
        <v>979</v>
      </c>
      <c r="K1" s="1432" t="s">
        <v>980</v>
      </c>
      <c r="L1" s="1432" t="s">
        <v>981</v>
      </c>
      <c r="M1" s="1432" t="s">
        <v>982</v>
      </c>
      <c r="N1" s="1432" t="s">
        <v>983</v>
      </c>
      <c r="O1" s="1432" t="s">
        <v>984</v>
      </c>
      <c r="P1" s="1433" t="s">
        <v>309</v>
      </c>
      <c r="Q1" s="1433" t="s">
        <v>447</v>
      </c>
      <c r="R1" s="1432" t="s">
        <v>441</v>
      </c>
      <c r="S1" s="1432" t="s">
        <v>985</v>
      </c>
      <c r="T1" s="1433" t="s">
        <v>986</v>
      </c>
      <c r="U1" s="1432" t="s">
        <v>987</v>
      </c>
      <c r="V1" s="1432" t="s">
        <v>988</v>
      </c>
      <c r="W1" s="1432" t="s">
        <v>311</v>
      </c>
      <c r="X1" s="1432" t="s">
        <v>669</v>
      </c>
      <c r="Y1" s="1432" t="s">
        <v>21</v>
      </c>
      <c r="Z1" s="1432" t="s">
        <v>3390</v>
      </c>
      <c r="AA1" s="1432" t="s">
        <v>3389</v>
      </c>
      <c r="AB1" s="1432" t="s">
        <v>3</v>
      </c>
    </row>
    <row r="2" spans="1:28">
      <c r="A2" s="1435" t="s">
        <v>19</v>
      </c>
      <c r="B2" s="1435" t="s">
        <v>989</v>
      </c>
      <c r="C2" s="1436" t="s">
        <v>315</v>
      </c>
      <c r="D2" s="1437" t="s">
        <v>990</v>
      </c>
      <c r="E2" s="1437" t="s">
        <v>991</v>
      </c>
      <c r="F2" s="1437" t="s">
        <v>992</v>
      </c>
      <c r="G2" s="1437">
        <v>20</v>
      </c>
      <c r="H2" s="1437" t="s">
        <v>992</v>
      </c>
      <c r="I2" s="1437" t="s">
        <v>3320</v>
      </c>
      <c r="J2" s="1437" t="s">
        <v>993</v>
      </c>
      <c r="K2" s="1437" t="s">
        <v>994</v>
      </c>
      <c r="L2" s="1437" t="s">
        <v>994</v>
      </c>
      <c r="M2" s="1437" t="s">
        <v>994</v>
      </c>
      <c r="N2" s="1437" t="s">
        <v>994</v>
      </c>
      <c r="O2" s="1437" t="s">
        <v>994</v>
      </c>
      <c r="P2" s="1437" t="s">
        <v>994</v>
      </c>
      <c r="Q2" s="1437" t="s">
        <v>994</v>
      </c>
      <c r="R2" s="1437" t="s">
        <v>443</v>
      </c>
      <c r="S2" s="1437" t="s">
        <v>994</v>
      </c>
      <c r="T2" s="1437" t="s">
        <v>995</v>
      </c>
      <c r="U2" s="1437" t="s">
        <v>994</v>
      </c>
      <c r="V2" s="1437" t="s">
        <v>996</v>
      </c>
      <c r="W2" s="1437" t="s">
        <v>994</v>
      </c>
      <c r="X2" s="1439" t="s">
        <v>2423</v>
      </c>
      <c r="Y2" s="1439" t="s">
        <v>3397</v>
      </c>
      <c r="Z2" s="1439" t="s">
        <v>2436</v>
      </c>
      <c r="AA2" s="1439" t="s">
        <v>3398</v>
      </c>
      <c r="AB2" s="1439" t="s">
        <v>2463</v>
      </c>
    </row>
    <row r="3" spans="1:28">
      <c r="A3" s="1435" t="s">
        <v>997</v>
      </c>
      <c r="B3" s="1438" t="s">
        <v>448</v>
      </c>
      <c r="C3" s="1436" t="s">
        <v>316</v>
      </c>
      <c r="D3" s="1437" t="s">
        <v>998</v>
      </c>
      <c r="E3" s="1437" t="s">
        <v>13</v>
      </c>
      <c r="F3" s="1437" t="s">
        <v>999</v>
      </c>
      <c r="G3" s="1437">
        <v>40</v>
      </c>
      <c r="H3" s="1437" t="s">
        <v>999</v>
      </c>
      <c r="I3" s="1437" t="s">
        <v>3321</v>
      </c>
      <c r="J3" s="1437" t="s">
        <v>1000</v>
      </c>
      <c r="K3" s="1437" t="s">
        <v>1001</v>
      </c>
      <c r="L3" s="1437" t="s">
        <v>1001</v>
      </c>
      <c r="M3" s="1437" t="s">
        <v>1001</v>
      </c>
      <c r="N3" s="1437" t="s">
        <v>1001</v>
      </c>
      <c r="O3" s="1437" t="s">
        <v>1001</v>
      </c>
      <c r="P3" s="1437" t="s">
        <v>1001</v>
      </c>
      <c r="Q3" s="1437" t="s">
        <v>1001</v>
      </c>
      <c r="R3" s="1437" t="s">
        <v>442</v>
      </c>
      <c r="S3" s="1437" t="s">
        <v>1001</v>
      </c>
      <c r="T3" s="1437" t="s">
        <v>1002</v>
      </c>
      <c r="U3" s="1437" t="s">
        <v>1001</v>
      </c>
      <c r="V3" s="1437" t="s">
        <v>1003</v>
      </c>
      <c r="W3" s="1437" t="s">
        <v>1001</v>
      </c>
      <c r="X3" s="1439" t="s">
        <v>2425</v>
      </c>
      <c r="Z3" s="1439" t="s">
        <v>2438</v>
      </c>
      <c r="AB3" s="1439" t="s">
        <v>2465</v>
      </c>
    </row>
    <row r="4" spans="1:28">
      <c r="A4" s="1435" t="s">
        <v>1004</v>
      </c>
      <c r="B4" s="1435" t="s">
        <v>1005</v>
      </c>
      <c r="C4" s="1436" t="s">
        <v>317</v>
      </c>
      <c r="D4" s="1437" t="s">
        <v>389</v>
      </c>
      <c r="E4" s="1437" t="s">
        <v>1006</v>
      </c>
      <c r="F4" s="1437" t="s">
        <v>1007</v>
      </c>
      <c r="G4" s="1437">
        <v>50</v>
      </c>
      <c r="H4" s="1437" t="s">
        <v>1007</v>
      </c>
      <c r="I4" s="1437" t="s">
        <v>3322</v>
      </c>
      <c r="K4" s="1437" t="s">
        <v>1008</v>
      </c>
      <c r="L4" s="1437" t="s">
        <v>1008</v>
      </c>
      <c r="M4" s="1437" t="s">
        <v>1008</v>
      </c>
      <c r="N4" s="1437" t="s">
        <v>1008</v>
      </c>
      <c r="O4" s="1437" t="s">
        <v>1008</v>
      </c>
      <c r="P4" s="1437" t="s">
        <v>1008</v>
      </c>
      <c r="Q4" s="1437" t="s">
        <v>1008</v>
      </c>
      <c r="R4" s="1437" t="s">
        <v>444</v>
      </c>
      <c r="S4" s="1437" t="s">
        <v>1008</v>
      </c>
      <c r="T4" s="1437" t="s">
        <v>1009</v>
      </c>
      <c r="U4" s="1437" t="s">
        <v>1008</v>
      </c>
      <c r="W4" s="1437" t="s">
        <v>1008</v>
      </c>
      <c r="X4" s="1439" t="s">
        <v>2427</v>
      </c>
      <c r="Z4" s="1439" t="s">
        <v>2440</v>
      </c>
      <c r="AB4" s="1439" t="s">
        <v>2467</v>
      </c>
    </row>
    <row r="5" spans="1:28">
      <c r="A5" s="1435" t="s">
        <v>1010</v>
      </c>
      <c r="B5" s="1435" t="s">
        <v>1011</v>
      </c>
      <c r="C5" s="1436" t="s">
        <v>318</v>
      </c>
      <c r="F5" s="1437" t="s">
        <v>1012</v>
      </c>
      <c r="G5" s="1437">
        <v>70</v>
      </c>
      <c r="H5" s="1437" t="s">
        <v>1013</v>
      </c>
      <c r="I5" s="1437" t="s">
        <v>3323</v>
      </c>
      <c r="K5" s="1437" t="s">
        <v>1014</v>
      </c>
      <c r="L5" s="1437" t="s">
        <v>1014</v>
      </c>
      <c r="M5" s="1437" t="s">
        <v>1014</v>
      </c>
      <c r="N5" s="1437" t="s">
        <v>1014</v>
      </c>
      <c r="O5" s="1437" t="s">
        <v>1014</v>
      </c>
      <c r="P5" s="1437" t="s">
        <v>1014</v>
      </c>
      <c r="Q5" s="1437" t="s">
        <v>1014</v>
      </c>
      <c r="R5" s="1437" t="s">
        <v>445</v>
      </c>
      <c r="S5" s="1437" t="s">
        <v>1014</v>
      </c>
      <c r="T5" s="1437" t="s">
        <v>1015</v>
      </c>
      <c r="U5" s="1437" t="s">
        <v>1014</v>
      </c>
      <c r="W5" s="1437" t="s">
        <v>1014</v>
      </c>
      <c r="X5" s="1439" t="s">
        <v>2429</v>
      </c>
      <c r="Z5" s="1439" t="s">
        <v>2442</v>
      </c>
      <c r="AB5" s="1439" t="s">
        <v>3399</v>
      </c>
    </row>
    <row r="6" spans="1:28">
      <c r="A6" s="1435" t="s">
        <v>1016</v>
      </c>
      <c r="B6" s="1438" t="s">
        <v>449</v>
      </c>
      <c r="C6" s="1440" t="s">
        <v>24</v>
      </c>
      <c r="F6" s="1437" t="s">
        <v>1013</v>
      </c>
      <c r="H6" s="1437" t="s">
        <v>1017</v>
      </c>
      <c r="I6" s="1437" t="s">
        <v>3324</v>
      </c>
      <c r="K6" s="1437" t="s">
        <v>1018</v>
      </c>
      <c r="L6" s="1437" t="s">
        <v>1018</v>
      </c>
      <c r="M6" s="1437" t="s">
        <v>1018</v>
      </c>
      <c r="N6" s="1437" t="s">
        <v>1018</v>
      </c>
      <c r="O6" s="1437" t="s">
        <v>1018</v>
      </c>
      <c r="P6" s="1437" t="s">
        <v>1018</v>
      </c>
      <c r="Q6" s="1437" t="s">
        <v>1018</v>
      </c>
      <c r="R6" s="1437" t="s">
        <v>446</v>
      </c>
      <c r="S6" s="1437" t="s">
        <v>1018</v>
      </c>
      <c r="T6" s="1437"/>
      <c r="U6" s="1437" t="s">
        <v>1018</v>
      </c>
      <c r="W6" s="1437" t="s">
        <v>1018</v>
      </c>
      <c r="X6" s="1439" t="s">
        <v>2431</v>
      </c>
      <c r="Z6" s="1439" t="s">
        <v>2444</v>
      </c>
      <c r="AB6" s="1439" t="s">
        <v>2470</v>
      </c>
    </row>
    <row r="7" spans="1:28">
      <c r="A7" s="1435" t="s">
        <v>1019</v>
      </c>
      <c r="B7" s="1438" t="s">
        <v>450</v>
      </c>
      <c r="C7" s="1436" t="s">
        <v>25</v>
      </c>
      <c r="F7" s="1437" t="s">
        <v>1020</v>
      </c>
      <c r="H7" s="1437" t="s">
        <v>1021</v>
      </c>
      <c r="I7" s="1437" t="s">
        <v>3325</v>
      </c>
      <c r="X7" s="1439" t="s">
        <v>2433</v>
      </c>
      <c r="Z7" s="1439" t="s">
        <v>2446</v>
      </c>
      <c r="AB7" s="1439" t="s">
        <v>2472</v>
      </c>
    </row>
    <row r="8" spans="1:28">
      <c r="A8" s="1435" t="s">
        <v>1022</v>
      </c>
      <c r="B8" s="1435" t="s">
        <v>1023</v>
      </c>
      <c r="C8" s="1436" t="s">
        <v>319</v>
      </c>
      <c r="F8" s="1437" t="s">
        <v>1024</v>
      </c>
      <c r="H8" s="1437" t="s">
        <v>2561</v>
      </c>
      <c r="I8" s="1437" t="s">
        <v>3326</v>
      </c>
      <c r="X8" s="1439" t="s">
        <v>3400</v>
      </c>
      <c r="Z8" s="1439" t="s">
        <v>2448</v>
      </c>
      <c r="AB8" s="1439" t="s">
        <v>2474</v>
      </c>
    </row>
    <row r="9" spans="1:28">
      <c r="A9" s="1435" t="s">
        <v>1025</v>
      </c>
      <c r="B9" s="1435" t="s">
        <v>1026</v>
      </c>
      <c r="C9" s="1436" t="s">
        <v>320</v>
      </c>
      <c r="F9" s="1437" t="s">
        <v>1027</v>
      </c>
      <c r="H9" s="1437"/>
      <c r="I9" s="1439" t="s">
        <v>3327</v>
      </c>
      <c r="X9" s="1439" t="s">
        <v>3401</v>
      </c>
      <c r="Z9" s="1439" t="s">
        <v>2450</v>
      </c>
      <c r="AB9" s="1439" t="s">
        <v>2476</v>
      </c>
    </row>
    <row r="10" spans="1:28">
      <c r="A10" s="1435" t="s">
        <v>1028</v>
      </c>
      <c r="B10" s="1435" t="s">
        <v>1029</v>
      </c>
      <c r="C10" s="1436" t="s">
        <v>321</v>
      </c>
      <c r="F10" s="1437" t="s">
        <v>2562</v>
      </c>
      <c r="I10" s="1439" t="s">
        <v>3328</v>
      </c>
      <c r="Z10" s="1439" t="s">
        <v>2452</v>
      </c>
      <c r="AB10" s="1439" t="s">
        <v>2478</v>
      </c>
    </row>
    <row r="11" spans="1:28">
      <c r="A11" s="1435" t="s">
        <v>1030</v>
      </c>
      <c r="B11" s="1435" t="s">
        <v>1031</v>
      </c>
      <c r="C11" s="1436" t="s">
        <v>322</v>
      </c>
      <c r="F11" s="1437" t="s">
        <v>13</v>
      </c>
      <c r="I11" s="1439" t="s">
        <v>3329</v>
      </c>
      <c r="Z11" s="1439" t="s">
        <v>2454</v>
      </c>
      <c r="AB11" s="1439" t="s">
        <v>2480</v>
      </c>
    </row>
    <row r="12" spans="1:28">
      <c r="A12" s="1435" t="s">
        <v>1032</v>
      </c>
      <c r="B12" s="1435" t="s">
        <v>1033</v>
      </c>
      <c r="C12" s="1436" t="s">
        <v>323</v>
      </c>
      <c r="I12" s="1439" t="s">
        <v>3330</v>
      </c>
      <c r="Z12" s="1439" t="s">
        <v>2456</v>
      </c>
      <c r="AB12" s="1439" t="s">
        <v>2482</v>
      </c>
    </row>
    <row r="13" spans="1:28">
      <c r="A13" s="1435" t="s">
        <v>1034</v>
      </c>
      <c r="B13" s="1435" t="s">
        <v>1035</v>
      </c>
      <c r="C13" s="1436" t="s">
        <v>324</v>
      </c>
      <c r="I13" s="1439" t="s">
        <v>3331</v>
      </c>
      <c r="Z13" s="1439" t="s">
        <v>2458</v>
      </c>
    </row>
    <row r="14" spans="1:28">
      <c r="A14" s="1435" t="s">
        <v>1036</v>
      </c>
      <c r="B14" s="1435" t="s">
        <v>1037</v>
      </c>
      <c r="C14" s="1437" t="s">
        <v>13</v>
      </c>
      <c r="I14" s="1439" t="s">
        <v>3332</v>
      </c>
      <c r="Z14" s="1439" t="s">
        <v>2460</v>
      </c>
    </row>
    <row r="15" spans="1:28">
      <c r="A15" s="1435" t="s">
        <v>1038</v>
      </c>
      <c r="B15" s="1435" t="s">
        <v>1039</v>
      </c>
      <c r="C15" s="1436"/>
      <c r="I15" s="1439" t="s">
        <v>3333</v>
      </c>
    </row>
    <row r="16" spans="1:28">
      <c r="A16" s="1435" t="s">
        <v>1040</v>
      </c>
      <c r="B16" s="1435" t="s">
        <v>312</v>
      </c>
      <c r="C16" s="1436"/>
    </row>
    <row r="17" spans="1:3">
      <c r="A17" s="1435" t="s">
        <v>1041</v>
      </c>
      <c r="B17" s="1435" t="s">
        <v>2277</v>
      </c>
      <c r="C17" s="1436"/>
    </row>
    <row r="18" spans="1:3">
      <c r="A18" s="1435" t="s">
        <v>1042</v>
      </c>
      <c r="B18" s="1435" t="s">
        <v>2417</v>
      </c>
      <c r="C18" s="1436"/>
    </row>
    <row r="19" spans="1:3">
      <c r="A19" s="1435" t="s">
        <v>1043</v>
      </c>
      <c r="B19" s="1435" t="s">
        <v>3548</v>
      </c>
      <c r="C19" s="1436"/>
    </row>
    <row r="20" spans="1:3">
      <c r="A20" s="1435" t="s">
        <v>1044</v>
      </c>
      <c r="B20" s="1435" t="s">
        <v>3544</v>
      </c>
      <c r="C20" s="1436"/>
    </row>
    <row r="21" spans="1:3">
      <c r="A21" s="1435" t="s">
        <v>1045</v>
      </c>
      <c r="B21" s="1435" t="s">
        <v>3546</v>
      </c>
      <c r="C21" s="1436"/>
    </row>
    <row r="22" spans="1:3">
      <c r="A22" s="1435" t="s">
        <v>1046</v>
      </c>
      <c r="B22" s="1435" t="s">
        <v>3549</v>
      </c>
      <c r="C22" s="1436"/>
    </row>
    <row r="23" spans="1:3">
      <c r="A23" s="1435" t="s">
        <v>1047</v>
      </c>
      <c r="B23" s="1435" t="s">
        <v>3551</v>
      </c>
      <c r="C23" s="1436"/>
    </row>
    <row r="24" spans="1:3">
      <c r="A24" s="1435" t="s">
        <v>1048</v>
      </c>
      <c r="B24" s="1435" t="s">
        <v>3559</v>
      </c>
      <c r="C24" s="1436"/>
    </row>
    <row r="25" spans="1:3">
      <c r="A25" s="1435" t="s">
        <v>1049</v>
      </c>
      <c r="B25" s="1435" t="s">
        <v>313</v>
      </c>
      <c r="C25" s="1436"/>
    </row>
    <row r="26" spans="1:3">
      <c r="A26" s="1435" t="s">
        <v>1050</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297"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7"/>
      <c r="B54" s="1441" t="s">
        <v>385</v>
      </c>
      <c r="C54" s="1439" t="s">
        <v>583</v>
      </c>
    </row>
    <row r="55" spans="1:4">
      <c r="A55" s="3297"/>
      <c r="B55" s="1441" t="s">
        <v>386</v>
      </c>
      <c r="C55" s="1439" t="s">
        <v>584</v>
      </c>
    </row>
    <row r="56" spans="1:4">
      <c r="A56" s="3297"/>
      <c r="B56" s="1441" t="s">
        <v>387</v>
      </c>
      <c r="C56" s="1439" t="s">
        <v>588</v>
      </c>
    </row>
    <row r="57" spans="1:4">
      <c r="A57" s="3297"/>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C4" sqref="C4"/>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2484</v>
      </c>
      <c r="B1" s="2751"/>
      <c r="C1" s="2751"/>
      <c r="D1" s="2751"/>
      <c r="E1" s="2751"/>
      <c r="F1" s="2752"/>
      <c r="I1" s="3128" t="s">
        <v>2577</v>
      </c>
      <c r="J1" s="2777"/>
      <c r="K1" s="2777"/>
      <c r="L1" s="2777"/>
      <c r="M1" s="2777"/>
      <c r="N1" s="2962"/>
      <c r="O1" s="2962"/>
      <c r="P1" s="2962"/>
      <c r="Q1" s="2962"/>
      <c r="R1" s="2962"/>
    </row>
    <row r="2" spans="1:18">
      <c r="A2" s="2754"/>
      <c r="B2" s="2755"/>
      <c r="C2" s="2755"/>
      <c r="D2" s="2755"/>
      <c r="E2" s="2755"/>
      <c r="F2" s="2756"/>
      <c r="I2" s="3298" t="s">
        <v>2564</v>
      </c>
      <c r="J2" s="3298"/>
      <c r="K2" s="3298"/>
      <c r="L2" s="3298"/>
      <c r="M2" s="3298"/>
      <c r="N2" s="3298"/>
      <c r="O2" s="3298"/>
      <c r="P2" s="3298"/>
      <c r="Q2" s="3298"/>
      <c r="R2" s="3298"/>
    </row>
    <row r="3" spans="1:18">
      <c r="A3" s="2757" t="s">
        <v>2485</v>
      </c>
      <c r="B3" s="2758">
        <f>项目基本情况!D3</f>
        <v>45873</v>
      </c>
      <c r="C3" s="2760"/>
      <c r="D3" s="2760"/>
      <c r="E3" s="2760"/>
      <c r="F3" s="2756"/>
      <c r="I3" s="2772"/>
      <c r="J3" s="2772" t="s">
        <v>2568</v>
      </c>
      <c r="K3" s="2772" t="s">
        <v>2569</v>
      </c>
      <c r="L3" s="2772" t="s">
        <v>2570</v>
      </c>
      <c r="M3" s="2772" t="s">
        <v>2571</v>
      </c>
      <c r="N3" s="3129" t="s">
        <v>2572</v>
      </c>
      <c r="O3" s="3129" t="s">
        <v>2573</v>
      </c>
      <c r="P3" s="3129" t="s">
        <v>2574</v>
      </c>
      <c r="Q3" s="3129" t="s">
        <v>2575</v>
      </c>
      <c r="R3" s="3129" t="s">
        <v>2576</v>
      </c>
    </row>
    <row r="4" spans="1:18">
      <c r="A4" s="2757" t="s">
        <v>2486</v>
      </c>
      <c r="B4" s="2760" t="s">
        <v>2487</v>
      </c>
      <c r="C4" s="2760" t="s">
        <v>2488</v>
      </c>
      <c r="D4" s="2760" t="s">
        <v>2489</v>
      </c>
      <c r="E4" s="2760" t="s">
        <v>2490</v>
      </c>
      <c r="F4" s="2756"/>
      <c r="I4" s="2772" t="s">
        <v>2565</v>
      </c>
      <c r="J4" s="2772">
        <v>80</v>
      </c>
      <c r="K4" s="2772">
        <v>70</v>
      </c>
      <c r="L4" s="2772">
        <v>20</v>
      </c>
      <c r="M4" s="2772">
        <v>30</v>
      </c>
      <c r="N4" s="2760">
        <v>45</v>
      </c>
      <c r="O4" s="2760">
        <v>60</v>
      </c>
      <c r="P4" s="2760">
        <v>50</v>
      </c>
      <c r="Q4" s="2760">
        <v>20</v>
      </c>
      <c r="R4" s="2760">
        <v>375</v>
      </c>
    </row>
    <row r="5" spans="1:18">
      <c r="A5" s="2761">
        <v>40</v>
      </c>
      <c r="B5" s="2758">
        <v>46375</v>
      </c>
      <c r="C5" s="2760">
        <f>ROUNDDOWN(MIN((B5-B3)/365,A5),2)</f>
        <v>1.37</v>
      </c>
      <c r="D5" s="2762">
        <f>IF(ISERROR(ROUND(POWER(1+E5,A5-C5)*(POWER(1+E5,C5)-1)/(POWER(1+E5,A5)-1),3)),0,ROUND(POWER(1+E5,A5-C5)*(POWER(1+E5,C5)-1)/(POWER(1+E5,A5)-1),4))</f>
        <v>6.6100000000000006E-2</v>
      </c>
      <c r="E5" s="2763">
        <v>0.04</v>
      </c>
      <c r="F5" s="2756"/>
      <c r="I5" s="2772" t="s">
        <v>2566</v>
      </c>
      <c r="J5" s="2772">
        <v>70</v>
      </c>
      <c r="K5" s="2772">
        <v>60</v>
      </c>
      <c r="L5" s="2772">
        <v>15</v>
      </c>
      <c r="M5" s="2772">
        <v>25</v>
      </c>
      <c r="N5" s="2760">
        <v>40</v>
      </c>
      <c r="O5" s="2760">
        <v>50</v>
      </c>
      <c r="P5" s="2760">
        <v>40</v>
      </c>
      <c r="Q5" s="2760">
        <v>15</v>
      </c>
      <c r="R5" s="2760">
        <v>315</v>
      </c>
    </row>
    <row r="6" spans="1:18">
      <c r="A6" s="2761">
        <v>50</v>
      </c>
      <c r="B6" s="2758">
        <v>50028</v>
      </c>
      <c r="C6" s="2760">
        <f>ROUNDDOWN(MIN((B6-B3)/365,A6),2)</f>
        <v>11.38</v>
      </c>
      <c r="D6" s="2762">
        <f>IF(ISERROR(ROUND(POWER(1+E6,A6-C6)*(POWER(1+E6,C6)-1)/(POWER(1+E6,A6)-1),3)),0,ROUND(POWER(1+E6,A6-C6)*(POWER(1+E6,C6)-1)/(POWER(1+E6,A6)-1),4))</f>
        <v>0.41899999999999998</v>
      </c>
      <c r="E6" s="2763">
        <v>0.04</v>
      </c>
      <c r="F6" s="2756"/>
      <c r="I6" s="2772" t="s">
        <v>2567</v>
      </c>
      <c r="J6" s="2772">
        <v>60</v>
      </c>
      <c r="K6" s="2772">
        <v>50</v>
      </c>
      <c r="L6" s="2772">
        <v>10</v>
      </c>
      <c r="M6" s="2772">
        <v>20</v>
      </c>
      <c r="N6" s="2760">
        <v>35</v>
      </c>
      <c r="O6" s="2760">
        <v>40</v>
      </c>
      <c r="P6" s="2760">
        <v>30</v>
      </c>
      <c r="Q6" s="2760">
        <v>10</v>
      </c>
      <c r="R6" s="2760">
        <v>255</v>
      </c>
    </row>
    <row r="7" spans="1:18">
      <c r="A7" s="2761">
        <v>70</v>
      </c>
      <c r="B7" s="2758">
        <v>57333</v>
      </c>
      <c r="C7" s="2760">
        <f>ROUNDDOWN(MIN((B7-B3)/365,A7),2)</f>
        <v>31.39</v>
      </c>
      <c r="D7" s="2762">
        <f>IF(ISERROR(ROUND(POWER(1+E7,A7-C7)*(POWER(1+E7,C7)-1)/(POWER(1+E7,A7)-1),3)),0,ROUND(POWER(1+E7,A7-C7)*(POWER(1+E7,C7)-1)/(POWER(1+E7,A7)-1),4))</f>
        <v>0.75660000000000005</v>
      </c>
      <c r="E7" s="2763">
        <v>0.04</v>
      </c>
      <c r="F7" s="2756"/>
    </row>
    <row r="8" spans="1:18">
      <c r="A8" s="2754"/>
      <c r="B8" s="2755"/>
      <c r="C8" s="2755"/>
      <c r="D8" s="2755"/>
      <c r="E8" s="2755"/>
      <c r="F8" s="2756"/>
    </row>
    <row r="9" spans="1:18">
      <c r="A9" s="2757" t="s">
        <v>2491</v>
      </c>
      <c r="B9" s="2760"/>
      <c r="C9" s="2760"/>
      <c r="D9" s="2760"/>
      <c r="E9" s="2760"/>
      <c r="F9" s="2764"/>
    </row>
    <row r="10" spans="1:18">
      <c r="A10" s="2757" t="s">
        <v>2492</v>
      </c>
      <c r="B10" s="2760"/>
      <c r="C10" s="2760"/>
      <c r="D10" s="2760" t="s">
        <v>2490</v>
      </c>
      <c r="E10" s="2760"/>
      <c r="F10" s="2764" t="s">
        <v>2489</v>
      </c>
    </row>
    <row r="11" spans="1:18">
      <c r="A11" s="2757" t="s">
        <v>2493</v>
      </c>
      <c r="B11" s="2765">
        <v>70</v>
      </c>
      <c r="C11" s="2760" t="s">
        <v>2494</v>
      </c>
      <c r="D11" s="2765">
        <v>4.4999999999999998E-2</v>
      </c>
      <c r="E11" s="2760" t="s">
        <v>2495</v>
      </c>
      <c r="F11" s="2766">
        <f>ROUND(1-(1/(POWER(1+D11,B11))),4)</f>
        <v>0.95409999999999995</v>
      </c>
    </row>
    <row r="12" spans="1:18">
      <c r="A12" s="2757" t="s">
        <v>2496</v>
      </c>
      <c r="B12" s="2765">
        <v>40</v>
      </c>
      <c r="C12" s="2760" t="s">
        <v>2497</v>
      </c>
      <c r="D12" s="2765">
        <v>4.4999999999999998E-2</v>
      </c>
      <c r="E12" s="2760" t="s">
        <v>2498</v>
      </c>
      <c r="F12" s="2766">
        <f>ROUND(1-(1/(POWER(1+D12,B12))),4)</f>
        <v>0.82809999999999995</v>
      </c>
    </row>
    <row r="13" spans="1:18">
      <c r="A13" s="2757" t="s">
        <v>2499</v>
      </c>
      <c r="B13" s="2760"/>
      <c r="C13" s="2760"/>
      <c r="D13" s="2755"/>
      <c r="E13" s="2755"/>
      <c r="F13" s="2756"/>
    </row>
    <row r="14" spans="1:18">
      <c r="A14" s="2757" t="s">
        <v>2500</v>
      </c>
      <c r="B14" s="2765">
        <v>5000</v>
      </c>
      <c r="C14" s="2759"/>
      <c r="D14" s="2755"/>
      <c r="E14" s="2755"/>
      <c r="F14" s="2756"/>
    </row>
    <row r="15" spans="1:18">
      <c r="A15" s="2757" t="s">
        <v>2501</v>
      </c>
      <c r="B15" s="2760">
        <f>ROUND(B14*F12/F11,2)</f>
        <v>4339.6899999999996</v>
      </c>
      <c r="C15" s="2760">
        <f>ROUND(F12/F11,4)</f>
        <v>0.8679</v>
      </c>
      <c r="D15" s="2755"/>
      <c r="E15" s="2755"/>
      <c r="F15" s="2756"/>
    </row>
    <row r="16" spans="1:18">
      <c r="A16" s="2757" t="s">
        <v>2502</v>
      </c>
      <c r="B16" s="2760"/>
      <c r="C16" s="2760"/>
      <c r="D16" s="2755"/>
      <c r="E16" s="2755"/>
      <c r="F16" s="2756"/>
    </row>
    <row r="17" spans="1:14">
      <c r="A17" s="2757" t="s">
        <v>2501</v>
      </c>
      <c r="B17" s="2765">
        <v>4810</v>
      </c>
      <c r="C17" s="2759"/>
      <c r="D17" s="2755"/>
      <c r="E17" s="2755"/>
      <c r="F17" s="2756"/>
    </row>
    <row r="18" spans="1:14" ht="14.25" thickBot="1">
      <c r="A18" s="2767" t="s">
        <v>2500</v>
      </c>
      <c r="B18" s="2768">
        <f>ROUND(B17*F11/F12,2)</f>
        <v>5541.87</v>
      </c>
      <c r="C18" s="2768">
        <f>ROUND(F11/F12,4)</f>
        <v>1.1521999999999999</v>
      </c>
      <c r="D18" s="2769"/>
      <c r="E18" s="2769"/>
      <c r="F18" s="2770"/>
    </row>
    <row r="19" spans="1:14" ht="14.25" thickBot="1"/>
    <row r="20" spans="1:14" s="2803" customFormat="1" ht="14.25" thickTop="1">
      <c r="A20" s="2800" t="s">
        <v>2503</v>
      </c>
      <c r="B20" s="2801"/>
      <c r="C20" s="2801"/>
      <c r="D20" s="2801"/>
      <c r="E20" s="2801"/>
      <c r="F20" s="2801"/>
      <c r="G20" s="2802"/>
      <c r="I20" s="2804" t="s">
        <v>2548</v>
      </c>
      <c r="J20" s="2804" t="s">
        <v>2553</v>
      </c>
      <c r="K20" s="2804"/>
      <c r="L20" s="2804"/>
      <c r="M20" s="2804"/>
    </row>
    <row r="21" spans="1:14">
      <c r="A21" s="2771"/>
      <c r="B21" s="2772" t="s">
        <v>2504</v>
      </c>
      <c r="C21" s="2772" t="s">
        <v>2505</v>
      </c>
      <c r="D21" s="2772" t="s">
        <v>2506</v>
      </c>
      <c r="E21" s="2772" t="s">
        <v>2507</v>
      </c>
      <c r="F21" s="2772" t="s">
        <v>2508</v>
      </c>
      <c r="G21" s="2773" t="s">
        <v>2509</v>
      </c>
      <c r="I21" s="2794">
        <v>5</v>
      </c>
      <c r="J21" s="2794">
        <v>54.2</v>
      </c>
    </row>
    <row r="22" spans="1:14">
      <c r="A22" s="2771" t="s">
        <v>2510</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2511</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2551</v>
      </c>
      <c r="N23" s="3146" t="s">
        <v>2552</v>
      </c>
    </row>
    <row r="24" spans="1:14">
      <c r="A24" s="2771" t="s">
        <v>2512</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2550</v>
      </c>
      <c r="N24" s="3146">
        <v>10</v>
      </c>
    </row>
    <row r="25" spans="1:14">
      <c r="A25" s="2771" t="s">
        <v>2513</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2554</v>
      </c>
      <c r="N25" s="3146">
        <v>8</v>
      </c>
    </row>
    <row r="26" spans="1:14">
      <c r="A26" s="2776"/>
      <c r="B26" s="2777"/>
      <c r="C26" s="2777"/>
      <c r="D26" s="2777"/>
      <c r="E26" s="2777"/>
      <c r="F26" s="2777"/>
      <c r="G26" s="2778"/>
      <c r="I26" s="2794">
        <v>30</v>
      </c>
      <c r="J26" s="2794">
        <v>90.5</v>
      </c>
      <c r="K26" s="2794">
        <f t="shared" si="2"/>
        <v>4.2000000000000028</v>
      </c>
      <c r="L26" s="2794" t="s">
        <v>2555</v>
      </c>
      <c r="N26" s="3146">
        <v>5</v>
      </c>
    </row>
    <row r="27" spans="1:14">
      <c r="A27" s="2776" t="s">
        <v>2514</v>
      </c>
      <c r="B27" s="2777"/>
      <c r="C27" s="2777"/>
      <c r="D27" s="2777"/>
      <c r="E27" s="2777"/>
      <c r="F27" s="2777"/>
      <c r="G27" s="2778"/>
      <c r="I27" s="2794">
        <v>35</v>
      </c>
      <c r="J27" s="2794">
        <v>93.8</v>
      </c>
      <c r="K27" s="2794">
        <f t="shared" si="2"/>
        <v>3.2999999999999972</v>
      </c>
      <c r="L27" s="2794" t="s">
        <v>2556</v>
      </c>
      <c r="N27" s="3146">
        <v>3</v>
      </c>
    </row>
    <row r="28" spans="1:14">
      <c r="A28" s="2776" t="s">
        <v>2515</v>
      </c>
      <c r="B28" s="2777"/>
      <c r="C28" s="2777"/>
      <c r="D28" s="2777"/>
      <c r="E28" s="2777"/>
      <c r="F28" s="2777"/>
      <c r="G28" s="2778"/>
      <c r="I28" s="2794">
        <v>40</v>
      </c>
      <c r="J28" s="2794">
        <v>96.4</v>
      </c>
      <c r="K28" s="2794">
        <f t="shared" si="2"/>
        <v>2.6000000000000085</v>
      </c>
      <c r="L28" s="2794" t="s">
        <v>2557</v>
      </c>
      <c r="N28" s="3146">
        <v>2</v>
      </c>
    </row>
    <row r="29" spans="1:14">
      <c r="A29" s="2776" t="s">
        <v>2516</v>
      </c>
      <c r="B29" s="2777"/>
      <c r="C29" s="2777"/>
      <c r="D29" s="2777"/>
      <c r="E29" s="2777"/>
      <c r="F29" s="2777"/>
      <c r="G29" s="2778"/>
      <c r="I29" s="2794">
        <v>45</v>
      </c>
      <c r="J29" s="2794">
        <v>98.4</v>
      </c>
      <c r="K29" s="2794">
        <f t="shared" si="2"/>
        <v>2</v>
      </c>
    </row>
    <row r="30" spans="1:14">
      <c r="A30" s="2776" t="s">
        <v>2517</v>
      </c>
      <c r="B30" s="2777"/>
      <c r="C30" s="2777"/>
      <c r="D30" s="2777"/>
      <c r="E30" s="2777"/>
      <c r="F30" s="2777"/>
      <c r="G30" s="2778"/>
      <c r="I30" s="2794">
        <v>50</v>
      </c>
      <c r="J30" s="2794">
        <v>100</v>
      </c>
      <c r="K30" s="2794">
        <f t="shared" si="2"/>
        <v>1.5999999999999943</v>
      </c>
    </row>
    <row r="31" spans="1:14">
      <c r="A31" s="2776" t="s">
        <v>2518</v>
      </c>
      <c r="B31" s="2777"/>
      <c r="C31" s="2777"/>
      <c r="D31" s="2777"/>
      <c r="E31" s="2777"/>
      <c r="F31" s="2777"/>
      <c r="G31" s="2778"/>
      <c r="I31" s="2794" t="s">
        <v>2549</v>
      </c>
    </row>
    <row r="32" spans="1:14">
      <c r="A32" s="2776" t="s">
        <v>2519</v>
      </c>
      <c r="B32" s="2777"/>
      <c r="C32" s="2777"/>
      <c r="D32" s="2777"/>
      <c r="E32" s="2777"/>
      <c r="F32" s="2777"/>
      <c r="G32" s="2778"/>
    </row>
    <row r="33" spans="1:14">
      <c r="A33" s="2776" t="s">
        <v>2520</v>
      </c>
      <c r="B33" s="2777"/>
      <c r="C33" s="2777"/>
      <c r="D33" s="2777"/>
      <c r="E33" s="2777"/>
      <c r="F33" s="2777"/>
      <c r="G33" s="2778"/>
      <c r="I33" s="2794" t="s">
        <v>2548</v>
      </c>
      <c r="J33" s="2794" t="s">
        <v>2558</v>
      </c>
    </row>
    <row r="34" spans="1:14">
      <c r="A34" s="2776" t="s">
        <v>2521</v>
      </c>
      <c r="B34" s="2777"/>
      <c r="C34" s="2777"/>
      <c r="D34" s="2777"/>
      <c r="E34" s="2777"/>
      <c r="F34" s="2777"/>
      <c r="G34" s="2778"/>
      <c r="I34" s="2794">
        <v>5</v>
      </c>
      <c r="J34" s="2794">
        <v>55.1</v>
      </c>
    </row>
    <row r="35" spans="1:14">
      <c r="A35" s="2776" t="s">
        <v>2522</v>
      </c>
      <c r="B35" s="2777"/>
      <c r="C35" s="2777"/>
      <c r="D35" s="2777"/>
      <c r="E35" s="2777"/>
      <c r="F35" s="2777"/>
      <c r="G35" s="2778"/>
      <c r="I35" s="2794">
        <v>10</v>
      </c>
      <c r="J35" s="2794">
        <v>67</v>
      </c>
      <c r="K35" s="2794">
        <f>J35-J34</f>
        <v>11.899999999999999</v>
      </c>
    </row>
    <row r="36" spans="1:14">
      <c r="A36" s="2776" t="s">
        <v>2523</v>
      </c>
      <c r="B36" s="2777"/>
      <c r="C36" s="2777"/>
      <c r="D36" s="2777"/>
      <c r="E36" s="2777"/>
      <c r="F36" s="2777"/>
      <c r="G36" s="2778"/>
      <c r="I36" s="2794">
        <v>15</v>
      </c>
      <c r="J36" s="2794">
        <v>76.3</v>
      </c>
      <c r="K36" s="2794">
        <f t="shared" ref="K36:K41" si="3">J36-J35</f>
        <v>9.2999999999999972</v>
      </c>
      <c r="L36" s="2794" t="s">
        <v>2551</v>
      </c>
      <c r="N36" s="3146" t="s">
        <v>2552</v>
      </c>
    </row>
    <row r="37" spans="1:14">
      <c r="A37" s="2776" t="s">
        <v>2524</v>
      </c>
      <c r="B37" s="2777"/>
      <c r="C37" s="2777"/>
      <c r="D37" s="2777"/>
      <c r="E37" s="2777"/>
      <c r="F37" s="2777"/>
      <c r="G37" s="2778"/>
      <c r="I37" s="2794">
        <v>20</v>
      </c>
      <c r="J37" s="2794">
        <v>83.6</v>
      </c>
      <c r="K37" s="2794">
        <f t="shared" si="3"/>
        <v>7.2999999999999972</v>
      </c>
      <c r="L37" s="2794" t="s">
        <v>2550</v>
      </c>
      <c r="N37" s="3146">
        <v>10</v>
      </c>
    </row>
    <row r="38" spans="1:14">
      <c r="A38" s="2776" t="s">
        <v>2525</v>
      </c>
      <c r="B38" s="2777"/>
      <c r="C38" s="2777"/>
      <c r="D38" s="2777"/>
      <c r="E38" s="2777"/>
      <c r="F38" s="2777"/>
      <c r="G38" s="2778"/>
      <c r="I38" s="2794">
        <v>25</v>
      </c>
      <c r="J38" s="2794">
        <v>89.3</v>
      </c>
      <c r="K38" s="2794">
        <f t="shared" si="3"/>
        <v>5.7000000000000028</v>
      </c>
      <c r="L38" s="2794" t="s">
        <v>2554</v>
      </c>
      <c r="N38" s="3146">
        <v>8</v>
      </c>
    </row>
    <row r="39" spans="1:14">
      <c r="A39" s="2776"/>
      <c r="B39" s="2777"/>
      <c r="C39" s="2777"/>
      <c r="D39" s="2777"/>
      <c r="E39" s="2777"/>
      <c r="F39" s="2777"/>
      <c r="G39" s="2778"/>
      <c r="I39" s="2794">
        <v>30</v>
      </c>
      <c r="J39" s="2794">
        <v>93.8</v>
      </c>
      <c r="K39" s="2794">
        <f t="shared" si="3"/>
        <v>4.5</v>
      </c>
      <c r="L39" s="2794" t="s">
        <v>2555</v>
      </c>
      <c r="N39" s="3146">
        <v>6</v>
      </c>
    </row>
    <row r="40" spans="1:14">
      <c r="A40" s="2779" t="s">
        <v>2526</v>
      </c>
      <c r="B40" s="2780"/>
      <c r="C40" s="2780"/>
      <c r="D40" s="2780"/>
      <c r="E40" s="2780"/>
      <c r="F40" s="2780"/>
      <c r="G40" s="2781"/>
      <c r="I40" s="2794">
        <v>35</v>
      </c>
      <c r="J40" s="2794">
        <v>97.2</v>
      </c>
      <c r="K40" s="2794">
        <f t="shared" si="3"/>
        <v>3.4000000000000057</v>
      </c>
      <c r="L40" s="2794" t="s">
        <v>2556</v>
      </c>
      <c r="N40" s="3146">
        <v>3</v>
      </c>
    </row>
    <row r="41" spans="1:14">
      <c r="A41" s="2782" t="s">
        <v>2527</v>
      </c>
      <c r="B41" s="2783" t="s">
        <v>2528</v>
      </c>
      <c r="C41" s="2784" t="s">
        <v>2529</v>
      </c>
      <c r="D41" s="2784" t="s">
        <v>2530</v>
      </c>
      <c r="E41" s="2785"/>
      <c r="F41" s="2786"/>
      <c r="G41" s="2787"/>
      <c r="I41" s="2794">
        <v>40</v>
      </c>
      <c r="J41" s="2794">
        <v>100</v>
      </c>
      <c r="K41" s="2794">
        <f t="shared" si="3"/>
        <v>2.7999999999999972</v>
      </c>
    </row>
    <row r="42" spans="1:14">
      <c r="A42" s="2782" t="s">
        <v>2531</v>
      </c>
      <c r="B42" s="2783" t="s">
        <v>2532</v>
      </c>
      <c r="C42" s="2784" t="s">
        <v>2533</v>
      </c>
      <c r="D42" s="2788" t="s">
        <v>2534</v>
      </c>
      <c r="E42" s="2780" t="s">
        <v>2535</v>
      </c>
      <c r="F42" s="2780"/>
      <c r="G42" s="2781"/>
    </row>
    <row r="43" spans="1:14">
      <c r="A43" s="2782" t="s">
        <v>2536</v>
      </c>
      <c r="B43" s="2783" t="s">
        <v>2537</v>
      </c>
      <c r="C43" s="2784" t="s">
        <v>2538</v>
      </c>
      <c r="D43" s="2784" t="s">
        <v>2539</v>
      </c>
      <c r="E43" s="2785" t="s">
        <v>2540</v>
      </c>
      <c r="F43" s="2786"/>
      <c r="G43" s="2787"/>
      <c r="I43" s="2794" t="s">
        <v>2548</v>
      </c>
      <c r="J43" s="2794" t="s">
        <v>2559</v>
      </c>
    </row>
    <row r="44" spans="1:14">
      <c r="A44" s="2782" t="s">
        <v>2541</v>
      </c>
      <c r="B44" s="2783" t="s">
        <v>2542</v>
      </c>
      <c r="C44" s="2784" t="s">
        <v>2543</v>
      </c>
      <c r="D44" s="2788">
        <v>0.5</v>
      </c>
      <c r="E44" s="2785" t="s">
        <v>2544</v>
      </c>
      <c r="F44" s="2786"/>
      <c r="G44" s="2787"/>
      <c r="I44" s="2794">
        <v>30</v>
      </c>
      <c r="J44" s="2794">
        <v>81.7</v>
      </c>
    </row>
    <row r="45" spans="1:14" ht="14.25" thickBot="1">
      <c r="A45" s="2789" t="s">
        <v>2545</v>
      </c>
      <c r="B45" s="2790" t="s">
        <v>2532</v>
      </c>
      <c r="C45" s="2791" t="s">
        <v>2532</v>
      </c>
      <c r="D45" s="2791" t="s">
        <v>2546</v>
      </c>
      <c r="E45" s="2792" t="s">
        <v>2547</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3370</v>
      </c>
    </row>
    <row r="50" spans="1:4">
      <c r="A50" s="3138" t="s">
        <v>3371</v>
      </c>
      <c r="B50" s="3138" t="s">
        <v>3372</v>
      </c>
      <c r="C50" s="3138" t="s">
        <v>3373</v>
      </c>
      <c r="D50" s="3138" t="s">
        <v>3374</v>
      </c>
    </row>
    <row r="51" spans="1:4">
      <c r="A51" s="3138" t="s">
        <v>3375</v>
      </c>
      <c r="B51" s="2759">
        <f>B52+B53</f>
        <v>15000</v>
      </c>
      <c r="C51" s="3139">
        <f>D51/B51</f>
        <v>2666.6666666666665</v>
      </c>
      <c r="D51" s="2759">
        <f>D52+D53</f>
        <v>40000000</v>
      </c>
    </row>
    <row r="52" spans="1:4">
      <c r="A52" s="3140" t="s">
        <v>3376</v>
      </c>
      <c r="B52" s="3141">
        <v>10000</v>
      </c>
      <c r="C52" s="3141">
        <v>1500</v>
      </c>
      <c r="D52" s="3142">
        <f>C52*B52</f>
        <v>15000000</v>
      </c>
    </row>
    <row r="53" spans="1:4">
      <c r="A53" s="3140" t="s">
        <v>3377</v>
      </c>
      <c r="B53" s="3141">
        <v>5000</v>
      </c>
      <c r="C53" s="3141">
        <v>5000</v>
      </c>
      <c r="D53" s="3142">
        <f>C53*B53</f>
        <v>25000000</v>
      </c>
    </row>
    <row r="54" spans="1:4">
      <c r="A54" s="3138" t="s">
        <v>3378</v>
      </c>
      <c r="B54" s="2759">
        <f>B51</f>
        <v>15000</v>
      </c>
      <c r="C54" s="2765">
        <v>700</v>
      </c>
      <c r="D54" s="2759">
        <f t="shared" ref="D54:D55" si="5">C54*B54</f>
        <v>10500000</v>
      </c>
    </row>
    <row r="55" spans="1:4">
      <c r="A55" s="3138" t="s">
        <v>3379</v>
      </c>
      <c r="B55" s="2759">
        <f>B51</f>
        <v>15000</v>
      </c>
      <c r="C55" s="2765">
        <v>1500</v>
      </c>
      <c r="D55" s="2759">
        <f t="shared" si="5"/>
        <v>22500000</v>
      </c>
    </row>
    <row r="56" spans="1:4">
      <c r="A56" s="3138" t="s">
        <v>3380</v>
      </c>
      <c r="B56" s="2759">
        <f>B51</f>
        <v>15000</v>
      </c>
      <c r="C56" s="3143">
        <f>C51+C54+C55</f>
        <v>4866.6666666666661</v>
      </c>
      <c r="D56" s="2759">
        <f>D51+D54+D55</f>
        <v>73000000</v>
      </c>
    </row>
    <row r="58" spans="1:4">
      <c r="A58" s="3138" t="s">
        <v>3381</v>
      </c>
      <c r="B58" s="3144">
        <v>0.05</v>
      </c>
      <c r="C58" s="2759">
        <f>C56*(1+B58)</f>
        <v>5110</v>
      </c>
      <c r="D58" s="2759">
        <f>D56*B58</f>
        <v>3650000</v>
      </c>
    </row>
    <row r="60" spans="1:4">
      <c r="A60" s="3138" t="s">
        <v>3382</v>
      </c>
      <c r="B60" s="2765">
        <v>3500</v>
      </c>
      <c r="C60" s="2765">
        <f>C53</f>
        <v>5000</v>
      </c>
      <c r="D60" s="2759">
        <f>C60*B60</f>
        <v>17500000</v>
      </c>
    </row>
    <row r="62" spans="1:4">
      <c r="A62" s="3138" t="s">
        <v>3383</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9" sqref="K9"/>
    </sheetView>
  </sheetViews>
  <sheetFormatPr defaultColWidth="10" defaultRowHeight="12.75"/>
  <cols>
    <col min="1" max="1" width="16.875" style="1612" customWidth="1"/>
    <col min="2" max="2" width="10" style="1612" customWidth="1"/>
    <col min="3" max="3" width="11.5" style="1612" customWidth="1"/>
    <col min="4" max="4" width="10" style="1612" customWidth="1"/>
    <col min="5" max="5" width="12.625" style="1612" customWidth="1"/>
    <col min="6" max="6" width="10" style="1612" customWidth="1"/>
    <col min="7" max="7" width="10.75" style="1612" customWidth="1"/>
    <col min="8" max="8" width="10" style="1612" customWidth="1"/>
    <col min="9" max="9" width="11.125" style="1462" customWidth="1"/>
    <col min="10" max="10" width="10" style="1610" customWidth="1"/>
    <col min="11" max="11" width="10" style="2407" customWidth="1"/>
    <col min="12" max="13" width="10" style="2408"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5" t="s">
        <v>2161</v>
      </c>
      <c r="B1" s="3306" t="str">
        <f>IF(B10="北京市","北京市",C10)&amp;F10&amp;IF('结果表-203'!G1="在建","出让国有建设用地使用权及在建建筑物",IF('结果表-203'!G1="土地","出让国有建设用地使用权",))&amp;B9&amp;"预评估"</f>
        <v>北京市房地产抵押价值预评估</v>
      </c>
      <c r="C1" s="3307"/>
      <c r="D1" s="3307"/>
      <c r="E1" s="3307"/>
      <c r="F1" s="3307"/>
      <c r="G1" s="3307"/>
      <c r="H1" s="3307"/>
      <c r="I1" s="3308"/>
      <c r="J1" s="2239"/>
      <c r="K1" s="2177"/>
      <c r="L1" s="2178"/>
      <c r="M1" s="2178"/>
      <c r="N1" s="2176"/>
      <c r="O1" s="1460"/>
      <c r="P1" s="2176"/>
      <c r="Q1" s="2176"/>
      <c r="R1" s="2176"/>
      <c r="S1" s="1555" t="str">
        <f>IF(B10="北京市","北京市",C10)&amp;F10&amp;IF('结果表-203'!G1="在建","出让国有建设用地使用权及在建建筑物房地产抵押价值",IF('结果表-203'!G1="土地","出让国有建设用地使用权抵押价值",B9))</f>
        <v>北京市房地产抵押价值</v>
      </c>
      <c r="T1" s="1612"/>
      <c r="U1" s="1612"/>
      <c r="V1" s="1612"/>
      <c r="W1" s="1612"/>
      <c r="X1" s="1612"/>
      <c r="Y1" s="1612"/>
      <c r="Z1" s="1612"/>
      <c r="AA1" s="1612"/>
      <c r="AB1" s="1612"/>
    </row>
    <row r="2" spans="1:30">
      <c r="A2" s="2176" t="s">
        <v>2162</v>
      </c>
      <c r="B2" s="122"/>
      <c r="D2" s="2442"/>
      <c r="E2" s="2435"/>
      <c r="F2" s="2435"/>
      <c r="G2" s="2436"/>
      <c r="H2" s="2436"/>
      <c r="I2" s="2436"/>
      <c r="J2" s="2239"/>
      <c r="K2" s="2177"/>
      <c r="L2" s="2178"/>
      <c r="M2" s="2178"/>
      <c r="N2" s="2176"/>
      <c r="O2" s="1460"/>
      <c r="P2" s="2176"/>
      <c r="Q2" s="2176"/>
      <c r="R2" s="2176"/>
      <c r="S2" s="1555" t="str">
        <f>IF(B10="北京市","北京市",C10)&amp;F10&amp;IF('结果表-203'!G1="在建","出让国有建设用地使用权及在建建筑物房地产",IF('结果表-203'!G1="土地","出让国有建设用地使用权","房地产"))</f>
        <v>北京市房地产</v>
      </c>
      <c r="T2" s="1612"/>
      <c r="U2" s="1612"/>
      <c r="V2" s="1612"/>
      <c r="W2" s="1612"/>
      <c r="X2" s="1612"/>
      <c r="Y2" s="1612"/>
      <c r="Z2" s="1612"/>
      <c r="AA2" s="1612"/>
      <c r="AB2" s="1612"/>
    </row>
    <row r="3" spans="1:30">
      <c r="A3" s="294" t="s">
        <v>2163</v>
      </c>
      <c r="B3" s="2179">
        <v>45873</v>
      </c>
      <c r="C3" s="2180" t="s">
        <v>2164</v>
      </c>
      <c r="D3" s="2179">
        <v>45873</v>
      </c>
      <c r="E3" s="2436"/>
      <c r="F3" s="2436"/>
      <c r="G3" s="2436"/>
      <c r="H3" s="2436"/>
      <c r="I3" s="2436"/>
      <c r="J3" s="2239"/>
      <c r="K3" s="2177"/>
      <c r="L3" s="2178"/>
      <c r="M3" s="2178"/>
      <c r="N3" s="2176"/>
      <c r="O3" s="1460"/>
      <c r="P3" s="2176"/>
      <c r="Q3" s="2176"/>
      <c r="R3" s="2176"/>
      <c r="S3" s="1555"/>
      <c r="T3" s="1612"/>
      <c r="U3" s="1612"/>
      <c r="V3" s="1612"/>
      <c r="W3" s="1612"/>
      <c r="X3" s="1612"/>
      <c r="Y3" s="1612"/>
      <c r="Z3" s="1612"/>
      <c r="AA3" s="1612"/>
      <c r="AB3" s="1612"/>
    </row>
    <row r="4" spans="1:30" ht="13.5" thickBot="1">
      <c r="A4" s="1021" t="s">
        <v>2165</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0"/>
      <c r="P4" s="2176"/>
      <c r="Q4" s="2176"/>
      <c r="R4" s="2176"/>
      <c r="S4" s="1555"/>
      <c r="T4" s="1612"/>
      <c r="U4" s="1612"/>
      <c r="V4" s="1612"/>
      <c r="W4" s="1612"/>
      <c r="X4" s="1612"/>
      <c r="Y4" s="1612"/>
      <c r="Z4" s="1612"/>
      <c r="AA4" s="1612"/>
      <c r="AB4" s="1612"/>
    </row>
    <row r="5" spans="1:30" ht="13.5" thickTop="1">
      <c r="A5" s="2184" t="s">
        <v>2166</v>
      </c>
      <c r="B5" s="2185"/>
      <c r="C5" s="2186"/>
      <c r="D5" s="2187"/>
      <c r="E5" s="2436"/>
      <c r="F5" s="2436"/>
      <c r="G5" s="2436"/>
      <c r="H5" s="2436"/>
      <c r="I5" s="2436"/>
      <c r="J5" s="2239"/>
      <c r="K5" s="2183" t="str">
        <f>IF(F4="——","",IF(H4="——",F4&amp;"（注册号："&amp;G4&amp;")",CONCATENATE(F4,"（注册号：",G4,")、",H4,"（注册号：",I4,")")))</f>
        <v>（注册号：0)、（注册号：0)</v>
      </c>
      <c r="L5" s="2178"/>
      <c r="M5" s="2178"/>
      <c r="N5" s="2176"/>
      <c r="O5" s="1460"/>
      <c r="P5" s="2176"/>
      <c r="Q5" s="2176"/>
      <c r="R5" s="2176"/>
      <c r="S5" s="1612"/>
      <c r="T5" s="1612"/>
      <c r="U5" s="1612"/>
      <c r="V5" s="1612"/>
      <c r="W5" s="1612"/>
      <c r="X5" s="1612"/>
      <c r="Y5" s="1612"/>
      <c r="Z5" s="1612"/>
      <c r="AA5" s="1612"/>
      <c r="AB5" s="1612"/>
    </row>
    <row r="6" spans="1:30">
      <c r="A6" s="2188" t="s">
        <v>2167</v>
      </c>
      <c r="B6" s="2189"/>
      <c r="C6" s="2190"/>
      <c r="D6" s="2191"/>
      <c r="E6" s="2435"/>
      <c r="F6" s="2436"/>
      <c r="G6" s="2436"/>
      <c r="H6" s="2436"/>
      <c r="I6" s="2436"/>
      <c r="J6" s="2239"/>
      <c r="K6" s="2395" t="str">
        <f>IF(COUNTIF(B6,"*上海银行*"),"上海银行","")</f>
        <v/>
      </c>
      <c r="L6" s="2393"/>
      <c r="M6" s="2393"/>
      <c r="N6" s="2239"/>
      <c r="O6" s="1664"/>
      <c r="P6" s="2239"/>
      <c r="Q6" s="2239"/>
      <c r="R6" s="2239"/>
    </row>
    <row r="7" spans="1:30">
      <c r="A7" s="2188" t="s">
        <v>2168</v>
      </c>
      <c r="B7" s="2192"/>
      <c r="C7" s="2190"/>
      <c r="D7" s="2191"/>
      <c r="E7" s="2435"/>
      <c r="F7" s="2436"/>
      <c r="G7" s="2436"/>
      <c r="H7" s="2436"/>
      <c r="I7" s="2436"/>
      <c r="J7" s="2239"/>
      <c r="K7" s="2396"/>
      <c r="L7" s="2393"/>
      <c r="M7" s="2393"/>
      <c r="N7" s="2239"/>
      <c r="O7" s="1664"/>
      <c r="P7" s="2239"/>
      <c r="Q7" s="2239"/>
      <c r="R7" s="2239"/>
    </row>
    <row r="8" spans="1:30">
      <c r="A8" s="2193" t="s">
        <v>2169</v>
      </c>
      <c r="B8" s="2194" t="s">
        <v>3522</v>
      </c>
      <c r="C8" s="2195"/>
      <c r="D8" s="3309" t="s">
        <v>2170</v>
      </c>
      <c r="E8" s="2196" t="s">
        <v>3523</v>
      </c>
      <c r="F8" s="2197"/>
      <c r="G8" s="2436"/>
      <c r="H8" s="2436"/>
      <c r="I8" s="2436"/>
      <c r="J8" s="2239"/>
      <c r="K8" s="2394"/>
      <c r="L8" s="2393"/>
      <c r="M8" s="2393"/>
      <c r="N8" s="2239"/>
      <c r="O8" s="1664"/>
      <c r="P8" s="2239"/>
      <c r="Q8" s="2239"/>
      <c r="R8" s="2239"/>
    </row>
    <row r="9" spans="1:30" ht="13.5" thickBot="1">
      <c r="A9" s="2198" t="s">
        <v>2171</v>
      </c>
      <c r="B9" s="2199" t="s">
        <v>3523</v>
      </c>
      <c r="C9" s="2200"/>
      <c r="D9" s="3310"/>
      <c r="E9" s="2199" t="s">
        <v>587</v>
      </c>
      <c r="F9" s="2201"/>
      <c r="G9" s="2437"/>
      <c r="H9" s="2437"/>
      <c r="I9" s="2437"/>
      <c r="J9" s="2239"/>
      <c r="K9" s="2396"/>
      <c r="L9" s="2393"/>
      <c r="M9" s="2393"/>
      <c r="N9" s="2239"/>
      <c r="O9" s="1664"/>
      <c r="P9" s="2239"/>
      <c r="Q9" s="2239"/>
      <c r="R9" s="2239"/>
    </row>
    <row r="10" spans="1:30" ht="13.5" thickTop="1">
      <c r="A10" s="2202" t="s">
        <v>2172</v>
      </c>
      <c r="B10" s="2203" t="s">
        <v>3524</v>
      </c>
      <c r="C10" s="2204"/>
      <c r="D10" s="2187"/>
      <c r="E10" s="2205" t="s">
        <v>2173</v>
      </c>
      <c r="F10" s="2438"/>
      <c r="G10" s="2439"/>
      <c r="H10" s="2440"/>
      <c r="I10" s="2441"/>
      <c r="J10" s="2239"/>
      <c r="K10" s="2396"/>
      <c r="L10" s="2393"/>
      <c r="M10" s="2393"/>
      <c r="N10" s="2239"/>
      <c r="O10" s="1664"/>
      <c r="P10" s="2239"/>
      <c r="Q10" s="2239"/>
      <c r="R10" s="2239"/>
    </row>
    <row r="11" spans="1:30">
      <c r="A11" s="2206" t="s">
        <v>2174</v>
      </c>
      <c r="B11" s="2207" t="s">
        <v>3525</v>
      </c>
      <c r="C11" s="2208"/>
      <c r="D11" s="2209"/>
      <c r="E11" s="2176"/>
      <c r="F11" s="2176"/>
      <c r="G11" s="2176"/>
      <c r="H11" s="2176"/>
      <c r="I11" s="2176"/>
      <c r="J11" s="2796"/>
      <c r="K11" s="2393"/>
      <c r="L11" s="2393"/>
      <c r="M11" s="2393"/>
      <c r="N11" s="2239"/>
      <c r="O11" s="1664"/>
      <c r="P11" s="2239"/>
      <c r="Q11" s="2239"/>
      <c r="R11" s="2239"/>
    </row>
    <row r="12" spans="1:30">
      <c r="A12" s="2210" t="s">
        <v>2175</v>
      </c>
      <c r="B12" s="315" t="s">
        <v>2176</v>
      </c>
      <c r="C12" s="2211" t="s">
        <v>2177</v>
      </c>
      <c r="D12" s="2211" t="s">
        <v>2178</v>
      </c>
      <c r="E12" s="2211" t="s">
        <v>2179</v>
      </c>
      <c r="F12" s="2211" t="s">
        <v>2180</v>
      </c>
      <c r="G12" s="2211" t="s">
        <v>2181</v>
      </c>
      <c r="H12" s="2211" t="s">
        <v>2182</v>
      </c>
      <c r="I12" s="2795" t="s">
        <v>2560</v>
      </c>
      <c r="J12" s="2797"/>
      <c r="K12" s="2393"/>
      <c r="L12" s="2393"/>
      <c r="M12" s="2239"/>
      <c r="N12" s="1664"/>
      <c r="O12" s="2239"/>
      <c r="P12" s="2239"/>
      <c r="Q12" s="2239"/>
      <c r="AD12" s="1612"/>
    </row>
    <row r="13" spans="1:30">
      <c r="A13" s="3116" t="s">
        <v>3316</v>
      </c>
      <c r="B13" s="2212" t="s">
        <v>2183</v>
      </c>
      <c r="C13" s="797"/>
      <c r="D13" s="797">
        <v>54634</v>
      </c>
      <c r="E13" s="797"/>
      <c r="F13" s="797"/>
      <c r="G13" s="797"/>
      <c r="H13" s="797"/>
      <c r="I13" s="797"/>
      <c r="J13" s="2797"/>
      <c r="K13" s="2393"/>
      <c r="L13" s="2393"/>
      <c r="M13" s="2239"/>
      <c r="N13" s="1664"/>
      <c r="O13" s="2239"/>
      <c r="P13" s="2239"/>
      <c r="Q13" s="2239"/>
      <c r="AD13" s="1612"/>
    </row>
    <row r="14" spans="1:30">
      <c r="A14" s="1012"/>
      <c r="B14" s="2212" t="s">
        <v>2184</v>
      </c>
      <c r="C14" s="2213"/>
      <c r="D14" s="2213">
        <v>40</v>
      </c>
      <c r="E14" s="2213"/>
      <c r="F14" s="2213"/>
      <c r="G14" s="2213"/>
      <c r="H14" s="2213"/>
      <c r="I14" s="2213"/>
      <c r="J14" s="2798"/>
      <c r="K14" s="2393"/>
      <c r="L14" s="2393"/>
      <c r="M14" s="2239"/>
      <c r="N14" s="1664"/>
      <c r="O14" s="2239"/>
      <c r="P14" s="2239"/>
      <c r="Q14" s="2239"/>
      <c r="AD14" s="1612"/>
    </row>
    <row r="15" spans="1:30">
      <c r="A15" s="312"/>
      <c r="B15" s="2214" t="s">
        <v>2185</v>
      </c>
      <c r="C15" s="2215" t="str">
        <f>IF(A13="出让",IF(C13="","",ROUNDDOWN(MIN((C13-$D$3)/365,C14),2)),C14)</f>
        <v/>
      </c>
      <c r="D15" s="2215">
        <f>IF(A13="出让",IF(D13="","",ROUNDDOWN(MIN((D13-$D$3)/365,D14),2)),D14)</f>
        <v>24</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9"/>
      <c r="K15" s="1664"/>
      <c r="L15" s="1664"/>
      <c r="M15" s="2239"/>
      <c r="N15" s="1664"/>
      <c r="O15" s="2239"/>
      <c r="P15" s="2239"/>
      <c r="Q15" s="2239"/>
      <c r="AD15" s="1612"/>
    </row>
    <row r="16" spans="1:30">
      <c r="A16" s="2205" t="s">
        <v>2186</v>
      </c>
      <c r="B16" s="3316"/>
      <c r="C16" s="3317"/>
      <c r="D16" s="3318"/>
      <c r="E16" s="2216" t="s">
        <v>2187</v>
      </c>
      <c r="F16" s="3319"/>
      <c r="G16" s="3320"/>
      <c r="H16" s="3320"/>
      <c r="I16" s="3321"/>
      <c r="J16" s="2239"/>
      <c r="K16" s="2397"/>
      <c r="L16" s="1664"/>
      <c r="M16" s="1664"/>
      <c r="N16" s="2239"/>
      <c r="O16" s="1664"/>
      <c r="P16" s="2239"/>
      <c r="Q16" s="2239"/>
      <c r="R16" s="2239"/>
    </row>
    <row r="17" spans="1:28">
      <c r="A17" s="305" t="s">
        <v>2188</v>
      </c>
      <c r="B17" s="294" t="s">
        <v>2189</v>
      </c>
      <c r="C17" s="8">
        <f>'数据-汇总表'!E3</f>
        <v>4179.0200000000004</v>
      </c>
      <c r="D17" s="1250" t="s">
        <v>2190</v>
      </c>
      <c r="E17" s="3322" t="s">
        <v>2191</v>
      </c>
      <c r="F17" s="3323"/>
      <c r="G17" s="3323"/>
      <c r="H17" s="3323"/>
      <c r="I17" s="3324"/>
      <c r="J17" s="2239"/>
      <c r="K17" s="2398"/>
      <c r="L17" s="1664"/>
      <c r="M17" s="1664"/>
      <c r="N17" s="2239"/>
      <c r="O17" s="1664"/>
      <c r="P17" s="2239"/>
      <c r="Q17" s="2239"/>
      <c r="R17" s="2239"/>
      <c r="S17" s="2239"/>
      <c r="T17" s="2239"/>
      <c r="U17" s="2239"/>
      <c r="V17" s="2239"/>
    </row>
    <row r="18" spans="1:28" ht="24.75" thickBot="1">
      <c r="A18" s="2217" t="s">
        <v>2192</v>
      </c>
      <c r="B18" s="1021" t="s">
        <v>2193</v>
      </c>
      <c r="C18" s="2218">
        <f>'数据-汇总表'!D3</f>
        <v>0</v>
      </c>
      <c r="D18" s="1023" t="s">
        <v>2194</v>
      </c>
      <c r="E18" s="3325" t="s">
        <v>2195</v>
      </c>
      <c r="F18" s="3326"/>
      <c r="G18" s="3326"/>
      <c r="H18" s="3326"/>
      <c r="I18" s="3327"/>
      <c r="J18" s="2239"/>
      <c r="K18" s="2398"/>
      <c r="L18" s="1664"/>
      <c r="M18" s="1664"/>
      <c r="N18" s="2239"/>
      <c r="O18" s="1664"/>
      <c r="P18" s="2239"/>
      <c r="Q18" s="2239"/>
      <c r="R18" s="2239"/>
      <c r="S18" s="2239"/>
      <c r="T18" s="2239"/>
      <c r="U18" s="2239"/>
      <c r="V18" s="2239"/>
    </row>
    <row r="19" spans="1:28" ht="37.5" thickTop="1" thickBot="1">
      <c r="A19" s="319" t="s">
        <v>1051</v>
      </c>
      <c r="B19" s="299" t="s">
        <v>2196</v>
      </c>
      <c r="C19" s="1449"/>
      <c r="D19" s="1450" t="s">
        <v>2197</v>
      </c>
      <c r="E19" s="1451"/>
      <c r="F19" s="1452" t="str">
        <f>IF(AND(C19="是",E19="否"),"是否提供他项权证或相关说明","")</f>
        <v/>
      </c>
      <c r="G19" s="1453"/>
      <c r="H19" s="2436"/>
      <c r="I19" s="2436"/>
      <c r="J19" s="2239"/>
      <c r="K19" s="2396"/>
      <c r="L19" s="2393"/>
      <c r="M19" s="2393"/>
      <c r="N19" s="2239"/>
      <c r="O19" s="1664"/>
      <c r="P19" s="2239"/>
      <c r="Q19" s="2239"/>
      <c r="R19" s="2239"/>
      <c r="S19" s="2239"/>
      <c r="T19" s="2239"/>
      <c r="U19" s="2239"/>
      <c r="V19" s="2239"/>
    </row>
    <row r="20" spans="1:28">
      <c r="A20" s="2411" t="s">
        <v>2198</v>
      </c>
      <c r="B20" s="3312" t="s">
        <v>2199</v>
      </c>
      <c r="C20" s="3313"/>
      <c r="D20" s="3314" t="s">
        <v>2200</v>
      </c>
      <c r="E20" s="3315"/>
      <c r="F20" s="2424" t="s">
        <v>1052</v>
      </c>
      <c r="G20" s="2436"/>
      <c r="H20" s="2436"/>
      <c r="I20" s="2436"/>
      <c r="J20" s="2239"/>
      <c r="K20" s="3311" t="s">
        <v>2201</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0"/>
      <c r="P20" s="2176"/>
      <c r="Q20" s="2176"/>
      <c r="R20" s="2176"/>
      <c r="S20" s="2176"/>
      <c r="T20" s="2176"/>
      <c r="U20" s="2176"/>
      <c r="V20" s="2176"/>
      <c r="W20" s="1612"/>
      <c r="X20" s="1612"/>
      <c r="Y20" s="1612"/>
      <c r="Z20" s="1612"/>
      <c r="AA20" s="1612"/>
      <c r="AB20" s="1612"/>
    </row>
    <row r="21" spans="1:28" ht="24.75" thickBot="1">
      <c r="A21" s="2411"/>
      <c r="B21" s="2412" t="s">
        <v>2202</v>
      </c>
      <c r="C21" s="2290" t="s">
        <v>1053</v>
      </c>
      <c r="D21" s="1454" t="s">
        <v>2203</v>
      </c>
      <c r="E21" s="2413" t="s">
        <v>1053</v>
      </c>
      <c r="F21" s="2425"/>
      <c r="G21" s="2436"/>
      <c r="H21" s="2436"/>
      <c r="I21" s="2436"/>
      <c r="J21" s="2239"/>
      <c r="K21" s="33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0"/>
      <c r="P21" s="2176"/>
      <c r="Q21" s="2176"/>
      <c r="R21" s="2176"/>
      <c r="S21" s="2176"/>
      <c r="T21" s="2176"/>
      <c r="U21" s="2176"/>
      <c r="V21" s="2176"/>
      <c r="W21" s="1612"/>
      <c r="X21" s="1612"/>
      <c r="Y21" s="1612"/>
      <c r="Z21" s="1612"/>
      <c r="AA21" s="1612"/>
      <c r="AB21" s="1612"/>
    </row>
    <row r="22" spans="1:28" ht="24.75" thickBot="1">
      <c r="A22" s="2411"/>
      <c r="B22" s="2414" t="s">
        <v>2204</v>
      </c>
      <c r="C22" s="2290" t="s">
        <v>1054</v>
      </c>
      <c r="D22" s="2436"/>
      <c r="E22" s="2436"/>
      <c r="F22" s="2436"/>
      <c r="G22" s="2436"/>
      <c r="H22" s="2436"/>
      <c r="I22" s="2436"/>
      <c r="J22" s="2239"/>
      <c r="K22" s="3311"/>
      <c r="L22" s="646" t="str">
        <f>IF(E19="否","",IF('结果表-203'!D36="同一抵押权人同一抵押物续贷","由于本次评估为同一抵押权人的续贷房地产抵押估价，故未将已抵押担保的债权数额（"&amp;C26&amp;"）作为法定优先受偿款予以扣减。",IF('结果表-203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0"/>
      <c r="P22" s="2176"/>
      <c r="Q22" s="2176"/>
      <c r="R22" s="2176"/>
      <c r="S22" s="2176"/>
      <c r="T22" s="2176"/>
      <c r="U22" s="2176"/>
      <c r="V22" s="2176"/>
      <c r="W22" s="1612"/>
      <c r="X22" s="1612"/>
      <c r="Y22" s="1612"/>
      <c r="Z22" s="1612"/>
      <c r="AA22" s="1612"/>
      <c r="AB22" s="1612"/>
    </row>
    <row r="23" spans="1:28">
      <c r="A23" s="2415" t="s">
        <v>2205</v>
      </c>
      <c r="B23" s="2287" t="s">
        <v>2206</v>
      </c>
      <c r="C23" s="2416"/>
      <c r="D23" s="2417" t="s">
        <v>2206</v>
      </c>
      <c r="E23" s="2418"/>
      <c r="F23" s="2436"/>
      <c r="G23" s="2436"/>
      <c r="H23" s="2436"/>
      <c r="I23" s="2436"/>
      <c r="J23" s="2239"/>
      <c r="K23" s="2395"/>
      <c r="L23" s="121"/>
      <c r="M23" s="2393"/>
      <c r="N23" s="2239"/>
      <c r="O23" s="1664"/>
      <c r="P23" s="2239"/>
      <c r="Q23" s="2239"/>
      <c r="R23" s="2239"/>
      <c r="S23" s="2239"/>
      <c r="T23" s="2239"/>
      <c r="U23" s="2239"/>
      <c r="V23" s="2239"/>
    </row>
    <row r="24" spans="1:28">
      <c r="A24" s="2415"/>
      <c r="B24" s="2287" t="s">
        <v>1055</v>
      </c>
      <c r="C24" s="2265"/>
      <c r="D24" s="2415" t="s">
        <v>1055</v>
      </c>
      <c r="E24" s="2419"/>
      <c r="F24" s="2436"/>
      <c r="G24" s="2436"/>
      <c r="H24" s="2436"/>
      <c r="I24" s="2436"/>
      <c r="J24" s="2239"/>
      <c r="K24" s="2395"/>
      <c r="L24" s="121"/>
      <c r="M24" s="2393"/>
      <c r="N24" s="2239"/>
      <c r="O24" s="1664"/>
      <c r="P24" s="2239"/>
      <c r="Q24" s="2239"/>
      <c r="R24" s="2239"/>
      <c r="S24" s="2239"/>
      <c r="T24" s="2239"/>
      <c r="U24" s="2239"/>
      <c r="V24" s="2239"/>
    </row>
    <row r="25" spans="1:28">
      <c r="A25" s="2415"/>
      <c r="B25" s="2287" t="s">
        <v>1056</v>
      </c>
      <c r="C25" s="2265"/>
      <c r="D25" s="2415" t="s">
        <v>1056</v>
      </c>
      <c r="E25" s="2419"/>
      <c r="F25" s="2436"/>
      <c r="G25" s="2436"/>
      <c r="H25" s="2436"/>
      <c r="I25" s="2436"/>
      <c r="J25" s="2239"/>
      <c r="K25" s="2396"/>
      <c r="L25" s="2393"/>
      <c r="M25" s="2393"/>
      <c r="N25" s="2239"/>
      <c r="O25" s="1664"/>
      <c r="P25" s="2239"/>
      <c r="Q25" s="2239"/>
      <c r="R25" s="2239"/>
      <c r="S25" s="2239"/>
      <c r="T25" s="2239"/>
      <c r="U25" s="2239"/>
      <c r="V25" s="2239"/>
    </row>
    <row r="26" spans="1:28" ht="13.5" thickBot="1">
      <c r="A26" s="2420"/>
      <c r="B26" s="2421" t="s">
        <v>1057</v>
      </c>
      <c r="C26" s="2422"/>
      <c r="D26" s="2420" t="s">
        <v>1057</v>
      </c>
      <c r="E26" s="2423"/>
      <c r="F26" s="2437"/>
      <c r="G26" s="2437"/>
      <c r="H26" s="2437"/>
      <c r="I26" s="2437"/>
      <c r="J26" s="2239"/>
      <c r="K26" s="2396"/>
      <c r="L26" s="2393"/>
      <c r="M26" s="2393"/>
      <c r="N26" s="2239"/>
      <c r="O26" s="1664"/>
      <c r="P26" s="2239"/>
      <c r="Q26" s="2239"/>
      <c r="R26" s="2239"/>
      <c r="S26" s="2239"/>
      <c r="T26" s="2239"/>
      <c r="U26" s="2239"/>
      <c r="V26" s="2239"/>
    </row>
    <row r="27" spans="1:28" ht="13.5" thickTop="1">
      <c r="A27" s="3300" t="s">
        <v>2207</v>
      </c>
      <c r="B27" s="312" t="s">
        <v>2208</v>
      </c>
      <c r="C27" s="2219"/>
      <c r="D27" s="2220"/>
      <c r="E27" s="2436"/>
      <c r="F27" s="2436"/>
      <c r="G27" s="2436"/>
      <c r="H27" s="2436"/>
      <c r="I27" s="2436"/>
      <c r="J27" s="2239"/>
      <c r="K27" s="2397"/>
      <c r="L27" s="1664"/>
      <c r="M27" s="1664"/>
      <c r="N27" s="2239"/>
      <c r="O27" s="1664"/>
      <c r="P27" s="2239"/>
      <c r="Q27" s="2239"/>
      <c r="R27" s="2239"/>
      <c r="S27" s="2239"/>
      <c r="T27" s="2239"/>
      <c r="U27" s="2239"/>
      <c r="V27" s="2239"/>
    </row>
    <row r="28" spans="1:28">
      <c r="A28" s="3300"/>
      <c r="B28" s="294" t="s">
        <v>2209</v>
      </c>
      <c r="C28" s="2221"/>
      <c r="D28" s="2222"/>
      <c r="E28" s="2436"/>
      <c r="F28" s="2436"/>
      <c r="G28" s="2436"/>
      <c r="H28" s="2436"/>
      <c r="I28" s="2436"/>
      <c r="J28" s="2239"/>
      <c r="K28" s="2396"/>
      <c r="L28" s="2393"/>
      <c r="M28" s="2393"/>
      <c r="N28" s="2239"/>
      <c r="O28" s="1664"/>
      <c r="P28" s="2239"/>
      <c r="Q28" s="2239"/>
      <c r="R28" s="2239"/>
      <c r="S28" s="2239"/>
      <c r="T28" s="2239"/>
      <c r="U28" s="2239"/>
      <c r="V28" s="2239"/>
    </row>
    <row r="29" spans="1:28">
      <c r="A29" s="3300"/>
      <c r="B29" s="294" t="s">
        <v>2210</v>
      </c>
      <c r="C29" s="2223"/>
      <c r="D29" s="2224"/>
      <c r="E29" s="2436"/>
      <c r="F29" s="2436"/>
      <c r="G29" s="2436"/>
      <c r="H29" s="2436"/>
      <c r="I29" s="2436"/>
      <c r="J29" s="2239"/>
      <c r="K29" s="2396"/>
      <c r="L29" s="2393"/>
      <c r="M29" s="2393"/>
      <c r="N29" s="2239"/>
      <c r="O29" s="1664"/>
      <c r="P29" s="2239"/>
      <c r="Q29" s="2239"/>
      <c r="R29" s="2239"/>
      <c r="S29" s="2239"/>
      <c r="T29" s="2239"/>
      <c r="U29" s="2239"/>
      <c r="V29" s="2239"/>
    </row>
    <row r="30" spans="1:28">
      <c r="A30" s="3301"/>
      <c r="B30" s="294" t="s">
        <v>2211</v>
      </c>
      <c r="C30" s="3302"/>
      <c r="D30" s="3303"/>
      <c r="E30" s="2436"/>
      <c r="F30" s="2436"/>
      <c r="G30" s="2436"/>
      <c r="H30" s="2436"/>
      <c r="I30" s="2436"/>
      <c r="J30" s="2239"/>
      <c r="K30" s="2396"/>
      <c r="L30" s="2393"/>
      <c r="M30" s="2393"/>
      <c r="N30" s="2239"/>
      <c r="O30" s="1664"/>
      <c r="P30" s="2239"/>
      <c r="Q30" s="2239"/>
      <c r="R30" s="2239"/>
      <c r="S30" s="2239"/>
      <c r="T30" s="2239"/>
      <c r="U30" s="2239"/>
      <c r="V30" s="2239"/>
    </row>
    <row r="31" spans="1:28">
      <c r="A31" s="3304" t="s">
        <v>2212</v>
      </c>
      <c r="B31" s="2225"/>
      <c r="C31" s="12" t="str">
        <f>IF(B31="现房","成新及维护状况正常否",IF(B31="在建","工程状态是否正常",IF(B31="土地","是否闲置","-")))</f>
        <v>-</v>
      </c>
      <c r="D31" s="1275"/>
      <c r="E31" s="2226"/>
      <c r="F31" s="2436"/>
      <c r="G31" s="2436"/>
      <c r="H31" s="2436"/>
      <c r="I31" s="2436"/>
      <c r="J31" s="2239"/>
      <c r="K31" s="2395"/>
      <c r="L31" s="2393"/>
      <c r="M31" s="2393"/>
      <c r="N31" s="2239"/>
      <c r="O31" s="1664"/>
      <c r="P31" s="2239"/>
      <c r="Q31" s="2239"/>
      <c r="R31" s="2239"/>
      <c r="S31" s="2239"/>
      <c r="T31" s="2239"/>
      <c r="U31" s="2239"/>
      <c r="V31" s="2239"/>
    </row>
    <row r="32" spans="1:28">
      <c r="A32" s="3305"/>
      <c r="B32" s="2225"/>
      <c r="C32" s="12" t="str">
        <f>IF(B32="现房","成新及维护状况是否正常",IF(B32="在建","工程状态是否正常",IF(B32="土地","是否闲置","-")))</f>
        <v>-</v>
      </c>
      <c r="D32" s="1275"/>
      <c r="E32" s="2226"/>
      <c r="F32" s="2436"/>
      <c r="G32" s="2436"/>
      <c r="H32" s="2436"/>
      <c r="I32" s="2436"/>
      <c r="J32" s="2239"/>
      <c r="K32" s="2396"/>
      <c r="L32" s="2393"/>
      <c r="M32" s="2393"/>
      <c r="N32" s="2239"/>
      <c r="O32" s="1664"/>
      <c r="P32" s="2239"/>
      <c r="Q32" s="2239"/>
      <c r="R32" s="2239"/>
      <c r="S32" s="2239"/>
      <c r="T32" s="2239"/>
      <c r="U32" s="2239"/>
      <c r="V32" s="2239"/>
    </row>
    <row r="33" spans="1:30">
      <c r="A33" s="3305"/>
      <c r="B33" s="2228"/>
      <c r="C33" s="1472" t="str">
        <f>IF(B33="现房","成新及维护状况是否正常",IF(B33="在建","工程状态是否正常",IF(B33="土地","是否闲置","-")))</f>
        <v>-</v>
      </c>
      <c r="D33" s="1268"/>
      <c r="E33" s="2229"/>
      <c r="F33" s="2436"/>
      <c r="G33" s="2436"/>
      <c r="H33" s="2436"/>
      <c r="I33" s="2436"/>
      <c r="J33" s="2239"/>
      <c r="K33" s="2396"/>
      <c r="L33" s="2393"/>
      <c r="M33" s="2393"/>
      <c r="N33" s="2239"/>
      <c r="O33" s="1664"/>
      <c r="P33" s="2239"/>
      <c r="Q33" s="2239"/>
      <c r="R33" s="2239"/>
      <c r="S33" s="2239"/>
      <c r="T33" s="2239"/>
      <c r="U33" s="2239"/>
      <c r="V33" s="2239"/>
    </row>
    <row r="34" spans="1:30">
      <c r="A34" s="294" t="s">
        <v>2213</v>
      </c>
      <c r="B34" s="1864"/>
      <c r="C34" s="1864"/>
      <c r="D34" s="1864"/>
      <c r="E34" s="1864"/>
      <c r="F34" s="1864"/>
      <c r="G34" s="1864"/>
      <c r="H34" s="1864"/>
      <c r="I34" s="2436"/>
      <c r="J34" s="2239"/>
      <c r="K34" s="8">
        <f>COUNTIF(B34:H34,"——")</f>
        <v>0</v>
      </c>
      <c r="L34" s="315" t="s">
        <v>2214</v>
      </c>
      <c r="M34" s="315" t="s">
        <v>2215</v>
      </c>
      <c r="N34" s="315" t="s">
        <v>2216</v>
      </c>
      <c r="O34" s="315" t="s">
        <v>2217</v>
      </c>
      <c r="P34" s="315" t="s">
        <v>2218</v>
      </c>
      <c r="Q34" s="315" t="s">
        <v>2219</v>
      </c>
      <c r="R34" s="315" t="s">
        <v>2220</v>
      </c>
      <c r="S34" s="3299" t="s">
        <v>2221</v>
      </c>
      <c r="T34" s="315" t="str">
        <f>NUMBERSTRING(7-K34,1)&amp;"通"</f>
        <v>七通</v>
      </c>
      <c r="U34" s="2239"/>
      <c r="V34" s="2239"/>
    </row>
    <row r="35" spans="1:30">
      <c r="A35" s="2230"/>
      <c r="B35" s="3299" t="s">
        <v>2222</v>
      </c>
      <c r="C35" s="3299"/>
      <c r="D35" s="3299"/>
      <c r="E35" s="3299"/>
      <c r="F35" s="8">
        <f>C10</f>
        <v>0</v>
      </c>
      <c r="G35" s="2436"/>
      <c r="H35" s="2436"/>
      <c r="I35" s="2436"/>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9"/>
      <c r="T35" s="138" t="str">
        <f>IF(T34="一通",L35,IF(T34="二通",M35,IF(T34="三通",N35,IF(T34="四通",O35,IF(T34="五通",P35,IF(T34="六通",Q35,R35))))))</f>
        <v>、、、、、、</v>
      </c>
      <c r="U35" s="2239"/>
      <c r="V35" s="2239"/>
    </row>
    <row r="36" spans="1:30">
      <c r="A36" s="2177"/>
      <c r="B36" s="8" t="s">
        <v>2178</v>
      </c>
      <c r="C36" s="8" t="s">
        <v>2179</v>
      </c>
      <c r="D36" s="8" t="s">
        <v>2177</v>
      </c>
      <c r="E36" s="8" t="s">
        <v>2182</v>
      </c>
      <c r="F36" s="2795" t="s">
        <v>2563</v>
      </c>
      <c r="G36" s="2436"/>
      <c r="H36" s="2436"/>
      <c r="I36" s="2436"/>
      <c r="J36" s="2239"/>
      <c r="K36" s="2396"/>
      <c r="L36" s="2393"/>
      <c r="M36" s="2393"/>
      <c r="N36" s="2239"/>
      <c r="O36" s="1664"/>
      <c r="P36" s="2239"/>
      <c r="Q36" s="2239"/>
      <c r="R36" s="2239"/>
      <c r="S36" s="2239"/>
      <c r="T36" s="2239"/>
      <c r="U36" s="2239"/>
      <c r="V36" s="2239"/>
    </row>
    <row r="37" spans="1:30">
      <c r="A37" s="2409" t="s">
        <v>2223</v>
      </c>
      <c r="B37" s="2231" t="s">
        <v>303</v>
      </c>
      <c r="C37" s="2231"/>
      <c r="D37" s="2231"/>
      <c r="E37" s="2231"/>
      <c r="F37" s="2231"/>
      <c r="G37" s="2436"/>
      <c r="H37" s="2436"/>
      <c r="I37" s="2436"/>
      <c r="J37" s="2239"/>
      <c r="K37" s="2396"/>
      <c r="L37" s="2393"/>
      <c r="M37" s="2393"/>
      <c r="N37" s="2239"/>
      <c r="O37" s="1664"/>
      <c r="P37" s="2239"/>
      <c r="Q37" s="2239"/>
      <c r="R37" s="2239"/>
      <c r="S37" s="2239"/>
      <c r="T37" s="2239"/>
      <c r="U37" s="2239"/>
      <c r="V37" s="2239"/>
    </row>
    <row r="38" spans="1:30" ht="13.5" thickBot="1">
      <c r="A38" s="2410" t="s">
        <v>2224</v>
      </c>
      <c r="B38" s="2232" t="s">
        <v>140</v>
      </c>
      <c r="C38" s="2232"/>
      <c r="D38" s="2232"/>
      <c r="E38" s="2232"/>
      <c r="F38" s="2232"/>
      <c r="G38" s="2437"/>
      <c r="H38" s="2437"/>
      <c r="I38" s="2437"/>
      <c r="J38" s="2239"/>
      <c r="K38" s="2396"/>
      <c r="L38" s="2393"/>
      <c r="M38" s="2393"/>
      <c r="N38" s="2239"/>
      <c r="O38" s="1664"/>
      <c r="P38" s="2239"/>
      <c r="Q38" s="2239"/>
      <c r="R38" s="2239"/>
      <c r="S38" s="2239"/>
      <c r="T38" s="2239"/>
      <c r="U38" s="2239"/>
      <c r="V38" s="2239"/>
    </row>
    <row r="39" spans="1:30" s="2235" customFormat="1" ht="14.25" thickTop="1" thickBot="1">
      <c r="A39" s="2233" t="s">
        <v>2225</v>
      </c>
      <c r="B39" s="2234"/>
      <c r="C39" s="2234"/>
      <c r="D39" s="2234"/>
      <c r="E39" s="2234"/>
      <c r="F39" s="2234"/>
      <c r="G39" s="2234"/>
      <c r="H39" s="2234"/>
      <c r="I39" s="2234"/>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6"/>
      <c r="B40" s="2176"/>
      <c r="C40" s="2176"/>
      <c r="D40" s="2176"/>
      <c r="E40" s="2176"/>
      <c r="F40" s="2176"/>
      <c r="G40" s="2176"/>
      <c r="H40" s="2176"/>
      <c r="I40" s="1460"/>
      <c r="J40" s="2239"/>
      <c r="K40" s="2395"/>
      <c r="L40" s="1664"/>
      <c r="M40" s="1664"/>
      <c r="N40" s="2239"/>
      <c r="O40" s="1664"/>
      <c r="P40" s="2239"/>
      <c r="Q40" s="2239"/>
      <c r="R40" s="2239"/>
      <c r="S40" s="2239"/>
      <c r="T40" s="2239"/>
      <c r="U40" s="2239"/>
      <c r="V40" s="2239"/>
    </row>
    <row r="41" spans="1:30">
      <c r="A41" s="2236" t="s">
        <v>2226</v>
      </c>
      <c r="B41" s="1621"/>
      <c r="C41" s="1275"/>
      <c r="D41" s="2176"/>
      <c r="E41" s="2176"/>
      <c r="F41" s="2176"/>
      <c r="G41" s="2176"/>
      <c r="H41" s="2176"/>
      <c r="I41" s="1460"/>
      <c r="J41" s="2239"/>
      <c r="K41" s="2396"/>
      <c r="L41" s="2393"/>
      <c r="M41" s="2393"/>
      <c r="N41" s="2239"/>
      <c r="O41" s="1664"/>
      <c r="P41" s="2239"/>
      <c r="Q41" s="2239"/>
      <c r="R41" s="2239"/>
      <c r="S41" s="2239"/>
      <c r="T41" s="2239"/>
      <c r="U41" s="2239"/>
      <c r="V41" s="2239"/>
    </row>
    <row r="42" spans="1:30" ht="25.5">
      <c r="A42" s="315" t="s">
        <v>2227</v>
      </c>
      <c r="B42" s="8" t="s">
        <v>2228</v>
      </c>
      <c r="C42" s="8" t="s">
        <v>2229</v>
      </c>
      <c r="D42" s="8" t="s">
        <v>2230</v>
      </c>
      <c r="E42" s="8" t="s">
        <v>2231</v>
      </c>
      <c r="F42" s="8" t="s">
        <v>2232</v>
      </c>
      <c r="G42" s="8" t="s">
        <v>2233</v>
      </c>
      <c r="H42" s="8" t="s">
        <v>2234</v>
      </c>
      <c r="I42" s="8" t="s">
        <v>2235</v>
      </c>
      <c r="J42" s="2405" t="s">
        <v>2236</v>
      </c>
      <c r="K42" s="2406" t="s">
        <v>2237</v>
      </c>
      <c r="L42" s="2406" t="s">
        <v>2238</v>
      </c>
      <c r="M42" s="2406" t="s">
        <v>2239</v>
      </c>
      <c r="N42" s="2399" t="s">
        <v>2240</v>
      </c>
      <c r="O42" s="2399" t="s">
        <v>2241</v>
      </c>
      <c r="P42" s="2399" t="s">
        <v>2242</v>
      </c>
      <c r="Q42" s="2400" t="s">
        <v>2243</v>
      </c>
      <c r="R42" s="2400" t="s">
        <v>2244</v>
      </c>
      <c r="S42" s="2239"/>
      <c r="T42" s="2239"/>
      <c r="U42" s="2239"/>
      <c r="V42" s="2239"/>
    </row>
    <row r="43" spans="1:30" s="1610" customFormat="1">
      <c r="A43" s="1456"/>
      <c r="B43" s="628"/>
      <c r="C43" s="628"/>
      <c r="D43" s="628"/>
      <c r="E43" s="628"/>
      <c r="F43" s="628"/>
      <c r="G43" s="628"/>
      <c r="H43" s="628"/>
      <c r="I43" s="628"/>
      <c r="J43" s="2237"/>
      <c r="K43" s="2238"/>
      <c r="L43" s="2238"/>
      <c r="M43" s="628"/>
      <c r="N43" s="628"/>
      <c r="O43" s="628"/>
      <c r="P43" s="628"/>
      <c r="Q43" s="628"/>
      <c r="R43" s="628"/>
      <c r="S43" s="2239"/>
      <c r="T43" s="2239"/>
      <c r="U43" s="2239"/>
      <c r="V43" s="2239"/>
    </row>
    <row r="44" spans="1:30" s="1610" customFormat="1">
      <c r="A44" s="1456"/>
      <c r="B44" s="1456"/>
      <c r="C44" s="628"/>
      <c r="D44" s="628"/>
      <c r="E44" s="628"/>
      <c r="F44" s="628"/>
      <c r="G44" s="628"/>
      <c r="H44" s="628"/>
      <c r="I44" s="628"/>
      <c r="J44" s="2237"/>
      <c r="K44" s="2238"/>
      <c r="L44" s="2238"/>
      <c r="M44" s="628"/>
      <c r="N44" s="628"/>
      <c r="O44" s="628"/>
      <c r="P44" s="628"/>
      <c r="Q44" s="628"/>
      <c r="R44" s="628"/>
      <c r="S44" s="2239"/>
      <c r="T44" s="2239"/>
      <c r="U44" s="2239"/>
      <c r="V44" s="2239"/>
    </row>
    <row r="45" spans="1:30" s="1610" customFormat="1">
      <c r="A45" s="1456"/>
      <c r="B45" s="1456"/>
      <c r="C45" s="628"/>
      <c r="D45" s="628"/>
      <c r="E45" s="628"/>
      <c r="F45" s="628"/>
      <c r="G45" s="628"/>
      <c r="H45" s="628"/>
      <c r="I45" s="628"/>
      <c r="J45" s="2237"/>
      <c r="K45" s="2238"/>
      <c r="L45" s="2238"/>
      <c r="M45" s="628"/>
      <c r="N45" s="628"/>
      <c r="O45" s="628"/>
      <c r="P45" s="628"/>
      <c r="Q45" s="628"/>
      <c r="R45" s="628"/>
      <c r="S45" s="2239"/>
      <c r="T45" s="2239"/>
      <c r="U45" s="2239"/>
      <c r="V45" s="2239"/>
    </row>
    <row r="46" spans="1:30" s="1610" customFormat="1">
      <c r="A46" s="1456"/>
      <c r="B46" s="1456"/>
      <c r="C46" s="628"/>
      <c r="D46" s="628"/>
      <c r="E46" s="628"/>
      <c r="F46" s="628"/>
      <c r="G46" s="628"/>
      <c r="H46" s="628"/>
      <c r="I46" s="628"/>
      <c r="J46" s="2237"/>
      <c r="K46" s="2238"/>
      <c r="L46" s="2238"/>
      <c r="M46" s="628"/>
      <c r="N46" s="628"/>
      <c r="O46" s="628"/>
      <c r="P46" s="628"/>
      <c r="Q46" s="628"/>
      <c r="R46" s="628"/>
      <c r="S46" s="2239"/>
      <c r="T46" s="2239"/>
      <c r="U46" s="2239"/>
      <c r="V46" s="2239"/>
    </row>
    <row r="47" spans="1:30" s="1610" customFormat="1">
      <c r="A47" s="1456"/>
      <c r="B47" s="1456"/>
      <c r="C47" s="628"/>
      <c r="D47" s="628"/>
      <c r="E47" s="628"/>
      <c r="F47" s="628"/>
      <c r="G47" s="628"/>
      <c r="H47" s="628"/>
      <c r="I47" s="628"/>
      <c r="J47" s="2237"/>
      <c r="K47" s="2238"/>
      <c r="L47" s="2238"/>
      <c r="M47" s="628"/>
      <c r="N47" s="628"/>
      <c r="O47" s="628"/>
      <c r="P47" s="628"/>
      <c r="Q47" s="628"/>
      <c r="R47" s="628"/>
      <c r="S47" s="2239"/>
      <c r="T47" s="2239"/>
      <c r="U47" s="2239"/>
      <c r="V47" s="2239"/>
    </row>
    <row r="48" spans="1:30" s="1610" customFormat="1">
      <c r="A48" s="1456"/>
      <c r="B48" s="1456"/>
      <c r="C48" s="628"/>
      <c r="D48" s="628"/>
      <c r="E48" s="628"/>
      <c r="F48" s="628"/>
      <c r="G48" s="628"/>
      <c r="H48" s="628"/>
      <c r="I48" s="628"/>
      <c r="J48" s="2237"/>
      <c r="K48" s="2238"/>
      <c r="L48" s="2238"/>
      <c r="M48" s="628"/>
      <c r="N48" s="628"/>
      <c r="O48" s="628"/>
      <c r="P48" s="628"/>
      <c r="Q48" s="628"/>
      <c r="R48" s="628"/>
      <c r="S48" s="2239"/>
      <c r="T48" s="2239"/>
      <c r="U48" s="2239"/>
      <c r="V48" s="2239"/>
    </row>
    <row r="49" spans="1:22" s="1610" customFormat="1">
      <c r="A49" s="1456"/>
      <c r="B49" s="1456"/>
      <c r="C49" s="628"/>
      <c r="D49" s="628"/>
      <c r="E49" s="628"/>
      <c r="F49" s="628"/>
      <c r="G49" s="628"/>
      <c r="H49" s="628"/>
      <c r="I49" s="628"/>
      <c r="J49" s="2237"/>
      <c r="K49" s="2238"/>
      <c r="L49" s="2238"/>
      <c r="M49" s="628"/>
      <c r="N49" s="628"/>
      <c r="O49" s="628"/>
      <c r="P49" s="628"/>
      <c r="Q49" s="628"/>
      <c r="R49" s="628"/>
      <c r="S49" s="2239"/>
      <c r="T49" s="2239"/>
      <c r="U49" s="2239"/>
      <c r="V49" s="2239"/>
    </row>
    <row r="50" spans="1:22" s="1610" customFormat="1">
      <c r="A50" s="1456"/>
      <c r="B50" s="1456"/>
      <c r="C50" s="628"/>
      <c r="D50" s="628"/>
      <c r="E50" s="628"/>
      <c r="F50" s="628"/>
      <c r="G50" s="628"/>
      <c r="H50" s="628"/>
      <c r="I50" s="628"/>
      <c r="J50" s="2237"/>
      <c r="K50" s="2238"/>
      <c r="L50" s="2238"/>
      <c r="M50" s="628"/>
      <c r="N50" s="628"/>
      <c r="O50" s="628"/>
      <c r="P50" s="628"/>
      <c r="Q50" s="628"/>
      <c r="R50" s="628"/>
      <c r="S50" s="2239"/>
      <c r="T50" s="2239"/>
      <c r="U50" s="2239"/>
      <c r="V50" s="2239"/>
    </row>
    <row r="51" spans="1:22" s="1610" customFormat="1">
      <c r="A51" s="1456"/>
      <c r="B51" s="1456"/>
      <c r="C51" s="628"/>
      <c r="D51" s="628"/>
      <c r="E51" s="628"/>
      <c r="F51" s="628"/>
      <c r="G51" s="628"/>
      <c r="H51" s="628"/>
      <c r="I51" s="628"/>
      <c r="J51" s="2237"/>
      <c r="K51" s="2238"/>
      <c r="L51" s="2238"/>
      <c r="M51" s="628"/>
      <c r="N51" s="628"/>
      <c r="O51" s="628"/>
      <c r="P51" s="628"/>
      <c r="Q51" s="628"/>
      <c r="R51" s="628"/>
    </row>
    <row r="52" spans="1:22" s="1610" customFormat="1">
      <c r="A52" s="1456"/>
      <c r="B52" s="1456"/>
      <c r="C52" s="1456"/>
      <c r="D52" s="1456"/>
      <c r="E52" s="1456"/>
      <c r="F52" s="628"/>
      <c r="G52" s="1456"/>
      <c r="H52" s="1456"/>
      <c r="I52" s="1456"/>
      <c r="J52" s="2240"/>
      <c r="K52" s="2238"/>
      <c r="L52" s="2238"/>
      <c r="M52" s="2238"/>
      <c r="N52" s="1456"/>
      <c r="O52" s="1456"/>
      <c r="P52" s="1456"/>
      <c r="Q52" s="1456"/>
      <c r="R52" s="1456"/>
    </row>
    <row r="53" spans="1:22" s="1610" customFormat="1">
      <c r="A53" s="1456"/>
      <c r="B53" s="1456"/>
      <c r="C53" s="1456"/>
      <c r="D53" s="1456"/>
      <c r="E53" s="1456"/>
      <c r="F53" s="628"/>
      <c r="G53" s="1456"/>
      <c r="H53" s="1456"/>
      <c r="I53" s="1456"/>
      <c r="J53" s="2240"/>
      <c r="K53" s="2238"/>
      <c r="L53" s="2238"/>
      <c r="M53" s="2238"/>
      <c r="N53" s="1456"/>
      <c r="O53" s="1456"/>
      <c r="P53" s="1456"/>
      <c r="Q53" s="1456"/>
      <c r="R53" s="1456"/>
    </row>
    <row r="54" spans="1:22" s="1610" customFormat="1">
      <c r="A54" s="1456"/>
      <c r="B54" s="1456"/>
      <c r="C54" s="1456"/>
      <c r="D54" s="1456"/>
      <c r="E54" s="1456"/>
      <c r="F54" s="628"/>
      <c r="G54" s="1456"/>
      <c r="H54" s="1456"/>
      <c r="I54" s="1456"/>
      <c r="J54" s="2240"/>
      <c r="K54" s="2238"/>
      <c r="L54" s="2238"/>
      <c r="M54" s="2238"/>
      <c r="N54" s="1456"/>
      <c r="O54" s="1456"/>
      <c r="P54" s="1456"/>
      <c r="Q54" s="1456"/>
      <c r="R54" s="1456"/>
    </row>
    <row r="55" spans="1:22" s="1610" customFormat="1">
      <c r="A55" s="1456"/>
      <c r="B55" s="1456"/>
      <c r="C55" s="1456"/>
      <c r="D55" s="1456"/>
      <c r="E55" s="1456"/>
      <c r="F55" s="628"/>
      <c r="G55" s="1456"/>
      <c r="H55" s="1456"/>
      <c r="I55" s="1456"/>
      <c r="J55" s="2240"/>
      <c r="K55" s="2238"/>
      <c r="L55" s="2238"/>
      <c r="M55" s="2238"/>
      <c r="N55" s="1456"/>
      <c r="O55" s="1456"/>
      <c r="P55" s="1456"/>
      <c r="Q55" s="1456"/>
      <c r="R55" s="1456"/>
    </row>
    <row r="56" spans="1:22" s="1610" customFormat="1">
      <c r="A56" s="1456"/>
      <c r="B56" s="1456"/>
      <c r="C56" s="1456"/>
      <c r="D56" s="1456"/>
      <c r="E56" s="1456"/>
      <c r="F56" s="628"/>
      <c r="G56" s="1456"/>
      <c r="H56" s="1456"/>
      <c r="I56" s="1456"/>
      <c r="J56" s="2240"/>
      <c r="K56" s="2238"/>
      <c r="L56" s="2238"/>
      <c r="M56" s="2238"/>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customWidth="1"/>
    <col min="18" max="18" width="9.25" style="1457" customWidth="1"/>
    <col min="19" max="19" width="10.875" style="1457" customWidth="1"/>
    <col min="20" max="21" width="10.75" style="1457" customWidth="1"/>
    <col min="22" max="22" width="10.875" style="1457" customWidth="1"/>
    <col min="23" max="27" width="10.75" style="1457" customWidth="1"/>
    <col min="28" max="28" width="10.875" style="1457"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1058</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1059</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1060</v>
      </c>
      <c r="B2" s="8" t="s">
        <v>1061</v>
      </c>
      <c r="C2" s="8" t="s">
        <v>1062</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0" t="s">
        <v>1063</v>
      </c>
      <c r="AZ2" s="981" t="s">
        <v>1064</v>
      </c>
      <c r="BA2" s="8" t="s">
        <v>1065</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c r="B3" s="11">
        <f>IF(C3="否",G5-AT5,G5)</f>
        <v>4179.0200000000004</v>
      </c>
      <c r="C3" s="1463" t="s">
        <v>1066</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2"/>
      <c r="AZ3" s="628"/>
      <c r="BA3" s="983"/>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1067</v>
      </c>
      <c r="B5" s="1253"/>
      <c r="C5" s="1253"/>
      <c r="D5" s="1254"/>
      <c r="E5" s="13" t="s">
        <v>0</v>
      </c>
      <c r="F5" s="13">
        <f>SUM(F13:F587)</f>
        <v>0</v>
      </c>
      <c r="G5" s="13">
        <f>SUM(G13:G587)</f>
        <v>4179.0200000000004</v>
      </c>
      <c r="H5" s="13">
        <f t="shared" ref="H5:AT5" si="0">SUM(H13:H656)</f>
        <v>4179.0200000000004</v>
      </c>
      <c r="I5" s="13">
        <f t="shared" si="0"/>
        <v>4179.0200000000004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1067</v>
      </c>
      <c r="AW5" s="1253"/>
      <c r="AX5" s="1253"/>
      <c r="AY5" s="14" t="s">
        <v>2</v>
      </c>
      <c r="AZ5" s="15">
        <f t="shared" ref="AZ5:BT5" si="1">SUM(AZ13:AZ656)</f>
        <v>4179.0200000000004</v>
      </c>
      <c r="BA5" s="15">
        <f t="shared" si="1"/>
        <v>4179.0200000000004</v>
      </c>
      <c r="BB5" s="15">
        <f t="shared" si="1"/>
        <v>4179.0200000000004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1068</v>
      </c>
      <c r="B6" s="1468"/>
      <c r="C6" s="1468"/>
      <c r="D6" s="146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1068</v>
      </c>
      <c r="AW6" s="1468"/>
      <c r="AX6" s="146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1069</v>
      </c>
      <c r="B7" s="1455" t="s">
        <v>1070</v>
      </c>
      <c r="C7" s="1455" t="s">
        <v>1071</v>
      </c>
      <c r="D7" s="1455" t="s">
        <v>1072</v>
      </c>
      <c r="E7" s="1455" t="s">
        <v>1073</v>
      </c>
      <c r="F7" s="1455" t="s">
        <v>1074</v>
      </c>
      <c r="G7" s="1472" t="s">
        <v>1075</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1076</v>
      </c>
      <c r="AV7" s="20" t="s">
        <v>1077</v>
      </c>
      <c r="AW7" s="1460" t="s">
        <v>1078</v>
      </c>
      <c r="AX7" s="20" t="s">
        <v>1071</v>
      </c>
      <c r="AY7" s="1253" t="s">
        <v>1079</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1080</v>
      </c>
      <c r="H8" s="1478" t="s">
        <v>1081</v>
      </c>
      <c r="I8" s="1479"/>
      <c r="J8" s="1263"/>
      <c r="K8" s="1263"/>
      <c r="L8" s="1263"/>
      <c r="M8" s="1263"/>
      <c r="N8" s="1263"/>
      <c r="O8" s="1263"/>
      <c r="P8" s="1263"/>
      <c r="Q8" s="1263"/>
      <c r="R8" s="1263"/>
      <c r="S8" s="1263"/>
      <c r="T8" s="1263"/>
      <c r="U8" s="1263"/>
      <c r="V8" s="1480"/>
      <c r="W8" s="1263"/>
      <c r="X8" s="1263"/>
      <c r="Y8" s="1263"/>
      <c r="Z8" s="1263"/>
      <c r="AA8" s="1480"/>
      <c r="AB8" s="1481"/>
      <c r="AC8" s="755" t="s">
        <v>1082</v>
      </c>
      <c r="AD8" s="1482"/>
      <c r="AE8" s="1474"/>
      <c r="AF8" s="1263"/>
      <c r="AG8" s="1263"/>
      <c r="AH8" s="1263"/>
      <c r="AI8" s="1263"/>
      <c r="AJ8" s="1263"/>
      <c r="AK8" s="1263"/>
      <c r="AL8" s="1263"/>
      <c r="AM8" s="1263"/>
      <c r="AN8" s="1263"/>
      <c r="AO8" s="1263"/>
      <c r="AP8" s="1263"/>
      <c r="AQ8" s="1263"/>
      <c r="AR8" s="1263"/>
      <c r="AS8" s="1263"/>
      <c r="AT8" s="1001" t="s">
        <v>1083</v>
      </c>
      <c r="AU8" s="1476" t="s">
        <v>1084</v>
      </c>
      <c r="AV8" s="1001"/>
      <c r="AW8" s="1461"/>
      <c r="AX8" s="1001"/>
      <c r="AY8" s="1460" t="s">
        <v>1085</v>
      </c>
      <c r="AZ8" s="1262" t="s">
        <v>1086</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1"/>
      <c r="H9" s="1484" t="s">
        <v>1087</v>
      </c>
      <c r="I9" s="1485" t="s">
        <v>3530</v>
      </c>
      <c r="J9" s="755"/>
      <c r="K9" s="1485"/>
      <c r="L9" s="755"/>
      <c r="M9" s="1485"/>
      <c r="N9" s="755"/>
      <c r="O9" s="1485"/>
      <c r="P9" s="755"/>
      <c r="Q9" s="1485"/>
      <c r="R9" s="755"/>
      <c r="S9" s="1485"/>
      <c r="T9" s="755"/>
      <c r="U9" s="1485"/>
      <c r="V9" s="755"/>
      <c r="W9" s="1485"/>
      <c r="X9" s="1486"/>
      <c r="Y9" s="1485"/>
      <c r="Z9" s="755"/>
      <c r="AA9" s="1485"/>
      <c r="AB9" s="755"/>
      <c r="AC9" s="1477" t="s">
        <v>1087</v>
      </c>
      <c r="AD9" s="12" t="s">
        <v>1088</v>
      </c>
      <c r="AE9" s="1007"/>
      <c r="AF9" s="12" t="s">
        <v>1089</v>
      </c>
      <c r="AG9" s="1007"/>
      <c r="AH9" s="12" t="s">
        <v>1088</v>
      </c>
      <c r="AI9" s="1007"/>
      <c r="AJ9" s="12" t="s">
        <v>1089</v>
      </c>
      <c r="AK9" s="1007"/>
      <c r="AL9" s="12" t="s">
        <v>1088</v>
      </c>
      <c r="AM9" s="1007"/>
      <c r="AN9" s="12" t="s">
        <v>1089</v>
      </c>
      <c r="AO9" s="1007"/>
      <c r="AP9" s="12" t="s">
        <v>1088</v>
      </c>
      <c r="AQ9" s="1007"/>
      <c r="AR9" s="12" t="s">
        <v>1089</v>
      </c>
      <c r="AS9" s="1487"/>
      <c r="AT9" s="1476"/>
      <c r="AU9" s="1476" t="s">
        <v>1090</v>
      </c>
      <c r="AV9" s="1001"/>
      <c r="AW9" s="1461"/>
      <c r="AX9" s="1001"/>
      <c r="AY9" s="25"/>
      <c r="AZ9" s="25" t="s">
        <v>1080</v>
      </c>
      <c r="BA9" s="1488" t="s">
        <v>1091</v>
      </c>
      <c r="BB9" s="1489"/>
      <c r="BC9" s="1019"/>
      <c r="BD9" s="1019"/>
      <c r="BE9" s="1019"/>
      <c r="BF9" s="1019"/>
      <c r="BG9" s="1019"/>
      <c r="BH9" s="1019"/>
      <c r="BI9" s="1019"/>
      <c r="BJ9" s="1019"/>
      <c r="BK9" s="1490"/>
      <c r="BL9" s="12" t="s">
        <v>1092</v>
      </c>
      <c r="BM9" s="1263"/>
      <c r="BN9" s="1479"/>
      <c r="BO9" s="1263"/>
      <c r="BP9" s="1263"/>
      <c r="BQ9" s="1263"/>
      <c r="BR9" s="1263"/>
      <c r="BS9" s="1263"/>
      <c r="BT9" s="23"/>
    </row>
    <row r="10" spans="1:72" s="1483" customFormat="1" ht="12.75">
      <c r="A10" s="1476"/>
      <c r="B10" s="1476"/>
      <c r="C10" s="1476"/>
      <c r="D10" s="1476"/>
      <c r="E10" s="1476"/>
      <c r="F10" s="1476"/>
      <c r="G10" s="1001"/>
      <c r="H10" s="25"/>
      <c r="I10" s="1485" t="s">
        <v>669</v>
      </c>
      <c r="J10" s="755"/>
      <c r="K10" s="1491"/>
      <c r="L10" s="755"/>
      <c r="M10" s="1491"/>
      <c r="N10" s="755"/>
      <c r="O10" s="1491"/>
      <c r="P10" s="755"/>
      <c r="Q10" s="1491"/>
      <c r="R10" s="755"/>
      <c r="S10" s="1491"/>
      <c r="T10" s="755"/>
      <c r="U10" s="1491"/>
      <c r="V10" s="755"/>
      <c r="W10" s="1491"/>
      <c r="X10" s="755"/>
      <c r="Y10" s="1491"/>
      <c r="Z10" s="755"/>
      <c r="AA10" s="1491"/>
      <c r="AB10" s="755"/>
      <c r="AC10" s="1001"/>
      <c r="AD10" s="12" t="s">
        <v>1093</v>
      </c>
      <c r="AE10" s="1492"/>
      <c r="AF10" s="12" t="s">
        <v>1093</v>
      </c>
      <c r="AG10" s="1492"/>
      <c r="AH10" s="12" t="s">
        <v>1094</v>
      </c>
      <c r="AI10" s="1492"/>
      <c r="AJ10" s="12" t="s">
        <v>1094</v>
      </c>
      <c r="AK10" s="1492"/>
      <c r="AL10" s="12" t="s">
        <v>1095</v>
      </c>
      <c r="AM10" s="1007"/>
      <c r="AN10" s="12" t="s">
        <v>1095</v>
      </c>
      <c r="AO10" s="1007"/>
      <c r="AP10" s="12" t="s">
        <v>1096</v>
      </c>
      <c r="AQ10" s="1007"/>
      <c r="AR10" s="12" t="s">
        <v>1096</v>
      </c>
      <c r="AS10" s="1007"/>
      <c r="AT10" s="1476"/>
      <c r="AU10" s="1476"/>
      <c r="AV10" s="1001"/>
      <c r="AW10" s="1461"/>
      <c r="AX10" s="1001"/>
      <c r="AY10" s="25"/>
      <c r="AZ10" s="25"/>
      <c r="BA10" s="1493" t="s">
        <v>1087</v>
      </c>
      <c r="BB10" s="1494" t="str">
        <f>I9</f>
        <v>地上</v>
      </c>
      <c r="BC10" s="26">
        <f>K9</f>
        <v>0</v>
      </c>
      <c r="BD10" s="26">
        <f>M9</f>
        <v>0</v>
      </c>
      <c r="BE10" s="26">
        <f>O9</f>
        <v>0</v>
      </c>
      <c r="BF10" s="26">
        <f>Q9</f>
        <v>0</v>
      </c>
      <c r="BG10" s="26">
        <f>S9</f>
        <v>0</v>
      </c>
      <c r="BH10" s="26">
        <f>U9</f>
        <v>0</v>
      </c>
      <c r="BI10" s="26">
        <f>W9</f>
        <v>0</v>
      </c>
      <c r="BJ10" s="26">
        <f>Y9</f>
        <v>0</v>
      </c>
      <c r="BK10" s="26">
        <f>AA9</f>
        <v>0</v>
      </c>
      <c r="BL10" s="22" t="s">
        <v>1087</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1"/>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1"/>
      <c r="AD11" s="1498" t="s">
        <v>1097</v>
      </c>
      <c r="AE11" s="1264"/>
      <c r="AF11" s="1498" t="s">
        <v>1097</v>
      </c>
      <c r="AG11" s="1264"/>
      <c r="AH11" s="1498" t="s">
        <v>1098</v>
      </c>
      <c r="AI11" s="1499"/>
      <c r="AJ11" s="1498" t="s">
        <v>1098</v>
      </c>
      <c r="AK11" s="1264"/>
      <c r="AL11" s="1262"/>
      <c r="AM11" s="1264"/>
      <c r="AN11" s="1262"/>
      <c r="AO11" s="1264"/>
      <c r="AP11" s="1262"/>
      <c r="AQ11" s="1264"/>
      <c r="AR11" s="1262"/>
      <c r="AS11" s="1264"/>
      <c r="AT11" s="1461"/>
      <c r="AU11" s="1476"/>
      <c r="AV11" s="1001"/>
      <c r="AW11" s="1461"/>
      <c r="AX11" s="1001"/>
      <c r="AY11" s="25"/>
      <c r="AZ11" s="25"/>
      <c r="BA11" s="25"/>
      <c r="BB11" s="1481" t="str">
        <f>I10</f>
        <v>商业</v>
      </c>
      <c r="BC11" s="1481">
        <f>K10</f>
        <v>0</v>
      </c>
      <c r="BD11" s="1481">
        <f>M10</f>
        <v>0</v>
      </c>
      <c r="BE11" s="1481">
        <f>O10</f>
        <v>0</v>
      </c>
      <c r="BF11" s="1481">
        <f>Q10</f>
        <v>0</v>
      </c>
      <c r="BG11" s="1481">
        <f>S10</f>
        <v>0</v>
      </c>
      <c r="BH11" s="1481">
        <f>U10</f>
        <v>0</v>
      </c>
      <c r="BI11" s="1481">
        <f>W10</f>
        <v>0</v>
      </c>
      <c r="BJ11" s="1481">
        <f>Y10</f>
        <v>0</v>
      </c>
      <c r="BK11" s="1481">
        <f>AA10</f>
        <v>0</v>
      </c>
      <c r="BL11" s="1001"/>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2" t="s">
        <v>1100</v>
      </c>
      <c r="W12" s="8" t="s">
        <v>1099</v>
      </c>
      <c r="X12" s="8" t="s">
        <v>1100</v>
      </c>
      <c r="Y12" s="8" t="s">
        <v>1099</v>
      </c>
      <c r="Z12" s="8" t="s">
        <v>1100</v>
      </c>
      <c r="AA12" s="8" t="s">
        <v>1099</v>
      </c>
      <c r="AB12" s="8" t="s">
        <v>1100</v>
      </c>
      <c r="AC12" s="1503"/>
      <c r="AD12" s="1254"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501" t="s">
        <v>1100</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1"/>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8"/>
      <c r="B13" s="628"/>
      <c r="C13" s="2238" t="str">
        <f>面积位置!T3</f>
        <v>39-4</v>
      </c>
      <c r="D13" s="1507" t="s">
        <v>3531</v>
      </c>
      <c r="E13" s="13">
        <f>IF($C$3="是",ROUND($A$3*G13/$B$3,2),ROUND($A$3*(G13-AT13)/$B$3,2))</f>
        <v>0</v>
      </c>
      <c r="F13" s="29"/>
      <c r="G13" s="30">
        <f>H13+AC13+AT13</f>
        <v>617.69000000000005</v>
      </c>
      <c r="H13" s="17">
        <f>SUMIF(I$12:AB$12,"总值",I13:AB13)</f>
        <v>617.69000000000005</v>
      </c>
      <c r="I13" s="1508">
        <f>面积位置!V3</f>
        <v>617.69000000000005</v>
      </c>
      <c r="J13" s="1508"/>
      <c r="K13" s="1508"/>
      <c r="L13" s="1508"/>
      <c r="M13" s="1508"/>
      <c r="N13" s="1508"/>
      <c r="O13" s="1508"/>
      <c r="P13" s="1508"/>
      <c r="Q13" s="1508"/>
      <c r="R13" s="1508"/>
      <c r="S13" s="1508"/>
      <c r="T13" s="1508"/>
      <c r="U13" s="1508"/>
      <c r="V13" s="1508"/>
      <c r="W13" s="1508"/>
      <c r="X13" s="1508"/>
      <c r="Y13" s="1508"/>
      <c r="Z13" s="1508"/>
      <c r="AA13" s="1508"/>
      <c r="AB13" s="1508"/>
      <c r="AC13" s="13">
        <f>SUMIF(AD$12:AS$12,"总值",AD13:AS13)</f>
        <v>0</v>
      </c>
      <c r="AD13" s="983"/>
      <c r="AE13" s="983"/>
      <c r="AF13" s="983"/>
      <c r="AG13" s="983"/>
      <c r="AH13" s="983"/>
      <c r="AI13" s="983"/>
      <c r="AJ13" s="983"/>
      <c r="AK13" s="983"/>
      <c r="AL13" s="983"/>
      <c r="AM13" s="983"/>
      <c r="AN13" s="983"/>
      <c r="AO13" s="983"/>
      <c r="AP13" s="983"/>
      <c r="AQ13" s="983"/>
      <c r="AR13" s="983"/>
      <c r="AS13" s="983"/>
      <c r="AT13" s="29"/>
      <c r="AU13" s="1509"/>
      <c r="AV13" s="8">
        <f t="shared" ref="AV13:AX17" si="6">A13</f>
        <v>0</v>
      </c>
      <c r="AW13" s="8">
        <f t="shared" si="6"/>
        <v>0</v>
      </c>
      <c r="AX13" s="8" t="str">
        <f t="shared" si="6"/>
        <v>39-4</v>
      </c>
      <c r="AY13" s="1254">
        <f>ROUND($AY$6*AZ13/$AZ$5,2)</f>
        <v>0</v>
      </c>
      <c r="AZ13" s="13">
        <f>BA13+BL13</f>
        <v>617.69000000000005</v>
      </c>
      <c r="BA13" s="13">
        <f>SUM(BB13:BK13)</f>
        <v>617.69000000000005</v>
      </c>
      <c r="BB13" s="13">
        <f>IF($D13="是",I13-J13,0)</f>
        <v>617.69000000000005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8"/>
      <c r="B14" s="628"/>
      <c r="C14" s="2238" t="str">
        <f>面积位置!T4</f>
        <v>39-14</v>
      </c>
      <c r="D14" s="1507" t="s">
        <v>3531</v>
      </c>
      <c r="E14" s="13">
        <f>IF($C$3="是",ROUND($A$3*G14/$B$3,2),ROUND($A$3*(G14-AT14)/$B$3,2))</f>
        <v>0</v>
      </c>
      <c r="F14" s="29"/>
      <c r="G14" s="30">
        <f>H14+AC14+AT14</f>
        <v>344.81</v>
      </c>
      <c r="H14" s="17">
        <f>SUMIF(I$12:AB$12,"总值",I14:AB14)</f>
        <v>344.81</v>
      </c>
      <c r="I14" s="1508">
        <f>面积位置!V4</f>
        <v>344.81</v>
      </c>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3"/>
      <c r="AE14" s="983"/>
      <c r="AF14" s="983"/>
      <c r="AG14" s="983"/>
      <c r="AH14" s="983"/>
      <c r="AI14" s="983"/>
      <c r="AJ14" s="983"/>
      <c r="AK14" s="983"/>
      <c r="AL14" s="983"/>
      <c r="AM14" s="983"/>
      <c r="AN14" s="983"/>
      <c r="AO14" s="983"/>
      <c r="AP14" s="983"/>
      <c r="AQ14" s="983"/>
      <c r="AR14" s="983"/>
      <c r="AS14" s="983"/>
      <c r="AT14" s="29"/>
      <c r="AU14" s="1509"/>
      <c r="AV14" s="8">
        <f t="shared" si="6"/>
        <v>0</v>
      </c>
      <c r="AW14" s="8">
        <f t="shared" si="6"/>
        <v>0</v>
      </c>
      <c r="AX14" s="8" t="str">
        <f t="shared" si="6"/>
        <v>39-14</v>
      </c>
      <c r="AY14" s="1254">
        <f>ROUND($AY$6*AZ14/$AZ$5,2)</f>
        <v>0</v>
      </c>
      <c r="AZ14" s="13">
        <f>BA14+BL14</f>
        <v>344.81</v>
      </c>
      <c r="BA14" s="13">
        <f>SUM(BB14:BK14)</f>
        <v>344.81</v>
      </c>
      <c r="BB14" s="13">
        <f>IF($D14="是",I14-J14,0)</f>
        <v>344.81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8"/>
      <c r="B15" s="628"/>
      <c r="C15" s="2238">
        <f>面积位置!T5</f>
        <v>203</v>
      </c>
      <c r="D15" s="1507" t="s">
        <v>3531</v>
      </c>
      <c r="E15" s="13">
        <f>IF($C$3="是",ROUND($A$3*G15/$B$3,2),ROUND($A$3*(G15-AT15)/$B$3,2))</f>
        <v>0</v>
      </c>
      <c r="F15" s="29"/>
      <c r="G15" s="30">
        <f>H15+AC15+AT15</f>
        <v>1608.26</v>
      </c>
      <c r="H15" s="17">
        <f>SUMIF(I$12:AB$12,"总值",I15:AB15)</f>
        <v>1608.26</v>
      </c>
      <c r="I15" s="1508">
        <f>面积位置!V5</f>
        <v>1608.26</v>
      </c>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3"/>
      <c r="AE15" s="983"/>
      <c r="AF15" s="983"/>
      <c r="AG15" s="983"/>
      <c r="AH15" s="983"/>
      <c r="AI15" s="983"/>
      <c r="AJ15" s="983"/>
      <c r="AK15" s="983"/>
      <c r="AL15" s="983"/>
      <c r="AM15" s="983"/>
      <c r="AN15" s="983"/>
      <c r="AO15" s="983"/>
      <c r="AP15" s="983"/>
      <c r="AQ15" s="983"/>
      <c r="AR15" s="983"/>
      <c r="AS15" s="983"/>
      <c r="AT15" s="29"/>
      <c r="AU15" s="1509"/>
      <c r="AV15" s="8">
        <f t="shared" si="6"/>
        <v>0</v>
      </c>
      <c r="AW15" s="8">
        <f t="shared" si="6"/>
        <v>0</v>
      </c>
      <c r="AX15" s="8">
        <f t="shared" si="6"/>
        <v>203</v>
      </c>
      <c r="AY15" s="1254">
        <f>ROUND($AY$6*AZ15/$AZ$5,2)</f>
        <v>0</v>
      </c>
      <c r="AZ15" s="13">
        <f>BA15+BL15</f>
        <v>1608.26</v>
      </c>
      <c r="BA15" s="13">
        <f>SUM(BB15:BK15)</f>
        <v>1608.26</v>
      </c>
      <c r="BB15" s="13">
        <f>IF($D15="是",I15-J15,0)</f>
        <v>1608.26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8"/>
      <c r="B16" s="628"/>
      <c r="C16" s="2238">
        <f>面积位置!T6</f>
        <v>303</v>
      </c>
      <c r="D16" s="1507" t="s">
        <v>3531</v>
      </c>
      <c r="E16" s="13">
        <f>IF($C$3="是",ROUND($A$3*G16/$B$3,2),ROUND($A$3*(G16-AT16)/$B$3,2))</f>
        <v>0</v>
      </c>
      <c r="F16" s="29"/>
      <c r="G16" s="30">
        <f>H16+AC16+AT16</f>
        <v>1608.26</v>
      </c>
      <c r="H16" s="17">
        <f>SUMIF(I$12:AB$12,"总值",I16:AB16)</f>
        <v>1608.26</v>
      </c>
      <c r="I16" s="1508">
        <f>面积位置!V6</f>
        <v>1608.26</v>
      </c>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3"/>
      <c r="AE16" s="983"/>
      <c r="AF16" s="983"/>
      <c r="AG16" s="983"/>
      <c r="AH16" s="983"/>
      <c r="AI16" s="983"/>
      <c r="AJ16" s="983"/>
      <c r="AK16" s="983"/>
      <c r="AL16" s="983"/>
      <c r="AM16" s="983"/>
      <c r="AN16" s="983"/>
      <c r="AO16" s="983"/>
      <c r="AP16" s="983"/>
      <c r="AQ16" s="983"/>
      <c r="AR16" s="983"/>
      <c r="AS16" s="983"/>
      <c r="AT16" s="29"/>
      <c r="AU16" s="1509"/>
      <c r="AV16" s="8">
        <f t="shared" si="6"/>
        <v>0</v>
      </c>
      <c r="AW16" s="8">
        <f t="shared" si="6"/>
        <v>0</v>
      </c>
      <c r="AX16" s="8">
        <f t="shared" si="6"/>
        <v>303</v>
      </c>
      <c r="AY16" s="1254">
        <f>ROUND($AY$6*AZ16/$AZ$5,2)</f>
        <v>0</v>
      </c>
      <c r="AZ16" s="13">
        <f>BA16+BL16</f>
        <v>1608.26</v>
      </c>
      <c r="BA16" s="13">
        <f>SUM(BB16:BK16)</f>
        <v>1608.26</v>
      </c>
      <c r="BB16" s="13">
        <f>IF($D16="是",I16-J16,0)</f>
        <v>1608.26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8"/>
      <c r="B17" s="628"/>
      <c r="C17" s="1456"/>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3"/>
      <c r="AE17" s="983"/>
      <c r="AF17" s="983"/>
      <c r="AG17" s="983"/>
      <c r="AH17" s="983"/>
      <c r="AI17" s="983"/>
      <c r="AJ17" s="983"/>
      <c r="AK17" s="983"/>
      <c r="AL17" s="983"/>
      <c r="AM17" s="983"/>
      <c r="AN17" s="983"/>
      <c r="AO17" s="983"/>
      <c r="AP17" s="983"/>
      <c r="AQ17" s="983"/>
      <c r="AR17" s="983"/>
      <c r="AS17" s="983"/>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1"/>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1"/>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1"/>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1"/>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1"/>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1"/>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1"/>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1"/>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1"/>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1"/>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0"/>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0"/>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0"/>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0"/>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0"/>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0"/>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0"/>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0"/>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0"/>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0"/>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0"/>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0"/>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0"/>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0"/>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0"/>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0"/>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0"/>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0"/>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4F10D-7F6F-40CE-83F6-217F1FAB910F}">
  <dimension ref="S2:AA8"/>
  <sheetViews>
    <sheetView topLeftCell="O1" zoomScale="115" zoomScaleNormal="115" workbookViewId="0">
      <selection activeCell="AC7" sqref="AC7"/>
    </sheetView>
  </sheetViews>
  <sheetFormatPr defaultRowHeight="13.5"/>
  <cols>
    <col min="23" max="23" width="12.75" bestFit="1" customWidth="1"/>
    <col min="26" max="26" width="11.625" bestFit="1" customWidth="1"/>
    <col min="27" max="27" width="9.5" bestFit="1" customWidth="1"/>
  </cols>
  <sheetData>
    <row r="2" spans="19:27">
      <c r="S2" s="1399" t="s">
        <v>3403</v>
      </c>
      <c r="T2" s="1399" t="s">
        <v>3404</v>
      </c>
      <c r="U2" s="1399" t="s">
        <v>3407</v>
      </c>
      <c r="V2" s="1399" t="s">
        <v>3409</v>
      </c>
      <c r="W2" s="1399" t="s">
        <v>3582</v>
      </c>
    </row>
    <row r="3" spans="19:27">
      <c r="S3">
        <v>1</v>
      </c>
      <c r="T3" t="s">
        <v>3405</v>
      </c>
      <c r="U3">
        <v>1</v>
      </c>
      <c r="V3">
        <v>617.69000000000005</v>
      </c>
      <c r="W3">
        <f>989432.48*22+989432.44</f>
        <v>22756947</v>
      </c>
      <c r="X3" s="3256">
        <f>W3/V3</f>
        <v>36842.019459599469</v>
      </c>
      <c r="Y3">
        <f ca="1">系统读取表!E14</f>
        <v>38822</v>
      </c>
      <c r="Z3">
        <f ca="1">ROUND(Y3*V3,0)</f>
        <v>23979961</v>
      </c>
      <c r="AA3">
        <f ca="1">W3-Z3</f>
        <v>-1223014</v>
      </c>
    </row>
    <row r="4" spans="19:27">
      <c r="S4">
        <v>2</v>
      </c>
      <c r="T4" t="s">
        <v>3406</v>
      </c>
      <c r="U4">
        <v>1</v>
      </c>
      <c r="V4">
        <v>344.81</v>
      </c>
      <c r="W4">
        <f>990988.46*12+990988.48</f>
        <v>12882850</v>
      </c>
      <c r="X4" s="3256">
        <f>W4/V4</f>
        <v>37362.170470694007</v>
      </c>
      <c r="Y4">
        <f ca="1">系统读取表!E15</f>
        <v>32076</v>
      </c>
      <c r="Z4">
        <f t="shared" ref="Z4:Z6" ca="1" si="0">ROUND(Y4*V4,0)</f>
        <v>11060126</v>
      </c>
      <c r="AA4">
        <f t="shared" ref="AA4:AA6" ca="1" si="1">W4-Z4</f>
        <v>1822724</v>
      </c>
    </row>
    <row r="5" spans="19:27">
      <c r="S5">
        <v>3</v>
      </c>
      <c r="T5">
        <v>203</v>
      </c>
      <c r="U5">
        <v>2</v>
      </c>
      <c r="V5">
        <v>1608.26</v>
      </c>
      <c r="W5">
        <f>983625.58*35+983625.7</f>
        <v>35410521</v>
      </c>
      <c r="X5" s="3256">
        <f t="shared" ref="X5:X6" si="2">W5/V5</f>
        <v>22017.908174051459</v>
      </c>
      <c r="Y5">
        <f ca="1">系统读取表!E16</f>
        <v>21439</v>
      </c>
      <c r="Z5">
        <f t="shared" ca="1" si="0"/>
        <v>34479486</v>
      </c>
      <c r="AA5">
        <f t="shared" ca="1" si="1"/>
        <v>931035</v>
      </c>
    </row>
    <row r="6" spans="19:27">
      <c r="S6">
        <v>4</v>
      </c>
      <c r="T6">
        <v>303</v>
      </c>
      <c r="U6">
        <v>3</v>
      </c>
      <c r="V6">
        <v>1608.26</v>
      </c>
      <c r="W6">
        <f>974311.84*36+974311.76</f>
        <v>36049538</v>
      </c>
      <c r="X6" s="3256">
        <f t="shared" si="2"/>
        <v>22415.242560282542</v>
      </c>
      <c r="Y6">
        <f ca="1">系统读取表!E17</f>
        <v>20071</v>
      </c>
      <c r="Z6">
        <f t="shared" ca="1" si="0"/>
        <v>32279386</v>
      </c>
      <c r="AA6">
        <f t="shared" ca="1" si="1"/>
        <v>3770152</v>
      </c>
    </row>
    <row r="7" spans="19:27">
      <c r="V7">
        <f>SUM(V3:V6)</f>
        <v>4179.0200000000004</v>
      </c>
      <c r="W7">
        <f>SUM(W3:W6)</f>
        <v>107099856</v>
      </c>
      <c r="Z7">
        <f ca="1">SUM(Z3:Z6)</f>
        <v>101798959</v>
      </c>
    </row>
    <row r="8" spans="19:27">
      <c r="Z8">
        <f ca="1">W7-Z7</f>
        <v>5300897</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0" sqref="K10"/>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1126</v>
      </c>
      <c r="B1" s="1065"/>
      <c r="C1" s="1065"/>
      <c r="D1" s="1065"/>
      <c r="E1" s="1065"/>
      <c r="F1" s="1065"/>
      <c r="G1" s="1065"/>
      <c r="H1" s="1065"/>
      <c r="I1" s="1065"/>
      <c r="J1" s="1065"/>
      <c r="K1" s="1065"/>
      <c r="L1" s="1065"/>
      <c r="M1" s="1065"/>
      <c r="N1" s="1065"/>
      <c r="O1" s="1065"/>
      <c r="P1" s="1065"/>
    </row>
    <row r="2" spans="1:16" ht="15">
      <c r="A2" s="3337" t="s">
        <v>1127</v>
      </c>
      <c r="B2" s="3337"/>
      <c r="C2" s="3337"/>
      <c r="D2" s="742" t="s">
        <v>1103</v>
      </c>
      <c r="E2" s="1517" t="s">
        <v>1104</v>
      </c>
      <c r="F2" s="2433"/>
      <c r="G2" s="2426"/>
      <c r="H2" s="2427"/>
      <c r="I2" s="2140" t="s">
        <v>1128</v>
      </c>
      <c r="J2" s="2433"/>
      <c r="K2" s="2433"/>
      <c r="L2" s="2433"/>
      <c r="M2" s="2433"/>
      <c r="N2" s="2434"/>
      <c r="O2" s="2433"/>
      <c r="P2" s="2433"/>
    </row>
    <row r="3" spans="1:16" ht="15.75" thickBot="1">
      <c r="A3" s="3338" t="s">
        <v>1101</v>
      </c>
      <c r="B3" s="3338"/>
      <c r="C3" s="3338"/>
      <c r="D3" s="41">
        <f>'数据-基础表'!AY6</f>
        <v>0</v>
      </c>
      <c r="E3" s="41">
        <f>'数据-基础表'!AZ5</f>
        <v>4179.0200000000004</v>
      </c>
      <c r="F3" s="2433"/>
      <c r="G3" s="42"/>
      <c r="H3" s="43" t="s">
        <v>1102</v>
      </c>
      <c r="I3" s="796" t="e">
        <f>ROUND('数据-基础表'!B3/'数据-基础表'!A3,2)</f>
        <v>#DIV/0!</v>
      </c>
      <c r="J3" s="2433"/>
      <c r="K3" s="2433"/>
      <c r="L3" s="2433"/>
      <c r="M3" s="2433"/>
      <c r="N3" s="2434"/>
      <c r="O3" s="2433"/>
      <c r="P3" s="2433"/>
    </row>
    <row r="4" spans="1:16" ht="15">
      <c r="A4" s="3339"/>
      <c r="B4" s="3340"/>
      <c r="C4" s="3341"/>
      <c r="D4" s="1518" t="s">
        <v>1103</v>
      </c>
      <c r="E4" s="1519" t="s">
        <v>1104</v>
      </c>
      <c r="F4" s="2433"/>
      <c r="G4" s="2428" t="s">
        <v>1129</v>
      </c>
      <c r="H4" s="43" t="s">
        <v>1109</v>
      </c>
      <c r="I4" s="796" t="e">
        <f>ROUND(SUMIF('数据-基础表'!I9:AS9,"地上",'数据-基础表'!I5:AS5)/'数据-基础表'!A3,2)</f>
        <v>#DIV/0!</v>
      </c>
      <c r="J4" s="2433"/>
      <c r="K4" s="2433"/>
      <c r="L4" s="2433"/>
      <c r="M4" s="2433"/>
      <c r="N4" s="2434"/>
      <c r="O4" s="2433"/>
      <c r="P4" s="2433"/>
    </row>
    <row r="5" spans="1:16">
      <c r="A5" s="42" t="s">
        <v>1105</v>
      </c>
      <c r="B5" s="3342" t="s">
        <v>1106</v>
      </c>
      <c r="C5" s="3342"/>
      <c r="D5" s="43">
        <f>ROUND($D$3*E5/$E$3,2)</f>
        <v>0</v>
      </c>
      <c r="E5" s="44">
        <f>SUMIF('数据-基础表'!$11:$11,"住宅",'数据-基础表'!$5:$5)</f>
        <v>0</v>
      </c>
      <c r="F5" s="2433"/>
      <c r="G5" s="42"/>
      <c r="H5" s="43" t="s">
        <v>1102</v>
      </c>
      <c r="I5" s="796" t="e">
        <f>ROUND(E31/D31,2)</f>
        <v>#DIV/0!</v>
      </c>
      <c r="J5" s="2433"/>
      <c r="K5" s="2433"/>
      <c r="L5" s="2433"/>
      <c r="M5" s="2433"/>
      <c r="N5" s="2433"/>
      <c r="O5" s="2433"/>
      <c r="P5" s="2433"/>
    </row>
    <row r="6" spans="1:16" ht="15" thickBot="1">
      <c r="A6" s="1521"/>
      <c r="B6" s="3342" t="s">
        <v>1107</v>
      </c>
      <c r="C6" s="3342"/>
      <c r="D6" s="43">
        <f>ROUND($D$3*E6/$E$3,2)</f>
        <v>0</v>
      </c>
      <c r="E6" s="44">
        <f>E3-E5</f>
        <v>4179.0200000000004</v>
      </c>
      <c r="F6" s="2433"/>
      <c r="G6" s="1523" t="s">
        <v>1108</v>
      </c>
      <c r="H6" s="45" t="s">
        <v>1109</v>
      </c>
      <c r="I6" s="2429" t="e">
        <f>ROUND(F31/D31,2)</f>
        <v>#DIV/0!</v>
      </c>
      <c r="J6" s="2433"/>
      <c r="K6" s="2433"/>
      <c r="L6" s="2433"/>
      <c r="M6" s="2433"/>
      <c r="N6" s="2433"/>
      <c r="O6" s="2433"/>
      <c r="P6" s="2433"/>
    </row>
    <row r="7" spans="1:16" ht="15.75" thickBot="1">
      <c r="A7" s="3334"/>
      <c r="B7" s="3335"/>
      <c r="C7" s="3336"/>
      <c r="D7" s="1518" t="s">
        <v>1103</v>
      </c>
      <c r="E7" s="1522" t="s">
        <v>1110</v>
      </c>
      <c r="F7" s="2433"/>
      <c r="G7" s="2430" t="s">
        <v>1111</v>
      </c>
      <c r="H7" s="95"/>
      <c r="I7" s="2431">
        <v>2.5</v>
      </c>
      <c r="J7" s="2433"/>
      <c r="K7" s="2433"/>
      <c r="L7" s="2433"/>
      <c r="M7" s="2433"/>
      <c r="N7" s="2433"/>
      <c r="O7" s="2433"/>
      <c r="P7" s="2433"/>
    </row>
    <row r="8" spans="1:16">
      <c r="A8" s="42" t="s">
        <v>1112</v>
      </c>
      <c r="B8" s="45" t="s">
        <v>1113</v>
      </c>
      <c r="C8" s="43" t="s">
        <v>1114</v>
      </c>
      <c r="D8" s="43">
        <f t="shared" ref="D8:D15" si="0">ROUND($D$3*E8/$E$3,2)</f>
        <v>0</v>
      </c>
      <c r="E8" s="46">
        <f>SUMIF('数据-基础表'!BB10:BK10,"地上",'数据-基础表'!BB5:BK5)</f>
        <v>4179.0200000000004</v>
      </c>
      <c r="F8" s="2433"/>
      <c r="G8" s="2433"/>
      <c r="H8" s="2433"/>
      <c r="I8" s="2433"/>
      <c r="J8" s="2433"/>
      <c r="K8" s="2433"/>
      <c r="L8" s="2433"/>
      <c r="M8" s="2433"/>
      <c r="N8" s="2433"/>
      <c r="O8" s="2433"/>
      <c r="P8" s="2433"/>
    </row>
    <row r="9" spans="1:16">
      <c r="A9" s="1523"/>
      <c r="B9" s="1524"/>
      <c r="C9" s="43" t="s">
        <v>1115</v>
      </c>
      <c r="D9" s="43">
        <f t="shared" si="0"/>
        <v>0</v>
      </c>
      <c r="E9" s="47">
        <v>0</v>
      </c>
      <c r="F9" s="2433"/>
      <c r="G9" s="2433"/>
      <c r="H9" s="2433"/>
      <c r="I9" s="2433"/>
      <c r="J9" s="2433"/>
      <c r="K9" s="2433"/>
      <c r="L9" s="2433"/>
      <c r="M9" s="2433"/>
      <c r="N9" s="2433"/>
      <c r="O9" s="2433"/>
      <c r="P9" s="2433"/>
    </row>
    <row r="10" spans="1:16">
      <c r="A10" s="1523"/>
      <c r="B10" s="1524"/>
      <c r="C10" s="43" t="s">
        <v>1124</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3"/>
      <c r="B11" s="1524"/>
      <c r="C11" s="43" t="s">
        <v>1116</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3"/>
      <c r="B12" s="1524"/>
      <c r="C12" s="43" t="s">
        <v>1117</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3"/>
      <c r="B13" s="1524"/>
      <c r="C13" s="43" t="s">
        <v>1118</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3"/>
      <c r="B14" s="1524"/>
      <c r="C14" s="43" t="s">
        <v>1130</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3"/>
      <c r="B15" s="1524"/>
      <c r="C15" s="43" t="s">
        <v>1125</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1"/>
      <c r="B16" s="1524"/>
      <c r="C16" s="45" t="s">
        <v>1119</v>
      </c>
      <c r="D16" s="45">
        <f>SUM(D8:D15)</f>
        <v>0</v>
      </c>
      <c r="E16" s="48">
        <f>SUM(E8:E15)</f>
        <v>4179.0200000000004</v>
      </c>
      <c r="F16" s="2433"/>
      <c r="G16" s="2433"/>
      <c r="H16" s="1525" t="s">
        <v>1131</v>
      </c>
      <c r="I16" s="1526"/>
      <c r="J16" s="1065"/>
      <c r="K16" s="3331" t="s">
        <v>1131</v>
      </c>
      <c r="L16" s="3332"/>
      <c r="M16" s="3332"/>
      <c r="N16" s="3332"/>
      <c r="O16" s="3332"/>
      <c r="P16" s="3333"/>
    </row>
    <row r="17" spans="1:19" ht="15">
      <c r="A17" s="1527" t="s">
        <v>1132</v>
      </c>
      <c r="B17" s="1528" t="s">
        <v>1133</v>
      </c>
      <c r="C17" s="1529" t="s">
        <v>1134</v>
      </c>
      <c r="D17" s="1530" t="s">
        <v>1122</v>
      </c>
      <c r="E17" s="1531" t="s">
        <v>1123</v>
      </c>
      <c r="F17" s="1532"/>
      <c r="G17" s="1533"/>
      <c r="H17" s="1534" t="s">
        <v>1135</v>
      </c>
      <c r="I17" s="1535" t="s">
        <v>1120</v>
      </c>
      <c r="J17" s="1065"/>
      <c r="K17" s="3328" t="s">
        <v>1136</v>
      </c>
      <c r="L17" s="3329"/>
      <c r="M17" s="3330"/>
      <c r="N17" s="3328" t="s">
        <v>1137</v>
      </c>
      <c r="O17" s="3329"/>
      <c r="P17" s="3330"/>
      <c r="R17" s="763" t="s">
        <v>1138</v>
      </c>
      <c r="S17" s="54"/>
    </row>
    <row r="18" spans="1:19" ht="15">
      <c r="A18" s="1523"/>
      <c r="B18" s="1520"/>
      <c r="C18" s="1536"/>
      <c r="D18" s="1537"/>
      <c r="E18" s="1538" t="s">
        <v>1139</v>
      </c>
      <c r="F18" s="1539" t="s">
        <v>1140</v>
      </c>
      <c r="G18" s="1540" t="s">
        <v>1141</v>
      </c>
      <c r="H18" s="974" t="s">
        <v>1142</v>
      </c>
      <c r="I18" s="1541" t="s">
        <v>1143</v>
      </c>
      <c r="J18" s="1065"/>
      <c r="K18" s="974" t="s">
        <v>1144</v>
      </c>
      <c r="L18" s="1542" t="s">
        <v>1145</v>
      </c>
      <c r="M18" s="796" t="s">
        <v>1146</v>
      </c>
      <c r="N18" s="974" t="s">
        <v>1144</v>
      </c>
      <c r="O18" s="1542" t="s">
        <v>1145</v>
      </c>
      <c r="P18" s="796" t="s">
        <v>1146</v>
      </c>
      <c r="R18" s="43" t="s">
        <v>1147</v>
      </c>
      <c r="S18" s="43" t="s">
        <v>1148</v>
      </c>
    </row>
    <row r="19" spans="1:19">
      <c r="A19" s="1543"/>
      <c r="B19" s="45" t="s">
        <v>1121</v>
      </c>
      <c r="C19" s="3110" t="str">
        <f>'数据-基础表'!C13</f>
        <v>39-4</v>
      </c>
      <c r="D19" s="43">
        <f>ROUND($D$3*E19/$E$3,2)</f>
        <v>0</v>
      </c>
      <c r="E19" s="51">
        <f t="shared" ref="E19:E26" si="1">SUM(F19:G19)</f>
        <v>617.69000000000005</v>
      </c>
      <c r="F19" s="2552">
        <f>'数据-基础表'!I13</f>
        <v>617.69000000000005</v>
      </c>
      <c r="G19" s="1237"/>
      <c r="H19" s="637">
        <f>ROUND($D$3*I19/$E$3,2)</f>
        <v>0</v>
      </c>
      <c r="I19" s="46">
        <f t="shared" ref="I19:I26" si="2">IF($I$17="自定义",P19,M19)</f>
        <v>0</v>
      </c>
      <c r="J19" s="1065"/>
      <c r="K19" s="637">
        <f t="shared" ref="K19:K26" si="3">ROUND(E$28*E19/E$27,2)</f>
        <v>0</v>
      </c>
      <c r="L19" s="43">
        <f t="shared" ref="L19:L26" si="4">ROUND(IF(COUNTIF(C19,"*住宅*")&gt;0,E$29*E19/E$32,0),2)</f>
        <v>0</v>
      </c>
      <c r="M19" s="46">
        <f>K19+L19</f>
        <v>0</v>
      </c>
      <c r="N19" s="1544"/>
      <c r="O19" s="1545"/>
      <c r="P19" s="46">
        <f>N19+O19</f>
        <v>0</v>
      </c>
      <c r="R19" s="43">
        <f t="shared" ref="R19:S26" si="5">D19+H19</f>
        <v>0</v>
      </c>
      <c r="S19" s="51">
        <f t="shared" si="5"/>
        <v>617.69000000000005</v>
      </c>
    </row>
    <row r="20" spans="1:19">
      <c r="A20" s="1543"/>
      <c r="B20" s="45" t="s">
        <v>1149</v>
      </c>
      <c r="C20" s="3110" t="str">
        <f>'数据-基础表'!C14</f>
        <v>39-14</v>
      </c>
      <c r="D20" s="43">
        <f t="shared" ref="D20:D26" si="6">ROUND($D$3*E20/$E$3,2)</f>
        <v>0</v>
      </c>
      <c r="E20" s="51">
        <f t="shared" si="1"/>
        <v>344.81</v>
      </c>
      <c r="F20" s="2552">
        <f>'数据-基础表'!I14</f>
        <v>344.81</v>
      </c>
      <c r="G20" s="1237"/>
      <c r="H20" s="637">
        <f t="shared" ref="H20:H26" si="7">ROUND($D$3*I20/$E$3,2)</f>
        <v>0</v>
      </c>
      <c r="I20" s="46">
        <f t="shared" si="2"/>
        <v>0</v>
      </c>
      <c r="J20" s="1065"/>
      <c r="K20" s="637">
        <f t="shared" si="3"/>
        <v>0</v>
      </c>
      <c r="L20" s="43">
        <f t="shared" si="4"/>
        <v>0</v>
      </c>
      <c r="M20" s="46">
        <f t="shared" ref="M20:M26" si="8">K20+L20</f>
        <v>0</v>
      </c>
      <c r="N20" s="1544"/>
      <c r="O20" s="1545"/>
      <c r="P20" s="46">
        <f t="shared" ref="P20:P26" si="9">N20+O20</f>
        <v>0</v>
      </c>
      <c r="R20" s="43">
        <f t="shared" si="5"/>
        <v>0</v>
      </c>
      <c r="S20" s="51">
        <f t="shared" si="5"/>
        <v>344.81</v>
      </c>
    </row>
    <row r="21" spans="1:19">
      <c r="A21" s="1543"/>
      <c r="B21" s="45" t="s">
        <v>1149</v>
      </c>
      <c r="C21" s="3110">
        <f>'数据-基础表'!C15</f>
        <v>203</v>
      </c>
      <c r="D21" s="43">
        <f t="shared" si="6"/>
        <v>0</v>
      </c>
      <c r="E21" s="51">
        <f t="shared" si="1"/>
        <v>1608.26</v>
      </c>
      <c r="F21" s="2552">
        <f>'数据-基础表'!I15</f>
        <v>1608.26</v>
      </c>
      <c r="G21" s="1237"/>
      <c r="H21" s="637">
        <f t="shared" si="7"/>
        <v>0</v>
      </c>
      <c r="I21" s="46">
        <f t="shared" si="2"/>
        <v>0</v>
      </c>
      <c r="J21" s="1065"/>
      <c r="K21" s="637">
        <f t="shared" si="3"/>
        <v>0</v>
      </c>
      <c r="L21" s="43">
        <f t="shared" si="4"/>
        <v>0</v>
      </c>
      <c r="M21" s="46">
        <f t="shared" si="8"/>
        <v>0</v>
      </c>
      <c r="N21" s="1544"/>
      <c r="O21" s="1545"/>
      <c r="P21" s="46">
        <f t="shared" si="9"/>
        <v>0</v>
      </c>
      <c r="R21" s="43">
        <f t="shared" si="5"/>
        <v>0</v>
      </c>
      <c r="S21" s="51">
        <f t="shared" si="5"/>
        <v>1608.26</v>
      </c>
    </row>
    <row r="22" spans="1:19">
      <c r="A22" s="1543"/>
      <c r="B22" s="45" t="s">
        <v>1149</v>
      </c>
      <c r="C22" s="3110">
        <f>'数据-基础表'!C16</f>
        <v>303</v>
      </c>
      <c r="D22" s="43">
        <f t="shared" si="6"/>
        <v>0</v>
      </c>
      <c r="E22" s="51">
        <f t="shared" si="1"/>
        <v>1608.26</v>
      </c>
      <c r="F22" s="2552">
        <f>'数据-基础表'!I16</f>
        <v>1608.26</v>
      </c>
      <c r="G22" s="2554"/>
      <c r="H22" s="637">
        <f t="shared" si="7"/>
        <v>0</v>
      </c>
      <c r="I22" s="46">
        <f t="shared" si="2"/>
        <v>0</v>
      </c>
      <c r="J22" s="1065"/>
      <c r="K22" s="637">
        <f t="shared" si="3"/>
        <v>0</v>
      </c>
      <c r="L22" s="43">
        <f t="shared" si="4"/>
        <v>0</v>
      </c>
      <c r="M22" s="46">
        <f t="shared" si="8"/>
        <v>0</v>
      </c>
      <c r="N22" s="1544"/>
      <c r="O22" s="1545"/>
      <c r="P22" s="46">
        <f t="shared" si="9"/>
        <v>0</v>
      </c>
      <c r="R22" s="43">
        <f t="shared" si="5"/>
        <v>0</v>
      </c>
      <c r="S22" s="51">
        <f t="shared" si="5"/>
        <v>1608.26</v>
      </c>
    </row>
    <row r="23" spans="1:19">
      <c r="A23" s="1543"/>
      <c r="B23" s="45" t="s">
        <v>1149</v>
      </c>
      <c r="C23" s="3111"/>
      <c r="D23" s="43">
        <f>ROUND($D$3*E23/$E$3,2)</f>
        <v>0</v>
      </c>
      <c r="E23" s="51">
        <f>SUM(F23:G23)</f>
        <v>0</v>
      </c>
      <c r="F23" s="2553"/>
      <c r="G23" s="2554"/>
      <c r="H23" s="637">
        <f>ROUND($D$3*I23/$E$3,2)</f>
        <v>0</v>
      </c>
      <c r="I23" s="46">
        <f t="shared" si="2"/>
        <v>0</v>
      </c>
      <c r="J23" s="1065"/>
      <c r="K23" s="637">
        <f t="shared" si="3"/>
        <v>0</v>
      </c>
      <c r="L23" s="43">
        <f t="shared" si="4"/>
        <v>0</v>
      </c>
      <c r="M23" s="46">
        <f t="shared" si="8"/>
        <v>0</v>
      </c>
      <c r="N23" s="1544"/>
      <c r="O23" s="1545"/>
      <c r="P23" s="46">
        <f t="shared" si="9"/>
        <v>0</v>
      </c>
      <c r="R23" s="43">
        <f t="shared" si="5"/>
        <v>0</v>
      </c>
      <c r="S23" s="51">
        <f t="shared" si="5"/>
        <v>0</v>
      </c>
    </row>
    <row r="24" spans="1:19">
      <c r="A24" s="1543"/>
      <c r="B24" s="45" t="s">
        <v>1149</v>
      </c>
      <c r="C24" s="3111"/>
      <c r="D24" s="43">
        <f>ROUND($D$3*E24/$E$3,2)</f>
        <v>0</v>
      </c>
      <c r="E24" s="51">
        <f>SUM(F24:G24)</f>
        <v>0</v>
      </c>
      <c r="F24" s="2553"/>
      <c r="G24" s="2554"/>
      <c r="H24" s="637">
        <f>ROUND($D$3*I24/$E$3,2)</f>
        <v>0</v>
      </c>
      <c r="I24" s="46">
        <f t="shared" si="2"/>
        <v>0</v>
      </c>
      <c r="J24" s="1065"/>
      <c r="K24" s="637">
        <f t="shared" si="3"/>
        <v>0</v>
      </c>
      <c r="L24" s="43">
        <f t="shared" si="4"/>
        <v>0</v>
      </c>
      <c r="M24" s="46">
        <f t="shared" si="8"/>
        <v>0</v>
      </c>
      <c r="N24" s="1544"/>
      <c r="O24" s="1545"/>
      <c r="P24" s="46">
        <f t="shared" si="9"/>
        <v>0</v>
      </c>
      <c r="R24" s="43">
        <f t="shared" si="5"/>
        <v>0</v>
      </c>
      <c r="S24" s="51">
        <f t="shared" si="5"/>
        <v>0</v>
      </c>
    </row>
    <row r="25" spans="1:19">
      <c r="A25" s="1543"/>
      <c r="B25" s="45" t="s">
        <v>1149</v>
      </c>
      <c r="C25" s="3111"/>
      <c r="D25" s="43">
        <f t="shared" si="6"/>
        <v>0</v>
      </c>
      <c r="E25" s="51">
        <f t="shared" si="1"/>
        <v>0</v>
      </c>
      <c r="F25" s="2553"/>
      <c r="G25" s="2554"/>
      <c r="H25" s="42">
        <f t="shared" si="7"/>
        <v>0</v>
      </c>
      <c r="I25" s="46">
        <f t="shared" si="2"/>
        <v>0</v>
      </c>
      <c r="J25" s="1065"/>
      <c r="K25" s="637">
        <f t="shared" si="3"/>
        <v>0</v>
      </c>
      <c r="L25" s="43">
        <f t="shared" si="4"/>
        <v>0</v>
      </c>
      <c r="M25" s="46">
        <f t="shared" si="8"/>
        <v>0</v>
      </c>
      <c r="N25" s="1544"/>
      <c r="O25" s="1545"/>
      <c r="P25" s="46">
        <f t="shared" si="9"/>
        <v>0</v>
      </c>
      <c r="R25" s="43">
        <f t="shared" si="5"/>
        <v>0</v>
      </c>
      <c r="S25" s="51">
        <f t="shared" si="5"/>
        <v>0</v>
      </c>
    </row>
    <row r="26" spans="1:19">
      <c r="A26" s="1543"/>
      <c r="B26" s="45" t="s">
        <v>1149</v>
      </c>
      <c r="C26" s="53"/>
      <c r="D26" s="43">
        <f t="shared" si="6"/>
        <v>0</v>
      </c>
      <c r="E26" s="51">
        <f t="shared" si="1"/>
        <v>0</v>
      </c>
      <c r="F26" s="2553"/>
      <c r="G26" s="2554"/>
      <c r="H26" s="42">
        <f t="shared" si="7"/>
        <v>0</v>
      </c>
      <c r="I26" s="46">
        <f t="shared" si="2"/>
        <v>0</v>
      </c>
      <c r="J26" s="1065"/>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1150</v>
      </c>
      <c r="D27" s="1066">
        <f>SUM(D19:D26)</f>
        <v>0</v>
      </c>
      <c r="E27" s="1067">
        <f>IF(SUM(E19:E26)='数据-基础表'!BA5,SUM(E19:E26),IF(F27="地上面积有误","面积有误","地下面积有误"))</f>
        <v>4179.0200000000004</v>
      </c>
      <c r="F27" s="1066">
        <f>IF(SUM(F19:F26)=E8,SUM(F19:F26),"地上面积有误")</f>
        <v>4179.0200000000004</v>
      </c>
      <c r="G27" s="1068">
        <f>SUM(G19:G26)</f>
        <v>0</v>
      </c>
      <c r="H27" s="1069">
        <f>SUM(H19:H26)</f>
        <v>0</v>
      </c>
      <c r="I27" s="1070">
        <f>SUM(I19:I26)</f>
        <v>0</v>
      </c>
      <c r="J27" s="1065"/>
      <c r="K27" s="1071">
        <f>SUM(K19:K26)</f>
        <v>0</v>
      </c>
      <c r="L27" s="779">
        <f>SUM(L19:L26)</f>
        <v>0</v>
      </c>
      <c r="M27" s="1072">
        <f>SUM(M19:M26)</f>
        <v>0</v>
      </c>
      <c r="N27" s="1071">
        <f t="shared" ref="N27:O27" si="10">SUM(N19:N26)</f>
        <v>0</v>
      </c>
      <c r="O27" s="779">
        <f t="shared" si="10"/>
        <v>0</v>
      </c>
      <c r="P27" s="94">
        <f>SUM(P19:P26)</f>
        <v>0</v>
      </c>
      <c r="R27" s="962">
        <f>IF(SUM(R19:R26)=$D$3,SUM(R19:R26),SUM(R19:R26)&amp;"误差"&amp;ROUND(SUM(R19:R26)-$D$3,2))</f>
        <v>0</v>
      </c>
      <c r="S27" s="43">
        <f>IF(SUM(S19:S26)=$E$3,SUM(S19:S26),SUM(S19:S26)&amp;"误差"&amp;ROUND(SUM(S19:S26)-E3,2))</f>
        <v>4179.0200000000004</v>
      </c>
    </row>
    <row r="28" spans="1:19">
      <c r="A28" s="1543"/>
      <c r="B28" s="45" t="s">
        <v>1151</v>
      </c>
      <c r="C28" s="54" t="s">
        <v>1152</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3"/>
      <c r="B29" s="45" t="s">
        <v>1151</v>
      </c>
      <c r="C29" s="1549" t="s">
        <v>1153</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3"/>
      <c r="B30" s="45"/>
      <c r="C30" s="1550" t="s">
        <v>1150</v>
      </c>
      <c r="D30" s="1066">
        <f>SUM(D28:D29)</f>
        <v>0</v>
      </c>
      <c r="E30" s="1066">
        <f>SUM(E28:E29)</f>
        <v>0</v>
      </c>
      <c r="F30" s="1066">
        <f>SUM(F28:F29)</f>
        <v>0</v>
      </c>
      <c r="G30" s="1068">
        <f>SUM(G28:G29)</f>
        <v>0</v>
      </c>
      <c r="H30" s="2433"/>
      <c r="I30" s="2433"/>
      <c r="J30" s="2433"/>
      <c r="K30" s="2433"/>
      <c r="L30" s="2433"/>
      <c r="M30" s="2433"/>
      <c r="N30" s="2433"/>
      <c r="O30" s="2433"/>
      <c r="P30" s="2433"/>
    </row>
    <row r="31" spans="1:19" ht="15.75" thickBot="1">
      <c r="A31" s="1551"/>
      <c r="B31" s="96"/>
      <c r="C31" s="779" t="s">
        <v>1154</v>
      </c>
      <c r="D31" s="643">
        <f>D27+D30</f>
        <v>0</v>
      </c>
      <c r="E31" s="643">
        <f>E27+E30</f>
        <v>4179.0200000000004</v>
      </c>
      <c r="F31" s="644">
        <f>F27+F30</f>
        <v>4179.0200000000004</v>
      </c>
      <c r="G31" s="645">
        <f>G27+G30</f>
        <v>0</v>
      </c>
      <c r="H31" s="2433"/>
      <c r="I31" s="2433"/>
      <c r="J31" s="2433"/>
      <c r="K31" s="2433"/>
      <c r="L31" s="2433"/>
      <c r="M31" s="2433"/>
      <c r="N31" s="2433"/>
      <c r="O31" s="2433"/>
      <c r="P31" s="2433"/>
    </row>
    <row r="32" spans="1:19">
      <c r="A32" s="1520"/>
      <c r="B32" s="1520" t="s">
        <v>1155</v>
      </c>
      <c r="C32" s="1520"/>
      <c r="D32" s="1520"/>
      <c r="E32" s="984">
        <f>SUMIF(C19:C26,"*住宅*",E19:E26)</f>
        <v>0</v>
      </c>
      <c r="F32" s="1520"/>
      <c r="G32" s="1520"/>
      <c r="H32" s="2433"/>
      <c r="I32" s="2433"/>
      <c r="J32" s="2433"/>
      <c r="K32" s="2433"/>
      <c r="L32" s="2433"/>
      <c r="M32" s="2433"/>
      <c r="N32" s="2433"/>
      <c r="O32" s="2433"/>
      <c r="P32" s="2433"/>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30" width="6.75" style="1555" customWidth="1"/>
    <col min="31" max="31" width="8" style="1555" customWidth="1"/>
    <col min="32" max="34" width="7.25" style="1555" customWidth="1"/>
    <col min="35" max="39" width="8" style="1555" customWidth="1"/>
    <col min="40" max="40" width="13.75" style="122"/>
    <col min="41" max="41" width="11.625" style="122" customWidth="1"/>
    <col min="42" max="42" width="9.75" style="122" customWidth="1"/>
    <col min="43" max="67" width="13.75" style="122"/>
    <col min="68" max="16384" width="13.75" style="1555"/>
  </cols>
  <sheetData>
    <row r="1" spans="1:67" ht="19.5" thickBot="1">
      <c r="A1" s="1553" t="s">
        <v>1156</v>
      </c>
      <c r="B1" s="646"/>
      <c r="C1" s="121"/>
      <c r="D1" s="1554"/>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5" customFormat="1" ht="15.75" thickBot="1">
      <c r="A2" s="1556" t="s">
        <v>1157</v>
      </c>
      <c r="B2" s="978">
        <f>项目基本情况!D3</f>
        <v>45873</v>
      </c>
      <c r="C2" s="1065"/>
      <c r="D2" s="1557"/>
      <c r="E2" s="1065"/>
      <c r="F2" s="1065"/>
      <c r="G2" s="1065"/>
      <c r="H2" s="1065"/>
      <c r="I2" s="1065"/>
      <c r="J2" s="1065"/>
      <c r="K2" s="857"/>
      <c r="L2" s="857"/>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2433"/>
      <c r="AO2" s="2433"/>
      <c r="AP2" s="2433"/>
      <c r="AQ2" s="2433"/>
      <c r="AR2" s="2433"/>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5"/>
      <c r="D3" s="1557"/>
      <c r="E3" s="1065"/>
      <c r="F3" s="1065"/>
      <c r="G3" s="1065"/>
      <c r="H3" s="1065"/>
      <c r="I3" s="1065"/>
      <c r="J3" s="1065"/>
      <c r="K3" s="857"/>
      <c r="L3" s="857"/>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2433"/>
      <c r="AO3" s="2433"/>
      <c r="AP3" s="2433"/>
      <c r="AQ3" s="2433"/>
      <c r="AR3" s="2433"/>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1158</v>
      </c>
      <c r="B4" s="1558"/>
      <c r="C4" s="1559"/>
      <c r="D4" s="1560"/>
      <c r="E4" s="1559" t="s">
        <v>1159</v>
      </c>
      <c r="F4" s="1559"/>
      <c r="G4" s="1559"/>
      <c r="H4" s="1559"/>
      <c r="I4" s="1559"/>
      <c r="J4" s="1561"/>
      <c r="K4" s="1562"/>
      <c r="L4" s="1563"/>
      <c r="M4" s="1559"/>
      <c r="N4" s="1559" t="s">
        <v>1160</v>
      </c>
      <c r="O4" s="1559"/>
      <c r="P4" s="1559"/>
      <c r="Q4" s="1559"/>
      <c r="R4" s="1559"/>
      <c r="S4" s="1561"/>
      <c r="T4" s="2432" t="str">
        <f>'数据-汇总表'!I17</f>
        <v>按面积比例</v>
      </c>
      <c r="U4" s="1558" t="s">
        <v>1161</v>
      </c>
      <c r="V4" s="1559"/>
      <c r="W4" s="1559"/>
      <c r="X4" s="1559"/>
      <c r="Y4" s="1561"/>
      <c r="Z4" s="1529" t="s">
        <v>1162</v>
      </c>
      <c r="AA4" s="1529"/>
      <c r="AB4" s="1529"/>
      <c r="AC4" s="1529"/>
      <c r="AD4" s="1529"/>
      <c r="AE4" s="1527" t="s">
        <v>1163</v>
      </c>
      <c r="AF4" s="1529"/>
      <c r="AG4" s="1564"/>
      <c r="AH4" s="1558"/>
      <c r="AI4" s="1559"/>
      <c r="AJ4" s="1559"/>
      <c r="AK4" s="1559"/>
      <c r="AL4" s="1559"/>
      <c r="AM4" s="1561"/>
      <c r="AN4" s="2433"/>
      <c r="AO4" s="2433"/>
      <c r="AP4" s="2433"/>
      <c r="AQ4" s="2433"/>
      <c r="AR4" s="2433"/>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1164</v>
      </c>
      <c r="B5" s="1566" t="s">
        <v>1165</v>
      </c>
      <c r="C5" s="1567" t="s">
        <v>1166</v>
      </c>
      <c r="D5" s="1568" t="s">
        <v>1167</v>
      </c>
      <c r="E5" s="504" t="s">
        <v>1168</v>
      </c>
      <c r="F5" s="1569" t="s">
        <v>1169</v>
      </c>
      <c r="G5" s="504" t="s">
        <v>1170</v>
      </c>
      <c r="H5" s="504" t="s">
        <v>1171</v>
      </c>
      <c r="I5" s="504" t="s">
        <v>1172</v>
      </c>
      <c r="J5" s="1241" t="s">
        <v>1173</v>
      </c>
      <c r="K5" s="1570" t="s">
        <v>1174</v>
      </c>
      <c r="L5" s="1571" t="s">
        <v>1175</v>
      </c>
      <c r="M5" s="1572" t="s">
        <v>1176</v>
      </c>
      <c r="N5" s="1573" t="s">
        <v>3533</v>
      </c>
      <c r="O5" s="1571" t="s">
        <v>1177</v>
      </c>
      <c r="P5" s="1574" t="s">
        <v>1178</v>
      </c>
      <c r="Q5" s="58" t="s">
        <v>1179</v>
      </c>
      <c r="R5" s="1575" t="s">
        <v>1180</v>
      </c>
      <c r="S5" s="1576" t="s">
        <v>1181</v>
      </c>
      <c r="T5" s="1577" t="s">
        <v>1182</v>
      </c>
      <c r="U5" s="979" t="s">
        <v>1183</v>
      </c>
      <c r="V5" s="504" t="s">
        <v>1184</v>
      </c>
      <c r="W5" s="504" t="s">
        <v>1185</v>
      </c>
      <c r="X5" s="60"/>
      <c r="Y5" s="59" t="s">
        <v>1186</v>
      </c>
      <c r="Z5" s="1095" t="s">
        <v>1183</v>
      </c>
      <c r="AA5" s="504" t="s">
        <v>1184</v>
      </c>
      <c r="AB5" s="504" t="s">
        <v>1185</v>
      </c>
      <c r="AC5" s="60"/>
      <c r="AD5" s="60" t="s">
        <v>1186</v>
      </c>
      <c r="AE5" s="979" t="s">
        <v>1187</v>
      </c>
      <c r="AF5" s="504" t="s">
        <v>1188</v>
      </c>
      <c r="AG5" s="59" t="s">
        <v>1189</v>
      </c>
      <c r="AH5" s="979" t="s">
        <v>1190</v>
      </c>
      <c r="AI5" s="1095" t="s">
        <v>1191</v>
      </c>
      <c r="AJ5" s="1095" t="s">
        <v>1192</v>
      </c>
      <c r="AK5" s="504" t="s">
        <v>1193</v>
      </c>
      <c r="AL5" s="504" t="s">
        <v>1194</v>
      </c>
      <c r="AM5" s="59" t="s">
        <v>1195</v>
      </c>
      <c r="AN5" s="1578" t="s">
        <v>1196</v>
      </c>
      <c r="AO5" s="1448" t="s">
        <v>1197</v>
      </c>
      <c r="AP5" s="962" t="s">
        <v>1198</v>
      </c>
      <c r="AQ5" s="1579" t="s">
        <v>1199</v>
      </c>
      <c r="AR5" s="1579" t="s">
        <v>1200</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5" customFormat="1" ht="14.25">
      <c r="A6" s="3243" t="str">
        <f>'数据-汇总表'!C19</f>
        <v>39-4</v>
      </c>
      <c r="B6" s="1581" t="str">
        <f>IF(A6=0,"","经营性")</f>
        <v>经营性</v>
      </c>
      <c r="C6" s="1582" t="s">
        <v>669</v>
      </c>
      <c r="D6" s="3244">
        <f>SUMIF(项目基本情况!C$12:I$12,C6,项目基本情况!C$14:I$14)</f>
        <v>40</v>
      </c>
      <c r="E6" s="3245">
        <f>IF(B6="","",SUMIF(项目基本情况!C$12:I$12,C6,项目基本情况!C$13:I$13))</f>
        <v>54634</v>
      </c>
      <c r="F6" s="61">
        <f>SUMIF(项目基本情况!C$12:I$12,C6,项目基本情况!C$15:I$15)</f>
        <v>24</v>
      </c>
      <c r="G6" s="62">
        <f>IF(ISERROR(ROUND(POWER(1+H6,D6-F6)*(POWER(1+H6,F6)-1)/(POWER(1+H6,D6)-1),3)),0,ROUND(POWER(1+H6,D6-F6)*(POWER(1+H6,F6)-1)/(POWER(1+H6,D6)-1),3))</f>
        <v>0.80400000000000005</v>
      </c>
      <c r="H6" s="3246">
        <v>0.05</v>
      </c>
      <c r="I6" s="3246">
        <v>5.5E-2</v>
      </c>
      <c r="J6" s="63">
        <v>7.0000000000000007E-2</v>
      </c>
      <c r="K6" s="66">
        <f>SUMIF('数据-汇总表'!C$19:C$33,A6,'数据-汇总表'!E$19:E$33)</f>
        <v>617.69000000000005</v>
      </c>
      <c r="L6" s="79">
        <v>4500</v>
      </c>
      <c r="M6" s="64">
        <f t="shared" ref="M6:M14" si="0">ROUND(K6*L6/10000,0)</f>
        <v>278</v>
      </c>
      <c r="N6" s="80">
        <f>ROUND(1-(2025-2011)/60,2)</f>
        <v>0.77</v>
      </c>
      <c r="O6" s="64" t="str">
        <f>IF($N$5="成新度","——",ROUND(M6*N6,0))</f>
        <v>——</v>
      </c>
      <c r="P6" s="65" t="str">
        <f>IF($N$5="成新度","——",M6-O6)</f>
        <v>——</v>
      </c>
      <c r="Q6" s="78">
        <v>0.2</v>
      </c>
      <c r="R6" s="66">
        <f ca="1">SUMIF('数据-汇总表'!C$19:C$33,A6,'数据-汇总表'!R$19:R$27)</f>
        <v>0</v>
      </c>
      <c r="S6" s="49">
        <f>IF('数据-汇总表'!$I$17="按面积比例",SUMIF('数据-汇总表'!C$19:C$33,A6,'数据-汇总表'!K$19:K$33),SUMIF('数据-汇总表'!C$19:C$33,A6,'数据-汇总表'!N$19:N$33))</f>
        <v>0</v>
      </c>
      <c r="T6" s="1086">
        <f>ROUND($L$14*S6/10000,0)</f>
        <v>0</v>
      </c>
      <c r="U6" s="3121">
        <v>10</v>
      </c>
      <c r="V6" s="67">
        <v>0.02</v>
      </c>
      <c r="W6" s="67">
        <v>0.1</v>
      </c>
      <c r="X6" s="973"/>
      <c r="Y6" s="68">
        <f>N6</f>
        <v>0.77</v>
      </c>
      <c r="Z6" s="69"/>
      <c r="AA6" s="63"/>
      <c r="AB6" s="63"/>
      <c r="AC6" s="973"/>
      <c r="AD6" s="70"/>
      <c r="AE6" s="974">
        <f ca="1">IF(AN6="",0,SUMIF(INDIRECT("'"&amp;AN6&amp;"'"&amp;"!E:E"),$AE$5,INDIRECT("'"&amp;AN6&amp;"'"&amp;"!F:F")))</f>
        <v>24</v>
      </c>
      <c r="AF6" s="74"/>
      <c r="AG6" s="130">
        <f>IF(AF6="",0,AE6-AF6)</f>
        <v>0</v>
      </c>
      <c r="AH6" s="71"/>
      <c r="AI6" s="73">
        <v>365</v>
      </c>
      <c r="AJ6" s="74"/>
      <c r="AK6" s="75">
        <v>2E-3</v>
      </c>
      <c r="AL6" s="76">
        <v>1E-3</v>
      </c>
      <c r="AM6" s="77">
        <v>0.01</v>
      </c>
      <c r="AN6" s="1583" t="s">
        <v>3547</v>
      </c>
      <c r="AO6" s="50">
        <f ca="1">SUMIF(INDIRECT("'"&amp;AN6&amp;"'"&amp;"!A:A"),"总价",INDIRECT("'"&amp;AN6&amp;"'"&amp;"!B:B"))</f>
        <v>2661.3472000000002</v>
      </c>
      <c r="AP6" s="1584">
        <f>IF(C6="住宅",K6*L6,0)</f>
        <v>0</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3243" t="str">
        <f>'数据-汇总表'!C20</f>
        <v>39-14</v>
      </c>
      <c r="B7" s="1581" t="str">
        <f t="shared" ref="B7:B13" si="1">IF(A7=0,"","经营性")</f>
        <v>经营性</v>
      </c>
      <c r="C7" s="1582" t="s">
        <v>669</v>
      </c>
      <c r="D7" s="3244">
        <f>SUMIF(项目基本情况!C$12:I$12,C7,项目基本情况!C$14:I$14)</f>
        <v>40</v>
      </c>
      <c r="E7" s="3245">
        <f>IF(B7="","",SUMIF(项目基本情况!C$12:I$12,C7,项目基本情况!C$13:I$13))</f>
        <v>54634</v>
      </c>
      <c r="F7" s="61">
        <f>SUMIF(项目基本情况!C$12:I$12,C7,项目基本情况!C$15:I$15)</f>
        <v>24</v>
      </c>
      <c r="G7" s="62">
        <f t="shared" ref="G7:G11" si="2">IF(ISERROR(ROUND(POWER(1+H7,D7-F7)*(POWER(1+H7,F7)-1)/(POWER(1+H7,D7)-1),3)),0,ROUND(POWER(1+H7,D7-F7)*(POWER(1+H7,F7)-1)/(POWER(1+H7,D7)-1),3))</f>
        <v>0.80400000000000005</v>
      </c>
      <c r="H7" s="3246">
        <v>0.05</v>
      </c>
      <c r="I7" s="3246">
        <v>5.5E-2</v>
      </c>
      <c r="J7" s="63">
        <v>7.0000000000000007E-2</v>
      </c>
      <c r="K7" s="66">
        <f>SUMIF('数据-汇总表'!C$19:C$33,A7,'数据-汇总表'!E$19:E$33)</f>
        <v>344.81</v>
      </c>
      <c r="L7" s="79">
        <v>4500</v>
      </c>
      <c r="M7" s="64">
        <f t="shared" si="0"/>
        <v>155</v>
      </c>
      <c r="N7" s="80">
        <f t="shared" ref="N7:N9" si="3">ROUND(1-(2025-2011)/60,2)</f>
        <v>0.77</v>
      </c>
      <c r="O7" s="64" t="str">
        <f t="shared" ref="O7:O14" si="4">IF($N$5="成新度","——",ROUND(M7*N7,0))</f>
        <v>——</v>
      </c>
      <c r="P7" s="65" t="str">
        <f t="shared" ref="P7:P14" si="5">IF($N$5="成新度","——",M7-O7)</f>
        <v>——</v>
      </c>
      <c r="Q7" s="78">
        <v>0.2</v>
      </c>
      <c r="R7" s="66">
        <f ca="1">SUMIF('数据-汇总表'!C$19:C$33,A7,'数据-汇总表'!R$19:R$27)</f>
        <v>0</v>
      </c>
      <c r="S7" s="49">
        <f>IF('数据-汇总表'!$I$17="按面积比例",SUMIF('数据-汇总表'!C$19:C$33,A7,'数据-汇总表'!K$19:K$33),SUMIF('数据-汇总表'!C$19:C$33,A7,'数据-汇总表'!N$19:N$33))</f>
        <v>0</v>
      </c>
      <c r="T7" s="1086">
        <f t="shared" ref="T7:T13" si="6">ROUND($L$14*S7/10000,0)</f>
        <v>0</v>
      </c>
      <c r="U7" s="3121"/>
      <c r="V7" s="67"/>
      <c r="W7" s="67"/>
      <c r="X7" s="973"/>
      <c r="Y7" s="68"/>
      <c r="Z7" s="69"/>
      <c r="AA7" s="63"/>
      <c r="AB7" s="63"/>
      <c r="AC7" s="973"/>
      <c r="AD7" s="70"/>
      <c r="AE7" s="974">
        <f t="shared" ref="AE7:AE13" ca="1" si="7">IF(AN7="",0,SUMIF(INDIRECT("'"&amp;AN7&amp;"'"&amp;"!E:E"),$AE$5,INDIRECT("'"&amp;AN7&amp;"'"&amp;"!F:F")))</f>
        <v>0</v>
      </c>
      <c r="AF7" s="74"/>
      <c r="AG7" s="130">
        <f t="shared" ref="AG7:AG13" si="8">IF(AF7="",0,AE7-AF7)</f>
        <v>0</v>
      </c>
      <c r="AH7" s="71"/>
      <c r="AI7" s="73"/>
      <c r="AJ7" s="74"/>
      <c r="AK7" s="75"/>
      <c r="AL7" s="76"/>
      <c r="AM7" s="77"/>
      <c r="AN7" s="1583"/>
      <c r="AO7" s="50" t="e">
        <f t="shared" ref="AO7:AO13" ca="1" si="9">SUMIF(INDIRECT("'"&amp;AN7&amp;"'"&amp;"!A:A"),"总价",INDIRECT("'"&amp;AN7&amp;"'"&amp;"!B:B"))</f>
        <v>#REF!</v>
      </c>
      <c r="AP7" s="1584">
        <f t="shared" ref="AP7:AP13" si="10">IF(C7="住宅",K7*L7,0)</f>
        <v>0</v>
      </c>
      <c r="AQ7" s="50">
        <f t="shared" ref="AQ7:AQ13" si="11">ROUND($L$14*$N$14*S7/10000,0)</f>
        <v>0</v>
      </c>
      <c r="AR7" s="50">
        <f t="shared" ref="AR7:AR13" si="12">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3243">
        <f>'数据-汇总表'!C21</f>
        <v>203</v>
      </c>
      <c r="B8" s="1581" t="str">
        <f t="shared" si="1"/>
        <v>经营性</v>
      </c>
      <c r="C8" s="1582" t="s">
        <v>669</v>
      </c>
      <c r="D8" s="3244">
        <f>SUMIF(项目基本情况!C$12:I$12,C8,项目基本情况!C$14:I$14)</f>
        <v>40</v>
      </c>
      <c r="E8" s="3245">
        <f>IF(B8="","",SUMIF(项目基本情况!C$12:I$12,C8,项目基本情况!C$13:I$13))</f>
        <v>54634</v>
      </c>
      <c r="F8" s="61">
        <f>SUMIF(项目基本情况!C$12:I$12,C8,项目基本情况!C$15:I$15)</f>
        <v>24</v>
      </c>
      <c r="G8" s="62">
        <f t="shared" si="2"/>
        <v>0.80400000000000005</v>
      </c>
      <c r="H8" s="3246">
        <v>0.05</v>
      </c>
      <c r="I8" s="3246">
        <v>5.5E-2</v>
      </c>
      <c r="J8" s="63">
        <v>7.0000000000000007E-2</v>
      </c>
      <c r="K8" s="66">
        <f>SUMIF('数据-汇总表'!C$19:C$33,A8,'数据-汇总表'!E$19:E$33)</f>
        <v>1608.26</v>
      </c>
      <c r="L8" s="79">
        <v>4500</v>
      </c>
      <c r="M8" s="64">
        <f>ROUND(K8*L8/10000,0)</f>
        <v>724</v>
      </c>
      <c r="N8" s="80">
        <f t="shared" si="3"/>
        <v>0.77</v>
      </c>
      <c r="O8" s="64" t="str">
        <f t="shared" si="4"/>
        <v>——</v>
      </c>
      <c r="P8" s="65" t="str">
        <f t="shared" si="5"/>
        <v>——</v>
      </c>
      <c r="Q8" s="78">
        <v>0.15</v>
      </c>
      <c r="R8" s="66">
        <f ca="1">SUMIF('数据-汇总表'!C$19:C$33,A8,'数据-汇总表'!R$19:R$27)</f>
        <v>0</v>
      </c>
      <c r="S8" s="49">
        <f>IF('数据-汇总表'!$I$17="按面积比例",SUMIF('数据-汇总表'!C$19:C$33,A8,'数据-汇总表'!K$19:K$33),SUMIF('数据-汇总表'!C$19:C$33,A8,'数据-汇总表'!N$19:N$33))</f>
        <v>0</v>
      </c>
      <c r="T8" s="1086">
        <f t="shared" si="6"/>
        <v>0</v>
      </c>
      <c r="U8" s="3121">
        <v>4.5999999999999996</v>
      </c>
      <c r="V8" s="67">
        <v>0.02</v>
      </c>
      <c r="W8" s="67">
        <v>0.1</v>
      </c>
      <c r="X8" s="973"/>
      <c r="Y8" s="68">
        <f>N8</f>
        <v>0.77</v>
      </c>
      <c r="Z8" s="69"/>
      <c r="AA8" s="63"/>
      <c r="AB8" s="63"/>
      <c r="AC8" s="973"/>
      <c r="AD8" s="70"/>
      <c r="AE8" s="974">
        <f t="shared" ca="1" si="7"/>
        <v>24</v>
      </c>
      <c r="AF8" s="74"/>
      <c r="AG8" s="130">
        <f t="shared" si="8"/>
        <v>0</v>
      </c>
      <c r="AH8" s="71"/>
      <c r="AI8" s="73">
        <v>365</v>
      </c>
      <c r="AJ8" s="74"/>
      <c r="AK8" s="75">
        <v>2E-3</v>
      </c>
      <c r="AL8" s="76">
        <v>1E-3</v>
      </c>
      <c r="AM8" s="77">
        <v>0.01</v>
      </c>
      <c r="AN8" s="1583" t="s">
        <v>3543</v>
      </c>
      <c r="AO8" s="50">
        <f t="shared" ca="1" si="9"/>
        <v>3201.9983999999999</v>
      </c>
      <c r="AP8" s="1584">
        <f t="shared" si="10"/>
        <v>0</v>
      </c>
      <c r="AQ8" s="50">
        <f t="shared" si="11"/>
        <v>0</v>
      </c>
      <c r="AR8" s="50">
        <f t="shared" si="12"/>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3243">
        <f>'数据-汇总表'!C22</f>
        <v>303</v>
      </c>
      <c r="B9" s="1581" t="str">
        <f t="shared" si="1"/>
        <v>经营性</v>
      </c>
      <c r="C9" s="1582" t="s">
        <v>669</v>
      </c>
      <c r="D9" s="3244">
        <f>SUMIF(项目基本情况!C$12:I$12,C9,项目基本情况!C$14:I$14)</f>
        <v>40</v>
      </c>
      <c r="E9" s="3245">
        <f>IF(B9="","",SUMIF(项目基本情况!C$12:I$12,C9,项目基本情况!C$13:I$13))</f>
        <v>54634</v>
      </c>
      <c r="F9" s="61">
        <f>SUMIF(项目基本情况!C$12:I$12,C9,项目基本情况!C$15:I$15)</f>
        <v>24</v>
      </c>
      <c r="G9" s="62">
        <f t="shared" si="2"/>
        <v>0.80400000000000005</v>
      </c>
      <c r="H9" s="3246">
        <v>0.05</v>
      </c>
      <c r="I9" s="3246">
        <v>5.5E-2</v>
      </c>
      <c r="J9" s="63">
        <v>7.0000000000000007E-2</v>
      </c>
      <c r="K9" s="66">
        <f>SUMIF('数据-汇总表'!C$19:C$33,A9,'数据-汇总表'!E$19:E$33)</f>
        <v>1608.26</v>
      </c>
      <c r="L9" s="79">
        <v>4500</v>
      </c>
      <c r="M9" s="64">
        <f t="shared" si="0"/>
        <v>724</v>
      </c>
      <c r="N9" s="80">
        <f t="shared" si="3"/>
        <v>0.77</v>
      </c>
      <c r="O9" s="64" t="str">
        <f t="shared" si="4"/>
        <v>——</v>
      </c>
      <c r="P9" s="65" t="str">
        <f t="shared" si="5"/>
        <v>——</v>
      </c>
      <c r="Q9" s="78">
        <v>0.15</v>
      </c>
      <c r="R9" s="66">
        <f ca="1">SUMIF('数据-汇总表'!C$19:C$33,A9,'数据-汇总表'!R$19:R$27)</f>
        <v>0</v>
      </c>
      <c r="S9" s="49">
        <f>IF('数据-汇总表'!$I$17="按面积比例",SUMIF('数据-汇总表'!C$19:C$33,A9,'数据-汇总表'!K$19:K$33),SUMIF('数据-汇总表'!C$19:C$33,A9,'数据-汇总表'!N$19:N$33))</f>
        <v>0</v>
      </c>
      <c r="T9" s="1086">
        <f t="shared" si="6"/>
        <v>0</v>
      </c>
      <c r="U9" s="3121">
        <v>4.5999999999999996</v>
      </c>
      <c r="V9" s="67">
        <v>0.02</v>
      </c>
      <c r="W9" s="67">
        <v>0.1</v>
      </c>
      <c r="X9" s="973"/>
      <c r="Y9" s="68">
        <f>N9</f>
        <v>0.77</v>
      </c>
      <c r="Z9" s="69"/>
      <c r="AA9" s="63"/>
      <c r="AB9" s="63"/>
      <c r="AC9" s="973"/>
      <c r="AD9" s="70"/>
      <c r="AE9" s="974">
        <f t="shared" ca="1" si="7"/>
        <v>24</v>
      </c>
      <c r="AF9" s="74"/>
      <c r="AG9" s="130">
        <f t="shared" si="8"/>
        <v>0</v>
      </c>
      <c r="AH9" s="71"/>
      <c r="AI9" s="73">
        <v>365</v>
      </c>
      <c r="AJ9" s="74"/>
      <c r="AK9" s="75">
        <v>2E-3</v>
      </c>
      <c r="AL9" s="76">
        <v>1E-3</v>
      </c>
      <c r="AM9" s="77">
        <v>0.01</v>
      </c>
      <c r="AN9" s="1583" t="s">
        <v>3545</v>
      </c>
      <c r="AO9" s="50">
        <f t="shared" ca="1" si="9"/>
        <v>3201.9983999999999</v>
      </c>
      <c r="AP9" s="1584">
        <f t="shared" si="10"/>
        <v>0</v>
      </c>
      <c r="AQ9" s="50">
        <f t="shared" si="11"/>
        <v>0</v>
      </c>
      <c r="AR9" s="50">
        <f t="shared" si="12"/>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hidden="1">
      <c r="A10" s="1580">
        <f>'数据-汇总表'!C23</f>
        <v>0</v>
      </c>
      <c r="B10" s="1581" t="str">
        <f t="shared" si="1"/>
        <v/>
      </c>
      <c r="C10" s="1582"/>
      <c r="D10" s="799">
        <f>SUMIF(项目基本情况!C$12:I$12,C10,项目基本情况!C$14:I$14)</f>
        <v>0</v>
      </c>
      <c r="E10" s="798" t="str">
        <f>IF(B10="","",SUMIF(项目基本情况!C$12:I$12,C10,项目基本情况!C$13:I$13))</f>
        <v/>
      </c>
      <c r="F10" s="61">
        <f>SUMIF(项目基本情况!C$12:I$12,C10,项目基本情况!C$15:I$15)</f>
        <v>0</v>
      </c>
      <c r="G10" s="62">
        <f t="shared" si="2"/>
        <v>0</v>
      </c>
      <c r="H10" s="63"/>
      <c r="I10" s="63"/>
      <c r="J10" s="63"/>
      <c r="K10" s="964">
        <f>SUMIF('数据-汇总表'!C$19:C$33,A10,'数据-汇总表'!E$19:E$33)</f>
        <v>0</v>
      </c>
      <c r="L10" s="691"/>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86">
        <f t="shared" si="6"/>
        <v>0</v>
      </c>
      <c r="U10" s="3121"/>
      <c r="V10" s="67"/>
      <c r="W10" s="67"/>
      <c r="X10" s="973"/>
      <c r="Y10" s="68"/>
      <c r="Z10" s="69"/>
      <c r="AA10" s="63"/>
      <c r="AB10" s="63"/>
      <c r="AC10" s="973"/>
      <c r="AD10" s="70"/>
      <c r="AE10" s="974">
        <f t="shared" ca="1" si="7"/>
        <v>0</v>
      </c>
      <c r="AF10" s="74"/>
      <c r="AG10" s="130">
        <f t="shared" si="8"/>
        <v>0</v>
      </c>
      <c r="AH10" s="71"/>
      <c r="AI10" s="73"/>
      <c r="AJ10" s="74"/>
      <c r="AK10" s="75"/>
      <c r="AL10" s="76"/>
      <c r="AM10" s="77"/>
      <c r="AN10" s="1583"/>
      <c r="AO10" s="50" t="e">
        <f t="shared" ca="1" si="9"/>
        <v>#REF!</v>
      </c>
      <c r="AP10" s="1584">
        <f t="shared" si="10"/>
        <v>0</v>
      </c>
      <c r="AQ10" s="50">
        <f t="shared" si="11"/>
        <v>0</v>
      </c>
      <c r="AR10" s="50">
        <f t="shared" si="12"/>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hidden="1">
      <c r="A11" s="1580">
        <f>'数据-汇总表'!C24</f>
        <v>0</v>
      </c>
      <c r="B11" s="1581" t="str">
        <f t="shared" si="1"/>
        <v/>
      </c>
      <c r="C11" s="1582"/>
      <c r="D11" s="799">
        <f>SUMIF(项目基本情况!C$12:I$12,C11,项目基本情况!C$14:I$14)</f>
        <v>0</v>
      </c>
      <c r="E11" s="798" t="str">
        <f>IF(B11="","",SUMIF(项目基本情况!C$12:I$12,C11,项目基本情况!C$13:I$13))</f>
        <v/>
      </c>
      <c r="F11" s="61">
        <f>SUMIF(项目基本情况!C$12:I$12,C11,项目基本情况!C$15:I$15)</f>
        <v>0</v>
      </c>
      <c r="G11" s="62">
        <f t="shared" si="2"/>
        <v>0</v>
      </c>
      <c r="H11" s="63"/>
      <c r="I11" s="63"/>
      <c r="J11" s="63"/>
      <c r="K11" s="964">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86">
        <f t="shared" si="6"/>
        <v>0</v>
      </c>
      <c r="U11" s="3121"/>
      <c r="V11" s="63"/>
      <c r="W11" s="63"/>
      <c r="X11" s="973"/>
      <c r="Y11" s="68"/>
      <c r="Z11" s="81"/>
      <c r="AA11" s="63"/>
      <c r="AB11" s="63"/>
      <c r="AC11" s="973"/>
      <c r="AD11" s="70"/>
      <c r="AE11" s="974">
        <f t="shared" ca="1" si="7"/>
        <v>0</v>
      </c>
      <c r="AF11" s="74"/>
      <c r="AG11" s="130">
        <f t="shared" si="8"/>
        <v>0</v>
      </c>
      <c r="AH11" s="71"/>
      <c r="AI11" s="73"/>
      <c r="AJ11" s="74"/>
      <c r="AK11" s="75"/>
      <c r="AL11" s="76"/>
      <c r="AM11" s="77"/>
      <c r="AN11" s="1583"/>
      <c r="AO11" s="50" t="e">
        <f t="shared" ca="1" si="9"/>
        <v>#REF!</v>
      </c>
      <c r="AP11" s="1584">
        <f t="shared" si="10"/>
        <v>0</v>
      </c>
      <c r="AQ11" s="50">
        <f t="shared" si="11"/>
        <v>0</v>
      </c>
      <c r="AR11" s="50">
        <f t="shared" si="12"/>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hidden="1">
      <c r="A12" s="1580">
        <f>'数据-汇总表'!C25</f>
        <v>0</v>
      </c>
      <c r="B12" s="1581" t="str">
        <f t="shared" si="1"/>
        <v/>
      </c>
      <c r="C12" s="1582"/>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4">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86">
        <f t="shared" si="6"/>
        <v>0</v>
      </c>
      <c r="U12" s="3121"/>
      <c r="V12" s="63"/>
      <c r="W12" s="63"/>
      <c r="X12" s="973"/>
      <c r="Y12" s="68"/>
      <c r="Z12" s="81"/>
      <c r="AA12" s="63"/>
      <c r="AB12" s="63"/>
      <c r="AC12" s="973"/>
      <c r="AD12" s="70"/>
      <c r="AE12" s="974">
        <f t="shared" ca="1" si="7"/>
        <v>0</v>
      </c>
      <c r="AF12" s="74"/>
      <c r="AG12" s="130">
        <f t="shared" si="8"/>
        <v>0</v>
      </c>
      <c r="AH12" s="71"/>
      <c r="AI12" s="73"/>
      <c r="AJ12" s="74"/>
      <c r="AK12" s="75"/>
      <c r="AL12" s="76"/>
      <c r="AM12" s="77"/>
      <c r="AN12" s="1583"/>
      <c r="AO12" s="50" t="e">
        <f t="shared" ca="1" si="9"/>
        <v>#REF!</v>
      </c>
      <c r="AP12" s="1584">
        <f t="shared" si="10"/>
        <v>0</v>
      </c>
      <c r="AQ12" s="50">
        <f t="shared" si="11"/>
        <v>0</v>
      </c>
      <c r="AR12" s="50">
        <f t="shared" si="12"/>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hidden="1">
      <c r="A13" s="1580">
        <f>'数据-汇总表'!C26</f>
        <v>0</v>
      </c>
      <c r="B13" s="1581" t="str">
        <f t="shared" si="1"/>
        <v/>
      </c>
      <c r="C13" s="1582"/>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4">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86">
        <f t="shared" si="6"/>
        <v>0</v>
      </c>
      <c r="U13" s="3122"/>
      <c r="V13" s="67"/>
      <c r="W13" s="67"/>
      <c r="X13" s="973"/>
      <c r="Y13" s="68"/>
      <c r="Z13" s="69"/>
      <c r="AA13" s="63"/>
      <c r="AB13" s="63"/>
      <c r="AC13" s="973"/>
      <c r="AD13" s="70"/>
      <c r="AE13" s="974">
        <f t="shared" ca="1" si="7"/>
        <v>0</v>
      </c>
      <c r="AF13" s="74"/>
      <c r="AG13" s="130">
        <f t="shared" si="8"/>
        <v>0</v>
      </c>
      <c r="AH13" s="71"/>
      <c r="AI13" s="73"/>
      <c r="AJ13" s="74"/>
      <c r="AK13" s="75"/>
      <c r="AL13" s="76"/>
      <c r="AM13" s="77"/>
      <c r="AN13" s="1583"/>
      <c r="AO13" s="50" t="e">
        <f t="shared" ca="1" si="9"/>
        <v>#REF!</v>
      </c>
      <c r="AP13" s="1584">
        <f t="shared" si="10"/>
        <v>0</v>
      </c>
      <c r="AQ13" s="50">
        <f t="shared" si="11"/>
        <v>0</v>
      </c>
      <c r="AR13" s="50">
        <f t="shared" si="12"/>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c r="A14" s="1585" t="s">
        <v>1201</v>
      </c>
      <c r="B14" s="1581" t="s">
        <v>1202</v>
      </c>
      <c r="C14" s="1586" t="s">
        <v>1201</v>
      </c>
      <c r="D14" s="799"/>
      <c r="E14" s="798"/>
      <c r="F14" s="61"/>
      <c r="G14" s="62"/>
      <c r="H14" s="963"/>
      <c r="I14" s="963"/>
      <c r="J14" s="963"/>
      <c r="K14" s="964">
        <f>SUMIF('数据-汇总表'!C$19:C$33,A14,'数据-汇总表'!E$19:E$33)</f>
        <v>0</v>
      </c>
      <c r="L14" s="79"/>
      <c r="M14" s="64">
        <f t="shared" si="0"/>
        <v>0</v>
      </c>
      <c r="N14" s="80"/>
      <c r="O14" s="64" t="str">
        <f t="shared" si="4"/>
        <v>——</v>
      </c>
      <c r="P14" s="65" t="str">
        <f t="shared" si="5"/>
        <v>——</v>
      </c>
      <c r="Q14" s="967"/>
      <c r="R14" s="66"/>
      <c r="S14" s="49"/>
      <c r="T14" s="1086"/>
      <c r="U14" s="637"/>
      <c r="V14" s="969"/>
      <c r="W14" s="969"/>
      <c r="X14" s="970"/>
      <c r="Y14" s="971"/>
      <c r="Z14" s="54"/>
      <c r="AA14" s="972"/>
      <c r="AB14" s="972"/>
      <c r="AC14" s="973"/>
      <c r="AD14" s="970"/>
      <c r="AE14" s="974"/>
      <c r="AF14" s="50"/>
      <c r="AG14" s="130"/>
      <c r="AH14" s="974"/>
      <c r="AI14" s="1260"/>
      <c r="AJ14" s="50"/>
      <c r="AK14" s="975"/>
      <c r="AL14" s="976"/>
      <c r="AM14" s="977"/>
      <c r="AN14" s="2443"/>
      <c r="AO14" s="2433"/>
      <c r="AP14" s="2433"/>
      <c r="AQ14" s="2433"/>
      <c r="AR14" s="2433"/>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1203</v>
      </c>
      <c r="B15" s="1581" t="s">
        <v>1202</v>
      </c>
      <c r="C15" s="1586" t="s">
        <v>1204</v>
      </c>
      <c r="D15" s="799"/>
      <c r="E15" s="798"/>
      <c r="F15" s="61"/>
      <c r="G15" s="62"/>
      <c r="H15" s="963"/>
      <c r="I15" s="963"/>
      <c r="J15" s="963"/>
      <c r="K15" s="964">
        <f>SUMIF('数据-汇总表'!C$19:C$33,A15,'数据-汇总表'!E$19:E$33)</f>
        <v>0</v>
      </c>
      <c r="L15" s="965"/>
      <c r="M15" s="64"/>
      <c r="N15" s="966"/>
      <c r="O15" s="64"/>
      <c r="P15" s="65"/>
      <c r="Q15" s="967"/>
      <c r="R15" s="66"/>
      <c r="S15" s="49"/>
      <c r="T15" s="1086"/>
      <c r="U15" s="637"/>
      <c r="V15" s="969"/>
      <c r="W15" s="969"/>
      <c r="X15" s="970"/>
      <c r="Y15" s="971"/>
      <c r="Z15" s="54"/>
      <c r="AA15" s="972"/>
      <c r="AB15" s="972"/>
      <c r="AC15" s="973"/>
      <c r="AD15" s="970"/>
      <c r="AE15" s="974"/>
      <c r="AF15" s="50"/>
      <c r="AG15" s="130"/>
      <c r="AH15" s="974"/>
      <c r="AI15" s="1260"/>
      <c r="AJ15" s="50"/>
      <c r="AK15" s="975"/>
      <c r="AL15" s="976"/>
      <c r="AM15" s="977"/>
      <c r="AN15" s="2443"/>
      <c r="AO15" s="2433"/>
      <c r="AP15" s="2433"/>
      <c r="AQ15" s="2433"/>
      <c r="AR15" s="2433"/>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1205</v>
      </c>
      <c r="B16" s="82"/>
      <c r="C16" s="777"/>
      <c r="D16" s="1588"/>
      <c r="E16" s="82"/>
      <c r="F16" s="82"/>
      <c r="G16" s="83">
        <f>ROUND(SUMPRODUCT(G6:G13,K6:K13)/SUMPRODUCT((G6:G13&gt;0)*(K6:K13)),3)</f>
        <v>0.80400000000000005</v>
      </c>
      <c r="H16" s="84">
        <f>ROUND(SUMPRODUCT(H6:H13,K6:K13)/SUMPRODUCT((H6:H13&gt;0)*(K6:K13)),3)</f>
        <v>0.05</v>
      </c>
      <c r="I16" s="85"/>
      <c r="J16" s="85"/>
      <c r="K16" s="86">
        <f>SUM(K6:K15)</f>
        <v>4179.0200000000004</v>
      </c>
      <c r="L16" s="87">
        <f>ROUND(M16*10000/SUM(K6:K14),0)</f>
        <v>4501</v>
      </c>
      <c r="M16" s="87">
        <f>SUM(M6:M14)</f>
        <v>1881</v>
      </c>
      <c r="N16" s="88">
        <f>ROUND(SUMPRODUCT(M6:M14,N6:N14)/M16,3)</f>
        <v>0.77</v>
      </c>
      <c r="O16" s="87">
        <f>SUM(O6:O14)</f>
        <v>0</v>
      </c>
      <c r="P16" s="87">
        <f>SUM(P6:P14)</f>
        <v>0</v>
      </c>
      <c r="Q16" s="89">
        <f>ROUND(SUMPRODUCT(Q6:Q13,K6:K13)/SUMPRODUCT((Q6:Q13&gt;0)*(K6:K13)),2)</f>
        <v>0.16</v>
      </c>
      <c r="R16" s="968">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1206</v>
      </c>
      <c r="B18" s="2455"/>
      <c r="C18" s="2433"/>
      <c r="D18" s="2446"/>
      <c r="E18" s="2433"/>
      <c r="F18" s="2433"/>
      <c r="G18" s="2433"/>
      <c r="H18" s="2433"/>
      <c r="I18" s="2433"/>
      <c r="J18" s="2433"/>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0" t="s">
        <v>1207</v>
      </c>
      <c r="B19" s="97">
        <v>0</v>
      </c>
      <c r="C19" s="2555" t="s">
        <v>2286</v>
      </c>
      <c r="D19" s="2446"/>
      <c r="E19" s="2433"/>
      <c r="F19" s="2433"/>
      <c r="G19" s="2433"/>
      <c r="H19" s="2433"/>
      <c r="I19" s="2433"/>
      <c r="J19" s="2433"/>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1" t="s">
        <v>1208</v>
      </c>
      <c r="B20" s="98">
        <v>2</v>
      </c>
      <c r="C20" s="2556" t="s">
        <v>2284</v>
      </c>
      <c r="D20" s="2446"/>
      <c r="E20" s="2433"/>
      <c r="F20" s="2433"/>
      <c r="G20" s="2433"/>
      <c r="H20" s="2433"/>
      <c r="I20" s="2433"/>
      <c r="J20" s="2433"/>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2" t="s">
        <v>1209</v>
      </c>
      <c r="B21" s="98">
        <v>2</v>
      </c>
      <c r="C21" s="2433"/>
      <c r="D21" s="2446"/>
      <c r="E21" s="2433"/>
      <c r="F21" s="2433"/>
      <c r="G21" s="2433"/>
      <c r="H21" s="2433"/>
      <c r="I21" s="2433"/>
      <c r="J21" s="2433"/>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1" t="s">
        <v>1210</v>
      </c>
      <c r="B22" s="99">
        <f>B19+B20</f>
        <v>2</v>
      </c>
      <c r="C22" s="2433"/>
      <c r="D22" s="2446"/>
      <c r="E22" s="2433"/>
      <c r="F22" s="2433"/>
      <c r="G22" s="2433"/>
      <c r="H22" s="2433"/>
      <c r="I22" s="2433"/>
      <c r="J22" s="2433"/>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2" t="s">
        <v>1211</v>
      </c>
      <c r="B23" s="99">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3" t="s">
        <v>1212</v>
      </c>
      <c r="B24" s="100">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3"/>
      <c r="B25" s="1536"/>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6" t="s">
        <v>1213</v>
      </c>
      <c r="B26" s="1594" t="s">
        <v>1214</v>
      </c>
      <c r="C26" s="2447" t="s">
        <v>1215</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5" t="s">
        <v>1216</v>
      </c>
      <c r="B27" s="101">
        <v>160</v>
      </c>
      <c r="C27" s="2557" t="s">
        <v>2288</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6" t="s">
        <v>1217</v>
      </c>
      <c r="B28" s="103">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597" t="s">
        <v>1218</v>
      </c>
      <c r="B29" s="105"/>
      <c r="C29" s="2558" t="s">
        <v>2278</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598" t="s">
        <v>1219</v>
      </c>
      <c r="B30" s="638">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6" t="s">
        <v>1220</v>
      </c>
      <c r="B31" s="104">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599" t="s">
        <v>1221</v>
      </c>
      <c r="B32" s="639">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5" t="s">
        <v>1222</v>
      </c>
      <c r="B33" s="640">
        <v>0.05</v>
      </c>
      <c r="C33" s="2559" t="s">
        <v>3366</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6" t="s">
        <v>1223</v>
      </c>
      <c r="B34" s="106">
        <v>0</v>
      </c>
      <c r="C34" s="2559" t="s">
        <v>2279</v>
      </c>
      <c r="D34" s="2454" t="s">
        <v>2285</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6" t="s">
        <v>1224</v>
      </c>
      <c r="B35" s="103">
        <v>200</v>
      </c>
      <c r="C35" s="2559" t="s">
        <v>2280</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597" t="s">
        <v>1225</v>
      </c>
      <c r="B36" s="107">
        <v>0.02</v>
      </c>
      <c r="C36" s="2559" t="s">
        <v>3384</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598" t="s">
        <v>1226</v>
      </c>
      <c r="B37" s="108">
        <v>0.02</v>
      </c>
      <c r="C37" s="2559" t="s">
        <v>3367</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6" t="s">
        <v>1227</v>
      </c>
      <c r="B38" s="106">
        <v>0.02</v>
      </c>
      <c r="C38" s="2559" t="s">
        <v>3368</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599" t="s">
        <v>1228</v>
      </c>
      <c r="B39" s="309">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2294</v>
      </c>
      <c r="B40" s="1009">
        <f ca="1">IF(A40="利息：取LPR",存贷款利率!G1,存贷款利率!G1+C40)</f>
        <v>0.03</v>
      </c>
      <c r="C40" s="2567">
        <v>5.0000000000000001E-3</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5" t="s">
        <v>1229</v>
      </c>
      <c r="B41" s="109">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0" t="s">
        <v>1230</v>
      </c>
      <c r="B42" s="110">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0" t="s">
        <v>1231</v>
      </c>
      <c r="B43" s="111">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1" t="s">
        <v>1232</v>
      </c>
      <c r="B44" s="112">
        <v>7.0000000000000007E-2</v>
      </c>
      <c r="C44" s="2559" t="s">
        <v>3369</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1" t="s">
        <v>1233</v>
      </c>
      <c r="B45" s="110">
        <v>0.03</v>
      </c>
      <c r="C45" s="2558" t="s">
        <v>2281</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1" t="s">
        <v>1234</v>
      </c>
      <c r="B46" s="110">
        <v>0.02</v>
      </c>
      <c r="C46" s="2558" t="s">
        <v>2282</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2" t="s">
        <v>1235</v>
      </c>
      <c r="B47" s="113">
        <v>0</v>
      </c>
      <c r="C47" s="2561" t="s">
        <v>2289</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3" t="s">
        <v>1236</v>
      </c>
      <c r="B48" s="114">
        <v>0.03</v>
      </c>
      <c r="C48" s="2558" t="s">
        <v>2281</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599" t="s">
        <v>1237</v>
      </c>
      <c r="B49" s="110">
        <v>5.0000000000000001E-4</v>
      </c>
      <c r="C49" s="2558" t="s">
        <v>2283</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4" t="s">
        <v>1238</v>
      </c>
      <c r="B50" s="115">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597" t="s">
        <v>1239</v>
      </c>
      <c r="B51" s="116">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4" t="s">
        <v>1240</v>
      </c>
      <c r="B52" s="117">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6" t="s">
        <v>1241</v>
      </c>
      <c r="B53" s="1605"/>
      <c r="C53" s="2434" t="s">
        <v>1242</v>
      </c>
      <c r="D53" s="2560" t="s">
        <v>2287</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6" t="s">
        <v>1243</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6" t="s">
        <v>1244</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6" t="s">
        <v>1245</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6" t="s">
        <v>1246</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6" t="s">
        <v>1247</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6" t="s">
        <v>1248</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6" t="s">
        <v>1249</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6" t="s">
        <v>1250</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6" t="s">
        <v>1251</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07" t="s">
        <v>1252</v>
      </c>
      <c r="B63" s="118"/>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08"/>
      <c r="D69" s="1609"/>
      <c r="K69" s="687"/>
      <c r="L69" s="687"/>
    </row>
    <row r="70" spans="1:44" s="684" customFormat="1">
      <c r="A70" s="1608"/>
      <c r="D70" s="1609"/>
      <c r="K70" s="687"/>
      <c r="L70" s="687"/>
    </row>
    <row r="71" spans="1:44" s="684" customFormat="1">
      <c r="A71" s="1608"/>
      <c r="D71" s="1609"/>
      <c r="K71" s="687"/>
      <c r="L71" s="687"/>
    </row>
    <row r="72" spans="1:44" s="684" customFormat="1">
      <c r="A72" s="1608"/>
      <c r="D72" s="1609"/>
      <c r="K72" s="687"/>
      <c r="L72" s="687"/>
    </row>
    <row r="73" spans="1:44" s="684" customFormat="1">
      <c r="A73" s="1608"/>
      <c r="D73" s="1609"/>
      <c r="K73" s="687"/>
      <c r="L73" s="687"/>
    </row>
    <row r="74" spans="1:44" s="684" customFormat="1">
      <c r="A74" s="1608"/>
      <c r="D74" s="1609"/>
      <c r="K74" s="687"/>
      <c r="L74" s="687"/>
    </row>
    <row r="75" spans="1:44" s="684" customFormat="1">
      <c r="A75" s="1608"/>
      <c r="D75" s="1609"/>
      <c r="K75" s="687"/>
      <c r="L75" s="687"/>
    </row>
    <row r="76" spans="1:44" s="684" customFormat="1">
      <c r="A76" s="1608"/>
      <c r="D76" s="1609"/>
      <c r="K76" s="687"/>
      <c r="L76" s="687"/>
    </row>
    <row r="77" spans="1:44" s="684" customFormat="1">
      <c r="A77" s="1608"/>
      <c r="D77" s="1609"/>
      <c r="K77" s="687"/>
      <c r="L77" s="687"/>
    </row>
    <row r="78" spans="1:44" s="684" customFormat="1">
      <c r="A78" s="1608"/>
      <c r="D78" s="1609"/>
      <c r="K78" s="687"/>
      <c r="L78" s="687"/>
    </row>
    <row r="79" spans="1:44" s="684" customFormat="1">
      <c r="A79" s="1608"/>
      <c r="D79" s="1609"/>
      <c r="K79" s="687"/>
      <c r="L79" s="687"/>
    </row>
    <row r="80" spans="1:44" s="684" customFormat="1">
      <c r="A80" s="1608"/>
      <c r="D80" s="1609"/>
      <c r="K80" s="687"/>
      <c r="L80" s="687"/>
    </row>
    <row r="81" spans="1:12" s="684" customFormat="1">
      <c r="A81" s="1608"/>
      <c r="D81" s="1609"/>
      <c r="K81" s="687"/>
      <c r="L81" s="687"/>
    </row>
    <row r="82" spans="1:12" s="684" customFormat="1">
      <c r="A82" s="1608"/>
      <c r="D82" s="1609"/>
      <c r="K82" s="687"/>
      <c r="L82" s="687"/>
    </row>
    <row r="83" spans="1:12" s="684" customFormat="1">
      <c r="A83" s="1608"/>
      <c r="D83" s="1609"/>
      <c r="K83" s="687"/>
      <c r="L83" s="687"/>
    </row>
    <row r="84" spans="1:12" s="684" customFormat="1">
      <c r="A84" s="1608"/>
      <c r="D84" s="1609"/>
      <c r="K84" s="687"/>
      <c r="L84" s="687"/>
    </row>
    <row r="85" spans="1:12" s="684" customFormat="1">
      <c r="A85" s="1608"/>
      <c r="D85" s="1609"/>
      <c r="K85" s="687"/>
      <c r="L85" s="687"/>
    </row>
    <row r="86" spans="1:12" s="684" customFormat="1">
      <c r="A86" s="1608"/>
      <c r="D86" s="1609"/>
      <c r="K86" s="687"/>
      <c r="L86" s="687"/>
    </row>
    <row r="87" spans="1:12" s="684" customFormat="1">
      <c r="A87" s="1608"/>
      <c r="D87" s="1609"/>
      <c r="K87" s="687"/>
      <c r="L87" s="687"/>
    </row>
    <row r="88" spans="1:12" s="684" customFormat="1">
      <c r="A88" s="1608"/>
      <c r="D88" s="1609"/>
      <c r="K88" s="687"/>
      <c r="L88" s="687"/>
    </row>
    <row r="89" spans="1:12" s="684" customFormat="1">
      <c r="A89" s="1608"/>
      <c r="D89" s="1609"/>
      <c r="K89" s="687"/>
      <c r="L89" s="687"/>
    </row>
    <row r="90" spans="1:12" s="684" customFormat="1">
      <c r="A90" s="1608"/>
      <c r="D90" s="1609"/>
      <c r="K90" s="687"/>
      <c r="L90" s="687"/>
    </row>
    <row r="91" spans="1:12" s="684" customFormat="1">
      <c r="A91" s="1608"/>
      <c r="D91" s="1609"/>
      <c r="K91" s="687"/>
      <c r="L91" s="687"/>
    </row>
    <row r="92" spans="1:12" s="684" customFormat="1">
      <c r="A92" s="1608"/>
      <c r="D92" s="1609"/>
      <c r="K92" s="687"/>
      <c r="L92" s="687"/>
    </row>
    <row r="93" spans="1:12" s="684" customFormat="1">
      <c r="A93" s="1608"/>
      <c r="D93" s="1609"/>
      <c r="K93" s="687"/>
      <c r="L93" s="687"/>
    </row>
    <row r="94" spans="1:12" s="684" customFormat="1">
      <c r="A94" s="1608"/>
      <c r="D94" s="1609"/>
      <c r="K94" s="687"/>
      <c r="L94" s="687"/>
    </row>
    <row r="95" spans="1:12" s="684" customFormat="1">
      <c r="A95" s="1608"/>
      <c r="D95" s="1609"/>
      <c r="K95" s="687"/>
      <c r="L95" s="687"/>
    </row>
    <row r="96" spans="1:12" s="684" customFormat="1">
      <c r="A96" s="1608"/>
      <c r="D96" s="1609"/>
      <c r="K96" s="687"/>
      <c r="L96" s="687"/>
    </row>
    <row r="97" spans="1:12" s="684" customFormat="1">
      <c r="A97" s="1608"/>
      <c r="D97" s="1609"/>
      <c r="K97" s="687"/>
      <c r="L97" s="687"/>
    </row>
    <row r="98" spans="1:12" s="684" customFormat="1">
      <c r="A98" s="1608"/>
      <c r="D98" s="1609"/>
      <c r="K98" s="687"/>
      <c r="L98" s="687"/>
    </row>
    <row r="99" spans="1:12" s="684" customFormat="1">
      <c r="A99" s="1608"/>
      <c r="D99" s="1609"/>
      <c r="K99" s="687"/>
      <c r="L99" s="687"/>
    </row>
    <row r="100" spans="1:12" s="684" customFormat="1">
      <c r="A100" s="1608"/>
      <c r="D100" s="1609"/>
      <c r="K100" s="687"/>
      <c r="L100" s="687"/>
    </row>
    <row r="101" spans="1:12" s="684" customFormat="1">
      <c r="A101" s="1608"/>
      <c r="D101" s="1609"/>
      <c r="K101" s="687"/>
      <c r="L101" s="687"/>
    </row>
    <row r="102" spans="1:12" s="684" customFormat="1">
      <c r="A102" s="1608"/>
      <c r="D102" s="1609"/>
      <c r="K102" s="687"/>
      <c r="L102" s="687"/>
    </row>
    <row r="103" spans="1:12" s="684" customFormat="1">
      <c r="A103" s="1608"/>
      <c r="D103" s="1609"/>
      <c r="K103" s="687"/>
      <c r="L103" s="687"/>
    </row>
    <row r="104" spans="1:12" s="684" customFormat="1">
      <c r="A104" s="1608"/>
      <c r="D104" s="1609"/>
      <c r="K104" s="687"/>
      <c r="L104" s="687"/>
    </row>
    <row r="105" spans="1:12" s="684" customFormat="1">
      <c r="A105" s="1608"/>
      <c r="D105" s="1609"/>
      <c r="K105" s="687"/>
      <c r="L105" s="687"/>
    </row>
    <row r="106" spans="1:12" s="684" customFormat="1">
      <c r="A106" s="1608"/>
      <c r="D106" s="1609"/>
      <c r="K106" s="687"/>
      <c r="L106" s="687"/>
    </row>
    <row r="107" spans="1:12" s="684" customFormat="1">
      <c r="A107" s="1608"/>
      <c r="D107" s="1609"/>
      <c r="K107" s="687"/>
      <c r="L107" s="687"/>
    </row>
    <row r="108" spans="1:12" s="684" customFormat="1">
      <c r="A108" s="1608"/>
      <c r="D108" s="1609"/>
      <c r="K108" s="687"/>
      <c r="L108" s="687"/>
    </row>
    <row r="109" spans="1:12" s="684" customFormat="1">
      <c r="A109" s="1608"/>
      <c r="D109" s="1609"/>
      <c r="K109" s="687"/>
      <c r="L109" s="687"/>
    </row>
    <row r="110" spans="1:12" s="684" customFormat="1">
      <c r="A110" s="1608"/>
      <c r="D110" s="1609"/>
      <c r="K110" s="687"/>
      <c r="L110" s="687"/>
    </row>
    <row r="111" spans="1:12" s="684" customFormat="1">
      <c r="A111" s="1608"/>
      <c r="D111" s="1609"/>
      <c r="K111" s="687"/>
      <c r="L111" s="687"/>
    </row>
    <row r="112" spans="1:12" s="684" customFormat="1">
      <c r="A112" s="1608"/>
      <c r="D112" s="1609"/>
      <c r="K112" s="687"/>
      <c r="L112" s="687"/>
    </row>
    <row r="113" spans="1:12" s="684" customFormat="1">
      <c r="A113" s="1608"/>
      <c r="D113" s="1609"/>
      <c r="K113" s="687"/>
      <c r="L113" s="687"/>
    </row>
    <row r="114" spans="1:12" s="684" customFormat="1">
      <c r="A114" s="1608"/>
      <c r="D114" s="1609"/>
      <c r="K114" s="687"/>
      <c r="L114" s="687"/>
    </row>
    <row r="115" spans="1:12" s="684" customFormat="1">
      <c r="A115" s="1608"/>
      <c r="D115" s="1609"/>
      <c r="K115" s="687"/>
      <c r="L115" s="687"/>
    </row>
    <row r="116" spans="1:12" s="684" customFormat="1">
      <c r="A116" s="1608"/>
      <c r="D116" s="1609"/>
      <c r="K116" s="687"/>
      <c r="L116" s="687"/>
    </row>
    <row r="117" spans="1:12" s="684" customFormat="1">
      <c r="A117" s="1608"/>
      <c r="D117" s="1609"/>
      <c r="K117" s="687"/>
      <c r="L117" s="687"/>
    </row>
    <row r="118" spans="1:12" s="684" customFormat="1">
      <c r="A118" s="1608"/>
      <c r="D118" s="1609"/>
      <c r="K118" s="687"/>
      <c r="L118" s="687"/>
    </row>
    <row r="119" spans="1:12" s="684" customFormat="1">
      <c r="A119" s="1608"/>
      <c r="D119" s="1609"/>
      <c r="K119" s="687"/>
      <c r="L119" s="687"/>
    </row>
    <row r="120" spans="1:12" s="684" customFormat="1">
      <c r="A120" s="1608"/>
      <c r="D120" s="1609"/>
      <c r="K120" s="687"/>
      <c r="L120" s="687"/>
    </row>
    <row r="121" spans="1:12" s="684" customFormat="1">
      <c r="A121" s="1608"/>
      <c r="D121" s="1609"/>
      <c r="K121" s="687"/>
      <c r="L121" s="687"/>
    </row>
    <row r="122" spans="1:12" s="684" customFormat="1">
      <c r="A122" s="1608"/>
      <c r="D122" s="1609"/>
      <c r="K122" s="687"/>
      <c r="L122" s="687"/>
    </row>
    <row r="123" spans="1:12" s="684" customFormat="1">
      <c r="A123" s="1608"/>
      <c r="D123" s="1609"/>
      <c r="K123" s="687"/>
      <c r="L123" s="687"/>
    </row>
    <row r="124" spans="1:12" s="684" customFormat="1">
      <c r="A124" s="1608"/>
      <c r="D124" s="1609"/>
      <c r="K124" s="687"/>
      <c r="L124" s="687"/>
    </row>
    <row r="125" spans="1:12" s="684" customFormat="1">
      <c r="A125" s="1608"/>
      <c r="D125" s="1609"/>
      <c r="K125" s="687"/>
      <c r="L125" s="687"/>
    </row>
    <row r="126" spans="1:12" s="684" customFormat="1">
      <c r="A126" s="1608"/>
      <c r="D126" s="1609"/>
      <c r="K126" s="687"/>
      <c r="L126" s="687"/>
    </row>
    <row r="127" spans="1:12" s="684" customFormat="1">
      <c r="A127" s="1608"/>
      <c r="D127" s="1609"/>
      <c r="K127" s="687"/>
      <c r="L127" s="687"/>
    </row>
    <row r="128" spans="1:12" s="684" customFormat="1">
      <c r="A128" s="1608"/>
      <c r="D128" s="1609"/>
      <c r="K128" s="687"/>
      <c r="L128" s="687"/>
    </row>
    <row r="129" spans="1:12" s="684" customFormat="1">
      <c r="A129" s="1608"/>
      <c r="D129" s="1609"/>
      <c r="K129" s="687"/>
      <c r="L129" s="687"/>
    </row>
    <row r="130" spans="1:12" s="684" customFormat="1">
      <c r="A130" s="1608"/>
      <c r="D130" s="1609"/>
      <c r="K130" s="687"/>
      <c r="L130" s="687"/>
    </row>
    <row r="131" spans="1:12" s="684" customFormat="1">
      <c r="A131" s="1608"/>
      <c r="D131" s="1609"/>
      <c r="K131" s="687"/>
      <c r="L131" s="687"/>
    </row>
    <row r="132" spans="1:12" s="684" customFormat="1">
      <c r="A132" s="1608"/>
      <c r="D132" s="1609"/>
      <c r="K132" s="687"/>
      <c r="L132" s="687"/>
    </row>
    <row r="133" spans="1:12" s="684" customFormat="1">
      <c r="A133" s="1608"/>
      <c r="D133" s="1609"/>
      <c r="K133" s="687"/>
      <c r="L133" s="687"/>
    </row>
    <row r="134" spans="1:12" s="122" customFormat="1">
      <c r="A134" s="1610"/>
      <c r="D134" s="1611"/>
      <c r="K134" s="24"/>
      <c r="L134" s="24"/>
    </row>
    <row r="135" spans="1:12" s="122" customFormat="1">
      <c r="A135" s="1610"/>
      <c r="D135" s="1611"/>
      <c r="K135" s="24"/>
      <c r="L135" s="24"/>
    </row>
    <row r="136" spans="1:12" s="122" customFormat="1">
      <c r="A136" s="1610"/>
      <c r="D136" s="1611"/>
      <c r="K136" s="24"/>
      <c r="L136" s="24"/>
    </row>
    <row r="137" spans="1:12" s="122" customFormat="1">
      <c r="A137" s="1610"/>
      <c r="D137" s="1611"/>
      <c r="K137" s="24"/>
      <c r="L137" s="24"/>
    </row>
    <row r="138" spans="1:12" s="122" customFormat="1">
      <c r="A138" s="1610"/>
      <c r="D138" s="1611"/>
      <c r="K138" s="24"/>
      <c r="L138" s="24"/>
    </row>
    <row r="139" spans="1:12" s="122" customFormat="1">
      <c r="A139" s="1610"/>
      <c r="D139" s="1611"/>
      <c r="K139" s="24"/>
      <c r="L139" s="24"/>
    </row>
    <row r="140" spans="1:12" s="122" customFormat="1">
      <c r="A140" s="1610"/>
      <c r="D140" s="1611"/>
      <c r="K140" s="24"/>
      <c r="L140" s="24"/>
    </row>
    <row r="141" spans="1:12" s="122" customFormat="1">
      <c r="A141" s="1610"/>
      <c r="D141" s="1611"/>
      <c r="K141" s="24"/>
      <c r="L141" s="24"/>
    </row>
    <row r="142" spans="1:12" s="122" customFormat="1">
      <c r="A142" s="1610"/>
      <c r="D142" s="1611"/>
      <c r="K142" s="24"/>
      <c r="L142" s="24"/>
    </row>
    <row r="143" spans="1:12" s="122" customFormat="1">
      <c r="A143" s="1610"/>
      <c r="D143" s="1611"/>
      <c r="K143" s="24"/>
      <c r="L143" s="24"/>
    </row>
    <row r="144" spans="1:12" s="122" customFormat="1">
      <c r="A144" s="1610"/>
      <c r="D144" s="1611"/>
      <c r="K144" s="24"/>
      <c r="L144" s="24"/>
    </row>
    <row r="145" spans="1:12" s="122" customFormat="1">
      <c r="A145" s="1610"/>
      <c r="D145" s="1611"/>
      <c r="K145" s="24"/>
      <c r="L145" s="24"/>
    </row>
    <row r="146" spans="1:12" s="122" customFormat="1">
      <c r="A146" s="1610"/>
      <c r="D146" s="1611"/>
      <c r="K146" s="24"/>
      <c r="L146" s="24"/>
    </row>
    <row r="147" spans="1:12" s="122" customFormat="1">
      <c r="A147" s="1610"/>
      <c r="D147" s="1611"/>
      <c r="K147" s="24"/>
      <c r="L147" s="24"/>
    </row>
    <row r="148" spans="1:12" s="122" customFormat="1">
      <c r="A148" s="1610"/>
      <c r="D148" s="1611"/>
      <c r="K148" s="24"/>
      <c r="L148" s="24"/>
    </row>
    <row r="149" spans="1:12" s="122" customFormat="1">
      <c r="A149" s="1610"/>
      <c r="D149" s="1611"/>
      <c r="K149" s="24"/>
      <c r="L149" s="24"/>
    </row>
    <row r="150" spans="1:12" s="122" customFormat="1">
      <c r="A150" s="1610"/>
      <c r="D150" s="1611"/>
      <c r="K150" s="24"/>
      <c r="L150" s="24"/>
    </row>
    <row r="151" spans="1:12" s="122" customFormat="1">
      <c r="A151" s="1610"/>
      <c r="D151" s="1611"/>
      <c r="K151" s="24"/>
      <c r="L151" s="24"/>
    </row>
    <row r="152" spans="1:12" s="122" customFormat="1">
      <c r="A152" s="1610"/>
      <c r="D152" s="1611"/>
      <c r="K152" s="24"/>
      <c r="L152" s="24"/>
    </row>
    <row r="153" spans="1:12" s="122" customFormat="1">
      <c r="A153" s="1610"/>
      <c r="D153" s="1611"/>
      <c r="K153" s="24"/>
      <c r="L153" s="24"/>
    </row>
    <row r="154" spans="1:12" s="122" customFormat="1">
      <c r="A154" s="1610"/>
      <c r="D154" s="1611"/>
      <c r="K154" s="24"/>
      <c r="L154" s="24"/>
    </row>
    <row r="155" spans="1:12" s="122" customFormat="1">
      <c r="A155" s="1610"/>
      <c r="D155" s="1611"/>
      <c r="K155" s="24"/>
      <c r="L155" s="24"/>
    </row>
    <row r="156" spans="1:12" s="122" customFormat="1">
      <c r="A156" s="1610"/>
      <c r="D156" s="1611"/>
      <c r="K156" s="24"/>
      <c r="L156" s="24"/>
    </row>
    <row r="157" spans="1:12" s="122" customFormat="1">
      <c r="A157" s="1610"/>
      <c r="D157" s="1611"/>
      <c r="K157" s="24"/>
      <c r="L157" s="24"/>
    </row>
    <row r="158" spans="1:12" s="122" customFormat="1">
      <c r="A158" s="1610"/>
      <c r="D158" s="1611"/>
      <c r="K158" s="24"/>
      <c r="L158" s="24"/>
    </row>
    <row r="159" spans="1:12" s="122" customFormat="1">
      <c r="A159" s="1610"/>
      <c r="D159" s="1611"/>
      <c r="K159" s="24"/>
      <c r="L159" s="24"/>
    </row>
    <row r="160" spans="1:12" s="122" customFormat="1">
      <c r="A160" s="1610"/>
      <c r="D160" s="1611"/>
      <c r="K160" s="24"/>
      <c r="L160" s="24"/>
    </row>
    <row r="161" spans="1:12" s="122" customFormat="1">
      <c r="A161" s="1610"/>
      <c r="D161" s="1611"/>
      <c r="K161" s="24"/>
      <c r="L161" s="24"/>
    </row>
    <row r="162" spans="1:12" s="122" customFormat="1">
      <c r="A162" s="1610"/>
      <c r="D162" s="1611"/>
      <c r="K162" s="24"/>
      <c r="L162" s="24"/>
    </row>
    <row r="163" spans="1:12" s="122" customFormat="1">
      <c r="A163" s="1610"/>
      <c r="D163" s="1611"/>
      <c r="K163" s="24"/>
      <c r="L163" s="24"/>
    </row>
    <row r="164" spans="1:12" s="122" customFormat="1">
      <c r="A164" s="1610"/>
      <c r="D164" s="1611"/>
      <c r="K164" s="24"/>
      <c r="L164" s="24"/>
    </row>
    <row r="165" spans="1:12" s="122" customFormat="1">
      <c r="A165" s="1610"/>
      <c r="D165" s="1611"/>
      <c r="K165" s="24"/>
      <c r="L165" s="24"/>
    </row>
    <row r="166" spans="1:12" s="122" customFormat="1">
      <c r="A166" s="1610"/>
      <c r="D166" s="1611"/>
      <c r="K166" s="24"/>
      <c r="L166" s="24"/>
    </row>
    <row r="167" spans="1:12" s="122" customFormat="1">
      <c r="A167" s="1610"/>
      <c r="D167" s="1611"/>
      <c r="K167" s="24"/>
      <c r="L167" s="24"/>
    </row>
    <row r="168" spans="1:12" s="122" customFormat="1">
      <c r="A168" s="1610"/>
      <c r="D168" s="1611"/>
      <c r="K168" s="24"/>
      <c r="L168" s="24"/>
    </row>
    <row r="169" spans="1:12" s="122" customFormat="1">
      <c r="A169" s="1610"/>
      <c r="D169" s="1611"/>
      <c r="K169" s="24"/>
      <c r="L169" s="24"/>
    </row>
    <row r="170" spans="1:12" s="122" customFormat="1">
      <c r="A170" s="1610"/>
      <c r="D170" s="1611"/>
      <c r="K170" s="24"/>
      <c r="L170" s="24"/>
    </row>
    <row r="171" spans="1:12" s="122" customFormat="1">
      <c r="A171" s="1610"/>
      <c r="D171" s="1611"/>
      <c r="K171" s="24"/>
      <c r="L171" s="24"/>
    </row>
    <row r="172" spans="1:12" s="122" customFormat="1">
      <c r="A172" s="1610"/>
      <c r="D172" s="1611"/>
      <c r="K172" s="24"/>
      <c r="L172" s="24"/>
    </row>
    <row r="173" spans="1:12" s="122" customFormat="1">
      <c r="A173" s="1610"/>
      <c r="D173" s="1611"/>
      <c r="K173" s="24"/>
      <c r="L173" s="24"/>
    </row>
    <row r="174" spans="1:12" s="122" customFormat="1">
      <c r="A174" s="1610"/>
      <c r="D174" s="1611"/>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6"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5" customWidth="1"/>
    <col min="19" max="29" width="9" style="745"/>
    <col min="30" max="16384" width="9" style="1516"/>
  </cols>
  <sheetData>
    <row r="1" spans="1:29" s="2253" customFormat="1" ht="18.75" thickBot="1">
      <c r="A1" s="3343" t="s">
        <v>2270</v>
      </c>
      <c r="B1" s="3344"/>
      <c r="C1" s="3344"/>
      <c r="D1" s="3344"/>
      <c r="E1" s="3344"/>
      <c r="F1" s="3344"/>
      <c r="G1" s="3344"/>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2267</v>
      </c>
      <c r="D2" s="1589"/>
      <c r="E2" s="2254"/>
      <c r="F2" s="2257"/>
      <c r="G2" s="2256" t="s">
        <v>2268</v>
      </c>
      <c r="H2" s="745"/>
      <c r="I2" s="745"/>
      <c r="J2" s="745"/>
      <c r="K2" s="745"/>
      <c r="L2" s="745"/>
      <c r="M2" s="745"/>
      <c r="N2" s="745"/>
      <c r="O2" s="745"/>
      <c r="P2" s="745"/>
      <c r="Q2" s="745"/>
    </row>
    <row r="3" spans="1:29" ht="24">
      <c r="A3" s="2241" t="s">
        <v>2269</v>
      </c>
      <c r="B3" s="2258" t="s">
        <v>2245</v>
      </c>
      <c r="C3" s="2259"/>
      <c r="D3" s="2260"/>
      <c r="E3" s="2242" t="s">
        <v>2269</v>
      </c>
      <c r="F3" s="2261" t="s">
        <v>2246</v>
      </c>
      <c r="G3" s="2262"/>
      <c r="H3" s="745"/>
      <c r="I3" s="745"/>
      <c r="J3" s="745"/>
      <c r="K3" s="745"/>
      <c r="L3" s="745"/>
      <c r="M3" s="745"/>
      <c r="N3" s="745"/>
      <c r="O3" s="745"/>
      <c r="P3" s="745"/>
      <c r="Q3" s="745"/>
    </row>
    <row r="4" spans="1:29">
      <c r="A4" s="2242"/>
      <c r="B4" s="315" t="s">
        <v>2247</v>
      </c>
      <c r="C4" s="2263"/>
      <c r="D4" s="2260"/>
      <c r="E4" s="2264"/>
      <c r="F4" s="1275" t="s">
        <v>2248</v>
      </c>
      <c r="G4" s="2265"/>
      <c r="H4" s="745"/>
      <c r="I4" s="745"/>
      <c r="J4" s="745"/>
      <c r="K4" s="745"/>
      <c r="L4" s="745"/>
      <c r="M4" s="745"/>
      <c r="N4" s="745"/>
      <c r="O4" s="745"/>
      <c r="P4" s="745"/>
      <c r="Q4" s="745"/>
    </row>
    <row r="5" spans="1:29">
      <c r="A5" s="2242"/>
      <c r="B5" s="315" t="s">
        <v>2249</v>
      </c>
      <c r="C5" s="2263"/>
      <c r="D5" s="2260"/>
      <c r="E5" s="2264"/>
      <c r="F5" s="315" t="s">
        <v>2250</v>
      </c>
      <c r="G5" s="2265"/>
      <c r="H5" s="745"/>
      <c r="I5" s="745"/>
      <c r="J5" s="745"/>
      <c r="K5" s="745"/>
      <c r="L5" s="745"/>
      <c r="M5" s="745"/>
      <c r="N5" s="745"/>
      <c r="O5" s="745"/>
      <c r="P5" s="745"/>
      <c r="Q5" s="745"/>
    </row>
    <row r="6" spans="1:29">
      <c r="A6" s="2242"/>
      <c r="B6" s="315" t="s">
        <v>2251</v>
      </c>
      <c r="C6" s="2265"/>
      <c r="D6" s="2260"/>
      <c r="E6" s="2264"/>
      <c r="F6" s="315" t="s">
        <v>2252</v>
      </c>
      <c r="G6" s="2265"/>
      <c r="H6" s="745"/>
      <c r="I6" s="745"/>
      <c r="J6" s="745"/>
      <c r="K6" s="745"/>
      <c r="L6" s="745"/>
      <c r="M6" s="745"/>
      <c r="N6" s="745"/>
      <c r="O6" s="745"/>
      <c r="P6" s="745"/>
      <c r="Q6" s="745"/>
    </row>
    <row r="7" spans="1:29" ht="15" thickBot="1">
      <c r="A7" s="2242"/>
      <c r="B7" s="315" t="s">
        <v>2250</v>
      </c>
      <c r="C7" s="2265"/>
      <c r="D7" s="2239"/>
      <c r="E7" s="2266"/>
      <c r="F7" s="2267" t="s">
        <v>2253</v>
      </c>
      <c r="G7" s="2268"/>
      <c r="H7" s="745"/>
      <c r="I7" s="745"/>
      <c r="J7" s="745"/>
      <c r="K7" s="745"/>
      <c r="L7" s="745"/>
      <c r="M7" s="745"/>
      <c r="N7" s="745"/>
      <c r="O7" s="745"/>
      <c r="P7" s="745"/>
      <c r="Q7" s="745"/>
    </row>
    <row r="8" spans="1:29">
      <c r="A8" s="2242"/>
      <c r="B8" s="315" t="s">
        <v>2252</v>
      </c>
      <c r="C8" s="2265"/>
      <c r="D8" s="2239"/>
      <c r="E8" s="2239"/>
      <c r="F8" s="121"/>
      <c r="G8" s="121"/>
      <c r="H8" s="745"/>
      <c r="I8" s="745"/>
      <c r="J8" s="745"/>
      <c r="K8" s="745"/>
      <c r="L8" s="745"/>
      <c r="M8" s="745"/>
      <c r="N8" s="745"/>
      <c r="O8" s="745"/>
      <c r="P8" s="745"/>
      <c r="Q8" s="745"/>
    </row>
    <row r="9" spans="1:29">
      <c r="A9" s="2242"/>
      <c r="B9" s="315" t="s">
        <v>2254</v>
      </c>
      <c r="C9" s="2263"/>
      <c r="D9" s="2260"/>
      <c r="E9" s="2239"/>
      <c r="F9" s="121"/>
      <c r="G9" s="121"/>
      <c r="H9" s="745"/>
      <c r="I9" s="745"/>
      <c r="J9" s="745"/>
      <c r="K9" s="745"/>
      <c r="L9" s="745"/>
      <c r="M9" s="745"/>
      <c r="N9" s="745"/>
      <c r="O9" s="745"/>
      <c r="P9" s="745"/>
      <c r="Q9" s="745"/>
    </row>
    <row r="10" spans="1:29" ht="15" thickBot="1">
      <c r="A10" s="2243"/>
      <c r="B10" s="2269" t="s">
        <v>2255</v>
      </c>
      <c r="C10" s="2270"/>
      <c r="D10" s="2260"/>
      <c r="E10" s="2260"/>
      <c r="F10" s="121"/>
      <c r="G10" s="121"/>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2271</v>
      </c>
      <c r="B13" s="2274"/>
      <c r="C13" s="2274"/>
      <c r="D13" s="2273"/>
      <c r="E13" s="2274"/>
      <c r="F13" s="2274"/>
      <c r="G13" s="2274"/>
    </row>
    <row r="14" spans="1:29" ht="15" thickBot="1">
      <c r="A14" s="2279"/>
      <c r="B14" s="2279"/>
      <c r="C14" s="2280" t="s">
        <v>2256</v>
      </c>
      <c r="D14" s="2260"/>
      <c r="E14" s="2281"/>
      <c r="F14" s="2281"/>
      <c r="G14" s="2256" t="s">
        <v>2257</v>
      </c>
    </row>
    <row r="15" spans="1:29" ht="24">
      <c r="A15" s="2244" t="s">
        <v>2258</v>
      </c>
      <c r="B15" s="2282" t="s">
        <v>2245</v>
      </c>
      <c r="C15" s="2283">
        <f>C3</f>
        <v>0</v>
      </c>
      <c r="D15" s="2260"/>
      <c r="E15" s="2245" t="s">
        <v>2259</v>
      </c>
      <c r="F15" s="2282" t="s">
        <v>2260</v>
      </c>
      <c r="G15" s="2284">
        <f>G3</f>
        <v>0</v>
      </c>
    </row>
    <row r="16" spans="1:29">
      <c r="A16" s="2246"/>
      <c r="B16" s="2285" t="s">
        <v>2247</v>
      </c>
      <c r="C16" s="2286">
        <f>C4</f>
        <v>0</v>
      </c>
      <c r="D16" s="2260"/>
      <c r="E16" s="2247"/>
      <c r="F16" s="2287" t="s">
        <v>2248</v>
      </c>
      <c r="G16" s="2288">
        <f>G4</f>
        <v>0</v>
      </c>
    </row>
    <row r="17" spans="1:17">
      <c r="A17" s="2246"/>
      <c r="B17" s="2285" t="s">
        <v>2249</v>
      </c>
      <c r="C17" s="2286">
        <f>C5</f>
        <v>0</v>
      </c>
      <c r="D17" s="2239"/>
      <c r="E17" s="2247"/>
      <c r="F17" s="2287" t="s">
        <v>2261</v>
      </c>
      <c r="G17" s="2289"/>
    </row>
    <row r="18" spans="1:17">
      <c r="A18" s="2246"/>
      <c r="B18" s="2287" t="s">
        <v>2251</v>
      </c>
      <c r="C18" s="2288">
        <f>C6</f>
        <v>0</v>
      </c>
      <c r="D18" s="2239"/>
      <c r="E18" s="2247"/>
      <c r="F18" s="2287" t="s">
        <v>2253</v>
      </c>
      <c r="G18" s="2288">
        <f>G7</f>
        <v>0</v>
      </c>
    </row>
    <row r="19" spans="1:17">
      <c r="A19" s="2246"/>
      <c r="B19" s="2287" t="s">
        <v>2262</v>
      </c>
      <c r="C19" s="2289"/>
      <c r="D19" s="2260"/>
      <c r="E19" s="2247"/>
      <c r="F19" s="315" t="s">
        <v>2250</v>
      </c>
      <c r="G19" s="2288">
        <f>G5</f>
        <v>0</v>
      </c>
    </row>
    <row r="20" spans="1:17">
      <c r="A20" s="2246"/>
      <c r="B20" s="2287" t="s">
        <v>2263</v>
      </c>
      <c r="C20" s="2286">
        <f>C9</f>
        <v>0</v>
      </c>
      <c r="D20" s="2239"/>
      <c r="E20" s="2247"/>
      <c r="F20" s="315" t="s">
        <v>2252</v>
      </c>
      <c r="G20" s="2288">
        <f>G6</f>
        <v>0</v>
      </c>
    </row>
    <row r="21" spans="1:17">
      <c r="A21" s="2246"/>
      <c r="B21" s="315" t="s">
        <v>2250</v>
      </c>
      <c r="C21" s="2288">
        <f>C7</f>
        <v>0</v>
      </c>
      <c r="D21" s="2260"/>
      <c r="E21" s="2247"/>
      <c r="F21" s="2287" t="s">
        <v>2264</v>
      </c>
      <c r="G21" s="2290"/>
    </row>
    <row r="22" spans="1:17" ht="13.5" customHeight="1">
      <c r="A22" s="2246"/>
      <c r="B22" s="315" t="s">
        <v>2252</v>
      </c>
      <c r="C22" s="2288">
        <f>C8</f>
        <v>0</v>
      </c>
      <c r="D22" s="2260"/>
      <c r="E22" s="2247"/>
      <c r="F22" s="2287" t="s">
        <v>2255</v>
      </c>
      <c r="G22" s="2289"/>
    </row>
    <row r="23" spans="1:17" s="745" customFormat="1" ht="15" thickBot="1">
      <c r="A23" s="2246"/>
      <c r="B23" s="2287" t="s">
        <v>2264</v>
      </c>
      <c r="C23" s="2290"/>
      <c r="D23" s="1608"/>
      <c r="E23" s="2248"/>
      <c r="F23" s="2291" t="s">
        <v>2265</v>
      </c>
      <c r="G23" s="2292"/>
      <c r="H23" s="2271"/>
      <c r="I23" s="2271"/>
      <c r="J23" s="2271"/>
      <c r="K23" s="2271"/>
      <c r="L23" s="2271"/>
      <c r="M23" s="2271"/>
      <c r="N23" s="2271"/>
      <c r="O23" s="2271"/>
      <c r="P23" s="2271"/>
      <c r="Q23" s="2271"/>
    </row>
    <row r="24" spans="1:17" s="745" customFormat="1" ht="15" thickBot="1">
      <c r="A24" s="2249"/>
      <c r="B24" s="2291" t="s">
        <v>2266</v>
      </c>
      <c r="C24" s="2293">
        <f>C10</f>
        <v>0</v>
      </c>
      <c r="D24" s="1608"/>
      <c r="E24" s="2239"/>
      <c r="F24" s="2239"/>
      <c r="G24" s="2239"/>
      <c r="H24" s="2271"/>
      <c r="I24" s="2271"/>
      <c r="J24" s="2271"/>
      <c r="K24" s="2271"/>
      <c r="L24" s="2271"/>
      <c r="M24" s="2271"/>
      <c r="N24" s="2271"/>
      <c r="O24" s="2271"/>
      <c r="P24" s="2271"/>
      <c r="Q24" s="2271"/>
    </row>
    <row r="25" spans="1:17" s="745" customFormat="1">
      <c r="B25" s="2271"/>
      <c r="C25" s="2271"/>
      <c r="D25" s="2271"/>
      <c r="H25" s="2271"/>
      <c r="I25" s="2271"/>
      <c r="J25" s="2271"/>
      <c r="K25" s="2271"/>
      <c r="L25" s="2271"/>
      <c r="M25" s="2271"/>
      <c r="N25" s="2271"/>
      <c r="O25" s="2271"/>
      <c r="P25" s="2271"/>
      <c r="Q25" s="2271"/>
    </row>
    <row r="26" spans="1:17" s="745" customFormat="1">
      <c r="B26" s="2271"/>
      <c r="C26" s="2271"/>
      <c r="D26" s="2271"/>
      <c r="H26" s="2271"/>
      <c r="I26" s="2271"/>
      <c r="J26" s="2271"/>
      <c r="K26" s="2271"/>
      <c r="L26" s="2271"/>
      <c r="M26" s="2271"/>
      <c r="N26" s="2271"/>
      <c r="O26" s="2271"/>
      <c r="P26" s="2271"/>
      <c r="Q26" s="2271"/>
    </row>
    <row r="27" spans="1:17" s="745" customFormat="1">
      <c r="B27" s="2271"/>
      <c r="C27" s="2271"/>
      <c r="D27" s="2271"/>
      <c r="H27" s="2271"/>
      <c r="I27" s="2271"/>
      <c r="J27" s="2271"/>
      <c r="K27" s="2271"/>
      <c r="L27" s="2271"/>
      <c r="M27" s="2271"/>
      <c r="N27" s="2271"/>
      <c r="O27" s="2271"/>
      <c r="P27" s="2271"/>
      <c r="Q27" s="2271"/>
    </row>
    <row r="28" spans="1:17" s="745" customFormat="1">
      <c r="B28" s="2271"/>
      <c r="C28" s="2271"/>
      <c r="D28" s="2271"/>
      <c r="H28" s="2271"/>
      <c r="I28" s="2271"/>
      <c r="J28" s="2271"/>
      <c r="K28" s="2271"/>
      <c r="L28" s="2271"/>
      <c r="M28" s="2271"/>
      <c r="N28" s="2271"/>
      <c r="O28" s="2271"/>
      <c r="P28" s="2271"/>
      <c r="Q28" s="2271"/>
    </row>
    <row r="29" spans="1:17" s="745" customFormat="1">
      <c r="B29" s="2271"/>
      <c r="C29" s="2271"/>
      <c r="D29" s="2271"/>
      <c r="H29" s="2271"/>
      <c r="I29" s="2271"/>
      <c r="J29" s="2271"/>
      <c r="K29" s="2271"/>
      <c r="L29" s="2271"/>
      <c r="M29" s="2271"/>
      <c r="N29" s="2271"/>
      <c r="O29" s="2271"/>
      <c r="P29" s="2271"/>
      <c r="Q29" s="2271"/>
    </row>
    <row r="30" spans="1:17" s="745" customFormat="1">
      <c r="B30" s="2271"/>
      <c r="C30" s="2271"/>
      <c r="D30" s="2271"/>
      <c r="H30" s="2271"/>
      <c r="I30" s="2271"/>
      <c r="J30" s="2271"/>
      <c r="K30" s="2271"/>
      <c r="L30" s="2271"/>
      <c r="M30" s="2271"/>
      <c r="N30" s="2271"/>
      <c r="O30" s="2271"/>
      <c r="P30" s="2271"/>
      <c r="Q30" s="2271"/>
    </row>
    <row r="31" spans="1:17" s="745" customFormat="1">
      <c r="B31" s="2271"/>
      <c r="C31" s="2271"/>
      <c r="D31" s="2271"/>
      <c r="H31" s="2271"/>
      <c r="I31" s="2271"/>
      <c r="J31" s="2271"/>
      <c r="K31" s="2271"/>
      <c r="L31" s="2271"/>
      <c r="M31" s="2271"/>
      <c r="N31" s="2271"/>
      <c r="O31" s="2271"/>
      <c r="P31" s="2271"/>
      <c r="Q31" s="2271"/>
    </row>
    <row r="32" spans="1:17" s="745" customFormat="1">
      <c r="B32" s="2271"/>
      <c r="C32" s="2271"/>
      <c r="D32" s="2271"/>
      <c r="H32" s="2271"/>
      <c r="I32" s="2271"/>
      <c r="J32" s="2271"/>
      <c r="K32" s="2271"/>
      <c r="L32" s="2271"/>
      <c r="M32" s="2271"/>
      <c r="N32" s="2271"/>
      <c r="O32" s="2271"/>
      <c r="P32" s="2271"/>
      <c r="Q32" s="2271"/>
    </row>
    <row r="33" spans="2:17" s="745" customFormat="1">
      <c r="B33" s="2271"/>
      <c r="C33" s="2271"/>
      <c r="D33" s="2271"/>
      <c r="H33" s="2271"/>
      <c r="I33" s="2271"/>
      <c r="J33" s="2271"/>
      <c r="K33" s="2271"/>
      <c r="L33" s="2271"/>
      <c r="M33" s="2271"/>
      <c r="N33" s="2271"/>
      <c r="O33" s="2271"/>
      <c r="P33" s="2271"/>
      <c r="Q33" s="2271"/>
    </row>
    <row r="34" spans="2:17" s="745" customFormat="1">
      <c r="B34" s="2271"/>
      <c r="C34" s="2271"/>
      <c r="D34" s="2271"/>
      <c r="H34" s="2271"/>
      <c r="I34" s="2271"/>
      <c r="J34" s="2271"/>
      <c r="K34" s="2271"/>
      <c r="L34" s="2271"/>
      <c r="M34" s="2271"/>
      <c r="N34" s="2271"/>
      <c r="O34" s="2271"/>
      <c r="P34" s="2271"/>
      <c r="Q34" s="2271"/>
    </row>
    <row r="35" spans="2:17" s="745" customFormat="1">
      <c r="B35" s="2271"/>
      <c r="C35" s="2271"/>
      <c r="D35" s="2271"/>
      <c r="H35" s="2271"/>
      <c r="I35" s="2271"/>
      <c r="J35" s="2271"/>
      <c r="K35" s="2271"/>
      <c r="L35" s="2271"/>
      <c r="M35" s="2271"/>
      <c r="N35" s="2271"/>
      <c r="O35" s="2271"/>
      <c r="P35" s="2271"/>
      <c r="Q35" s="2271"/>
    </row>
    <row r="36" spans="2:17" s="745" customFormat="1">
      <c r="B36" s="2271"/>
      <c r="C36" s="2271"/>
      <c r="D36" s="2271"/>
      <c r="H36" s="2271"/>
      <c r="I36" s="2271"/>
      <c r="J36" s="2271"/>
      <c r="K36" s="2271"/>
      <c r="L36" s="2271"/>
      <c r="M36" s="2271"/>
      <c r="N36" s="2271"/>
      <c r="O36" s="2271"/>
      <c r="P36" s="2271"/>
      <c r="Q36" s="2271"/>
    </row>
    <row r="37" spans="2:17" s="745" customFormat="1">
      <c r="B37" s="2271"/>
      <c r="C37" s="2271"/>
      <c r="D37" s="2271"/>
      <c r="H37" s="2271"/>
      <c r="I37" s="2271"/>
      <c r="J37" s="2271"/>
      <c r="K37" s="2271"/>
      <c r="L37" s="2271"/>
      <c r="M37" s="2271"/>
      <c r="N37" s="2271"/>
      <c r="O37" s="2271"/>
      <c r="P37" s="2271"/>
      <c r="Q37" s="2271"/>
    </row>
    <row r="38" spans="2:17" s="745" customFormat="1">
      <c r="B38" s="2271"/>
      <c r="C38" s="2271"/>
      <c r="D38" s="2271"/>
      <c r="E38" s="2271"/>
      <c r="F38" s="2271"/>
      <c r="G38" s="2271"/>
      <c r="H38" s="2271"/>
      <c r="I38" s="2271"/>
      <c r="J38" s="2271"/>
      <c r="K38" s="2271"/>
      <c r="L38" s="2271"/>
      <c r="M38" s="2271"/>
      <c r="N38" s="2271"/>
      <c r="O38" s="2271"/>
      <c r="P38" s="2271"/>
      <c r="Q38" s="2271"/>
    </row>
    <row r="39" spans="2:17" s="745" customFormat="1">
      <c r="B39" s="2271"/>
      <c r="C39" s="2271"/>
      <c r="D39" s="2271"/>
      <c r="E39" s="2271"/>
      <c r="F39" s="2271"/>
      <c r="G39" s="2271"/>
      <c r="H39" s="2271"/>
      <c r="I39" s="2271"/>
      <c r="J39" s="2271"/>
      <c r="K39" s="2271"/>
      <c r="L39" s="2271"/>
      <c r="M39" s="2271"/>
      <c r="N39" s="2271"/>
      <c r="O39" s="2271"/>
      <c r="P39" s="2271"/>
      <c r="Q39" s="2271"/>
    </row>
    <row r="40" spans="2:17" s="745" customFormat="1">
      <c r="B40" s="2271"/>
      <c r="C40" s="2271"/>
      <c r="D40" s="2271"/>
      <c r="E40" s="2271"/>
      <c r="F40" s="2271"/>
      <c r="G40" s="2271"/>
      <c r="H40" s="2271"/>
      <c r="I40" s="2271"/>
      <c r="J40" s="2271"/>
      <c r="K40" s="2271"/>
      <c r="L40" s="2271"/>
      <c r="M40" s="2271"/>
      <c r="N40" s="2271"/>
      <c r="O40" s="2271"/>
      <c r="P40" s="2271"/>
      <c r="Q40" s="2271"/>
    </row>
    <row r="41" spans="2:17" s="745" customFormat="1">
      <c r="B41" s="2271"/>
      <c r="C41" s="2271"/>
      <c r="D41" s="2271"/>
      <c r="E41" s="2271"/>
      <c r="F41" s="2271"/>
      <c r="G41" s="2271"/>
      <c r="H41" s="2271"/>
      <c r="I41" s="2271"/>
      <c r="J41" s="2271"/>
      <c r="K41" s="2271"/>
      <c r="L41" s="2271"/>
      <c r="M41" s="2271"/>
      <c r="N41" s="2271"/>
      <c r="O41" s="2271"/>
      <c r="P41" s="2271"/>
      <c r="Q41" s="2271"/>
    </row>
    <row r="42" spans="2:17" s="745" customFormat="1">
      <c r="B42" s="2271"/>
      <c r="C42" s="2271"/>
      <c r="D42" s="2271"/>
      <c r="E42" s="2271"/>
      <c r="F42" s="2271"/>
      <c r="G42" s="2271"/>
      <c r="H42" s="2271"/>
      <c r="I42" s="2271"/>
      <c r="J42" s="2271"/>
      <c r="K42" s="2271"/>
      <c r="L42" s="2271"/>
      <c r="M42" s="2271"/>
      <c r="N42" s="2271"/>
      <c r="O42" s="2271"/>
      <c r="P42" s="2271"/>
      <c r="Q42" s="2271"/>
    </row>
    <row r="43" spans="2:17" s="745" customFormat="1">
      <c r="B43" s="2271"/>
      <c r="C43" s="2271"/>
      <c r="D43" s="2271"/>
      <c r="E43" s="2271"/>
      <c r="F43" s="2271"/>
      <c r="G43" s="2271"/>
      <c r="H43" s="2271"/>
      <c r="I43" s="2271"/>
      <c r="J43" s="2271"/>
      <c r="K43" s="2271"/>
      <c r="L43" s="2271"/>
      <c r="M43" s="2271"/>
      <c r="N43" s="2271"/>
      <c r="O43" s="2271"/>
      <c r="P43" s="2271"/>
      <c r="Q43" s="2271"/>
    </row>
    <row r="44" spans="2:17" s="745" customFormat="1">
      <c r="B44" s="2271"/>
      <c r="C44" s="2271"/>
      <c r="D44" s="2271"/>
      <c r="E44" s="2271"/>
      <c r="F44" s="2271"/>
      <c r="G44" s="2271"/>
      <c r="H44" s="2271"/>
      <c r="I44" s="2271"/>
      <c r="J44" s="2271"/>
      <c r="K44" s="2271"/>
      <c r="L44" s="2271"/>
      <c r="M44" s="2271"/>
      <c r="N44" s="2271"/>
      <c r="O44" s="2271"/>
      <c r="P44" s="2271"/>
      <c r="Q44" s="2271"/>
    </row>
    <row r="45" spans="2:17" s="745" customFormat="1">
      <c r="B45" s="2271"/>
      <c r="C45" s="2271"/>
      <c r="D45" s="2271"/>
      <c r="E45" s="2271"/>
      <c r="F45" s="2271"/>
      <c r="G45" s="2271"/>
      <c r="H45" s="2271"/>
      <c r="I45" s="2271"/>
      <c r="J45" s="2271"/>
      <c r="K45" s="2271"/>
      <c r="L45" s="2271"/>
      <c r="M45" s="2271"/>
      <c r="N45" s="2271"/>
      <c r="O45" s="2271"/>
      <c r="P45" s="2271"/>
      <c r="Q45" s="2271"/>
    </row>
    <row r="46" spans="2:17" s="745" customFormat="1">
      <c r="B46" s="2271"/>
      <c r="C46" s="2271"/>
      <c r="D46" s="2271"/>
      <c r="E46" s="2271"/>
      <c r="F46" s="2271"/>
      <c r="G46" s="2271"/>
      <c r="H46" s="2271"/>
      <c r="I46" s="2271"/>
      <c r="J46" s="2271"/>
      <c r="K46" s="2271"/>
      <c r="L46" s="2271"/>
      <c r="M46" s="2271"/>
      <c r="N46" s="2271"/>
      <c r="O46" s="2271"/>
      <c r="P46" s="2271"/>
      <c r="Q46" s="2271"/>
    </row>
    <row r="47" spans="2:17" s="745" customFormat="1">
      <c r="B47" s="2271"/>
      <c r="C47" s="2271"/>
      <c r="D47" s="2271"/>
      <c r="E47" s="2271"/>
      <c r="F47" s="2271"/>
      <c r="G47" s="2271"/>
      <c r="H47" s="2271"/>
      <c r="I47" s="2271"/>
      <c r="J47" s="2271"/>
      <c r="K47" s="2271"/>
      <c r="L47" s="2271"/>
      <c r="M47" s="2271"/>
      <c r="N47" s="2271"/>
      <c r="O47" s="2271"/>
      <c r="P47" s="2271"/>
      <c r="Q47" s="2271"/>
    </row>
    <row r="48" spans="2:17" s="745" customFormat="1">
      <c r="B48" s="2271"/>
      <c r="C48" s="2271"/>
      <c r="D48" s="2271"/>
      <c r="E48" s="2271"/>
      <c r="F48" s="2271"/>
      <c r="G48" s="2271"/>
      <c r="H48" s="2271"/>
      <c r="I48" s="2271"/>
      <c r="J48" s="2271"/>
      <c r="K48" s="2271"/>
      <c r="L48" s="2271"/>
      <c r="M48" s="2271"/>
      <c r="N48" s="2271"/>
      <c r="O48" s="2271"/>
      <c r="P48" s="2271"/>
      <c r="Q48" s="2271"/>
    </row>
    <row r="49" spans="2:17" s="745" customFormat="1">
      <c r="B49" s="2271"/>
      <c r="C49" s="2271"/>
      <c r="D49" s="2271"/>
      <c r="E49" s="2271"/>
      <c r="F49" s="2271"/>
      <c r="G49" s="2271"/>
      <c r="H49" s="2271"/>
      <c r="I49" s="2271"/>
      <c r="J49" s="2271"/>
      <c r="K49" s="2271"/>
      <c r="L49" s="2271"/>
      <c r="M49" s="2271"/>
      <c r="N49" s="2271"/>
      <c r="O49" s="2271"/>
      <c r="P49" s="2271"/>
      <c r="Q49" s="2271"/>
    </row>
    <row r="50" spans="2:17" s="745" customFormat="1">
      <c r="B50" s="2271"/>
      <c r="C50" s="2271"/>
      <c r="D50" s="2271"/>
      <c r="E50" s="2271"/>
      <c r="F50" s="2271"/>
      <c r="G50" s="2271"/>
      <c r="H50" s="2271"/>
      <c r="I50" s="2271"/>
      <c r="J50" s="2271"/>
      <c r="K50" s="2271"/>
      <c r="L50" s="2271"/>
      <c r="M50" s="2271"/>
      <c r="N50" s="2271"/>
      <c r="O50" s="2271"/>
      <c r="P50" s="2271"/>
      <c r="Q50" s="2271"/>
    </row>
    <row r="51" spans="2:17" s="745" customFormat="1">
      <c r="B51" s="2271"/>
      <c r="C51" s="2271"/>
      <c r="D51" s="2271"/>
      <c r="E51" s="2271"/>
      <c r="F51" s="2271"/>
      <c r="G51" s="2271"/>
      <c r="H51" s="2271"/>
      <c r="I51" s="2271"/>
      <c r="J51" s="2271"/>
      <c r="K51" s="2271"/>
      <c r="L51" s="2271"/>
      <c r="M51" s="2271"/>
      <c r="N51" s="2271"/>
      <c r="O51" s="2271"/>
      <c r="P51" s="2271"/>
      <c r="Q51" s="2271"/>
    </row>
    <row r="52" spans="2:17" s="745" customFormat="1">
      <c r="B52" s="2271"/>
      <c r="C52" s="2271"/>
      <c r="D52" s="2271"/>
      <c r="E52" s="2271"/>
      <c r="F52" s="2271"/>
      <c r="G52" s="2271"/>
      <c r="H52" s="2271"/>
      <c r="I52" s="2271"/>
      <c r="J52" s="2271"/>
      <c r="K52" s="2271"/>
      <c r="L52" s="2271"/>
      <c r="M52" s="2271"/>
      <c r="N52" s="2271"/>
      <c r="O52" s="2271"/>
      <c r="P52" s="2271"/>
      <c r="Q52" s="2271"/>
    </row>
    <row r="53" spans="2:17" s="745" customFormat="1">
      <c r="B53" s="2271"/>
      <c r="C53" s="2271"/>
      <c r="D53" s="2271"/>
      <c r="E53" s="2271"/>
      <c r="F53" s="2271"/>
      <c r="G53" s="2271"/>
      <c r="H53" s="2271"/>
      <c r="I53" s="2271"/>
      <c r="J53" s="2271"/>
      <c r="K53" s="2271"/>
      <c r="L53" s="2271"/>
      <c r="M53" s="2271"/>
      <c r="N53" s="2271"/>
      <c r="O53" s="2271"/>
      <c r="P53" s="2271"/>
      <c r="Q53" s="2271"/>
    </row>
    <row r="54" spans="2:17" s="745" customFormat="1">
      <c r="B54" s="2271"/>
      <c r="C54" s="2271"/>
      <c r="D54" s="2271"/>
      <c r="E54" s="2271"/>
      <c r="F54" s="2271"/>
      <c r="G54" s="2271"/>
      <c r="H54" s="2271"/>
      <c r="I54" s="2271"/>
      <c r="J54" s="2271"/>
      <c r="K54" s="2271"/>
      <c r="L54" s="2271"/>
      <c r="M54" s="2271"/>
      <c r="N54" s="2271"/>
      <c r="O54" s="2271"/>
      <c r="P54" s="2271"/>
      <c r="Q54" s="2271"/>
    </row>
    <row r="55" spans="2:17" s="745" customFormat="1">
      <c r="B55" s="2271"/>
      <c r="C55" s="2271"/>
      <c r="D55" s="2271"/>
      <c r="E55" s="2271"/>
      <c r="F55" s="2271"/>
      <c r="G55" s="2271"/>
      <c r="H55" s="2271"/>
      <c r="I55" s="2271"/>
      <c r="J55" s="2271"/>
      <c r="K55" s="2271"/>
      <c r="L55" s="2271"/>
      <c r="M55" s="2271"/>
      <c r="N55" s="2271"/>
      <c r="O55" s="2271"/>
      <c r="P55" s="2271"/>
      <c r="Q55" s="2271"/>
    </row>
    <row r="56" spans="2:17" s="745" customFormat="1">
      <c r="B56" s="2271"/>
      <c r="C56" s="2271"/>
      <c r="D56" s="2271"/>
      <c r="E56" s="2271"/>
      <c r="F56" s="2271"/>
      <c r="G56" s="2271"/>
      <c r="H56" s="2271"/>
      <c r="I56" s="2271"/>
      <c r="J56" s="2271"/>
      <c r="K56" s="2271"/>
      <c r="L56" s="2271"/>
      <c r="M56" s="2271"/>
      <c r="N56" s="2271"/>
      <c r="O56" s="2271"/>
      <c r="P56" s="2271"/>
      <c r="Q56" s="2271"/>
    </row>
    <row r="57" spans="2:17" s="745" customFormat="1">
      <c r="B57" s="2271"/>
      <c r="C57" s="2271"/>
      <c r="D57" s="2271"/>
      <c r="E57" s="2271"/>
      <c r="F57" s="2271"/>
      <c r="G57" s="2271"/>
      <c r="H57" s="2271"/>
      <c r="I57" s="2271"/>
      <c r="J57" s="2271"/>
      <c r="K57" s="2271"/>
      <c r="L57" s="2271"/>
      <c r="M57" s="2271"/>
      <c r="N57" s="2271"/>
      <c r="O57" s="2271"/>
      <c r="P57" s="2271"/>
      <c r="Q57" s="2271"/>
    </row>
    <row r="58" spans="2:17" s="745" customFormat="1">
      <c r="B58" s="2271"/>
      <c r="C58" s="2271"/>
      <c r="D58" s="2271"/>
      <c r="E58" s="2271"/>
      <c r="F58" s="2271"/>
      <c r="G58" s="2271"/>
      <c r="H58" s="2271"/>
      <c r="I58" s="2271"/>
      <c r="J58" s="2271"/>
      <c r="K58" s="2271"/>
      <c r="L58" s="2271"/>
      <c r="M58" s="2271"/>
      <c r="N58" s="2271"/>
      <c r="O58" s="2271"/>
      <c r="P58" s="2271"/>
      <c r="Q58" s="2271"/>
    </row>
    <row r="59" spans="2:17" s="745" customFormat="1">
      <c r="B59" s="2271"/>
      <c r="C59" s="2271"/>
      <c r="D59" s="2271"/>
      <c r="E59" s="2271"/>
      <c r="F59" s="2271"/>
      <c r="G59" s="2271"/>
      <c r="H59" s="2271"/>
      <c r="I59" s="2271"/>
      <c r="J59" s="2271"/>
      <c r="K59" s="2271"/>
      <c r="L59" s="2271"/>
      <c r="M59" s="2271"/>
      <c r="N59" s="2271"/>
      <c r="O59" s="2271"/>
      <c r="P59" s="2271"/>
      <c r="Q59" s="2271"/>
    </row>
    <row r="60" spans="2:17" s="745" customFormat="1">
      <c r="B60" s="2271"/>
      <c r="C60" s="2271"/>
      <c r="D60" s="2271"/>
      <c r="E60" s="2271"/>
      <c r="F60" s="2271"/>
      <c r="G60" s="2271"/>
      <c r="H60" s="2271"/>
      <c r="I60" s="2271"/>
      <c r="J60" s="2271"/>
      <c r="K60" s="2271"/>
      <c r="L60" s="2271"/>
      <c r="M60" s="2271"/>
      <c r="N60" s="2271"/>
      <c r="O60" s="2271"/>
      <c r="P60" s="2271"/>
      <c r="Q60" s="2271"/>
    </row>
    <row r="61" spans="2:17" s="745" customFormat="1">
      <c r="B61" s="2271"/>
      <c r="C61" s="2271"/>
      <c r="D61" s="2271"/>
      <c r="E61" s="2271"/>
      <c r="F61" s="2271"/>
      <c r="G61" s="2271"/>
      <c r="H61" s="2271"/>
      <c r="I61" s="2271"/>
      <c r="J61" s="2271"/>
      <c r="K61" s="2271"/>
      <c r="L61" s="2271"/>
      <c r="M61" s="2271"/>
      <c r="N61" s="2271"/>
      <c r="O61" s="2271"/>
      <c r="P61" s="2271"/>
      <c r="Q61" s="2271"/>
    </row>
    <row r="62" spans="2:17" s="745" customFormat="1">
      <c r="B62" s="2271"/>
      <c r="C62" s="2271"/>
      <c r="D62" s="2271"/>
      <c r="E62" s="2271"/>
      <c r="F62" s="2271"/>
      <c r="G62" s="2271"/>
      <c r="H62" s="2271"/>
      <c r="I62" s="2271"/>
      <c r="J62" s="2271"/>
      <c r="K62" s="2271"/>
      <c r="L62" s="2271"/>
      <c r="M62" s="2271"/>
      <c r="N62" s="2271"/>
      <c r="O62" s="2271"/>
      <c r="P62" s="2271"/>
      <c r="Q62" s="2271"/>
    </row>
    <row r="63" spans="2:17" s="745" customFormat="1">
      <c r="B63" s="2271"/>
      <c r="C63" s="2271"/>
      <c r="D63" s="2271"/>
      <c r="E63" s="2271"/>
      <c r="F63" s="2271"/>
      <c r="G63" s="2271"/>
      <c r="H63" s="2271"/>
      <c r="I63" s="2271"/>
      <c r="J63" s="2271"/>
      <c r="K63" s="2271"/>
      <c r="L63" s="2271"/>
      <c r="M63" s="2271"/>
      <c r="N63" s="2271"/>
      <c r="O63" s="2271"/>
      <c r="P63" s="2271"/>
      <c r="Q63" s="2271"/>
    </row>
    <row r="64" spans="2:17" s="745" customFormat="1">
      <c r="B64" s="2271"/>
      <c r="C64" s="2271"/>
      <c r="D64" s="2271"/>
      <c r="E64" s="2271"/>
      <c r="F64" s="2271"/>
      <c r="G64" s="2271"/>
      <c r="H64" s="2271"/>
      <c r="I64" s="2271"/>
      <c r="J64" s="2271"/>
      <c r="K64" s="2271"/>
      <c r="L64" s="2271"/>
      <c r="M64" s="2271"/>
      <c r="N64" s="2271"/>
      <c r="O64" s="2271"/>
      <c r="P64" s="2271"/>
      <c r="Q64" s="2271"/>
    </row>
    <row r="65" spans="2:17" s="745" customFormat="1">
      <c r="B65" s="2271"/>
      <c r="C65" s="2271"/>
      <c r="D65" s="2271"/>
      <c r="E65" s="2271"/>
      <c r="F65" s="2271"/>
      <c r="G65" s="2271"/>
      <c r="H65" s="2271"/>
      <c r="I65" s="2271"/>
      <c r="J65" s="2271"/>
      <c r="K65" s="2271"/>
      <c r="L65" s="2271"/>
      <c r="M65" s="2271"/>
      <c r="N65" s="2271"/>
      <c r="O65" s="2271"/>
      <c r="P65" s="2271"/>
      <c r="Q65" s="2271"/>
    </row>
    <row r="66" spans="2:17" s="745" customFormat="1">
      <c r="B66" s="2271"/>
      <c r="C66" s="2271"/>
      <c r="D66" s="2271"/>
      <c r="E66" s="2271"/>
      <c r="F66" s="2271"/>
      <c r="G66" s="2271"/>
      <c r="H66" s="2271"/>
      <c r="I66" s="2271"/>
      <c r="J66" s="2271"/>
      <c r="K66" s="2271"/>
      <c r="L66" s="2271"/>
      <c r="M66" s="2271"/>
      <c r="N66" s="2271"/>
      <c r="O66" s="2271"/>
      <c r="P66" s="2271"/>
      <c r="Q66" s="2271"/>
    </row>
    <row r="67" spans="2:17" s="745" customFormat="1">
      <c r="B67" s="2271"/>
      <c r="C67" s="2271"/>
      <c r="D67" s="2271"/>
      <c r="E67" s="2271"/>
      <c r="F67" s="2271"/>
      <c r="G67" s="2271"/>
      <c r="H67" s="2271"/>
      <c r="I67" s="2271"/>
      <c r="J67" s="2271"/>
      <c r="K67" s="2271"/>
      <c r="L67" s="2271"/>
      <c r="M67" s="2271"/>
      <c r="N67" s="2271"/>
      <c r="O67" s="2271"/>
      <c r="P67" s="2271"/>
      <c r="Q67" s="2271"/>
    </row>
    <row r="68" spans="2:17" s="745" customFormat="1">
      <c r="B68" s="2271"/>
      <c r="C68" s="2271"/>
      <c r="D68" s="2271"/>
      <c r="E68" s="2271"/>
      <c r="F68" s="2271"/>
      <c r="G68" s="2271"/>
      <c r="H68" s="2271"/>
      <c r="I68" s="2271"/>
      <c r="J68" s="2271"/>
      <c r="K68" s="2271"/>
      <c r="L68" s="2271"/>
      <c r="M68" s="2271"/>
      <c r="N68" s="2271"/>
      <c r="O68" s="2271"/>
      <c r="P68" s="2271"/>
      <c r="Q68" s="2271"/>
    </row>
    <row r="69" spans="2:17" s="745" customFormat="1">
      <c r="B69" s="2271"/>
      <c r="C69" s="2271"/>
      <c r="D69" s="2271"/>
      <c r="E69" s="2271"/>
      <c r="F69" s="2271"/>
      <c r="G69" s="2271"/>
      <c r="H69" s="2271"/>
      <c r="I69" s="2271"/>
      <c r="J69" s="2271"/>
      <c r="K69" s="2271"/>
      <c r="L69" s="2271"/>
      <c r="M69" s="2271"/>
      <c r="N69" s="2271"/>
      <c r="O69" s="2271"/>
      <c r="P69" s="2271"/>
      <c r="Q69" s="2271"/>
    </row>
    <row r="70" spans="2:17" s="745" customFormat="1">
      <c r="B70" s="2271"/>
      <c r="C70" s="2271"/>
      <c r="D70" s="2271"/>
      <c r="E70" s="2271"/>
      <c r="F70" s="2271"/>
      <c r="G70" s="2271"/>
      <c r="H70" s="2271"/>
      <c r="I70" s="2271"/>
      <c r="J70" s="2271"/>
      <c r="K70" s="2271"/>
      <c r="L70" s="2271"/>
      <c r="M70" s="2271"/>
      <c r="N70" s="2271"/>
      <c r="O70" s="2271"/>
      <c r="P70" s="2271"/>
      <c r="Q70" s="2271"/>
    </row>
    <row r="71" spans="2:17" s="745" customFormat="1">
      <c r="B71" s="2271"/>
      <c r="C71" s="2271"/>
      <c r="D71" s="2271"/>
      <c r="E71" s="2271"/>
      <c r="F71" s="2271"/>
      <c r="G71" s="2271"/>
      <c r="H71" s="2271"/>
      <c r="I71" s="2271"/>
      <c r="J71" s="2271"/>
      <c r="K71" s="2271"/>
      <c r="L71" s="2271"/>
      <c r="M71" s="2271"/>
      <c r="N71" s="2271"/>
      <c r="O71" s="2271"/>
      <c r="P71" s="2271"/>
      <c r="Q71" s="2271"/>
    </row>
    <row r="72" spans="2:17" s="745" customFormat="1">
      <c r="B72" s="2271"/>
      <c r="C72" s="2271"/>
      <c r="D72" s="2271"/>
      <c r="E72" s="2271"/>
      <c r="F72" s="2271"/>
      <c r="G72" s="2271"/>
      <c r="H72" s="2271"/>
      <c r="I72" s="2271"/>
      <c r="J72" s="2271"/>
      <c r="K72" s="2271"/>
      <c r="L72" s="2271"/>
      <c r="M72" s="2271"/>
      <c r="N72" s="2271"/>
      <c r="O72" s="2271"/>
      <c r="P72" s="2271"/>
      <c r="Q72" s="2271"/>
    </row>
    <row r="73" spans="2:17" s="745" customFormat="1">
      <c r="B73" s="2271"/>
      <c r="C73" s="2271"/>
      <c r="D73" s="2271"/>
      <c r="E73" s="2271"/>
      <c r="F73" s="2271"/>
      <c r="G73" s="2271"/>
      <c r="H73" s="2271"/>
      <c r="I73" s="2271"/>
      <c r="J73" s="2271"/>
      <c r="K73" s="2271"/>
      <c r="L73" s="2271"/>
      <c r="M73" s="2271"/>
      <c r="N73" s="2271"/>
      <c r="O73" s="2271"/>
      <c r="P73" s="2271"/>
      <c r="Q73" s="2271"/>
    </row>
    <row r="74" spans="2:17" s="745" customFormat="1">
      <c r="B74" s="2271"/>
      <c r="C74" s="2271"/>
      <c r="D74" s="2271"/>
      <c r="E74" s="2271"/>
      <c r="F74" s="2271"/>
      <c r="G74" s="2271"/>
      <c r="H74" s="2271"/>
      <c r="I74" s="2271"/>
      <c r="J74" s="2271"/>
      <c r="K74" s="2271"/>
      <c r="L74" s="2271"/>
      <c r="M74" s="2271"/>
      <c r="N74" s="2271"/>
      <c r="O74" s="2271"/>
      <c r="P74" s="2271"/>
      <c r="Q74" s="2271"/>
    </row>
    <row r="75" spans="2:17" s="745" customFormat="1">
      <c r="B75" s="2271"/>
      <c r="C75" s="2271"/>
      <c r="D75" s="2271"/>
      <c r="E75" s="2271"/>
      <c r="F75" s="2271"/>
      <c r="G75" s="2271"/>
      <c r="H75" s="2271"/>
      <c r="I75" s="2271"/>
      <c r="J75" s="2271"/>
      <c r="K75" s="2271"/>
      <c r="L75" s="2271"/>
      <c r="M75" s="2271"/>
      <c r="N75" s="2271"/>
      <c r="O75" s="2271"/>
      <c r="P75" s="2271"/>
      <c r="Q75" s="2271"/>
    </row>
    <row r="76" spans="2:17" s="745" customFormat="1">
      <c r="B76" s="2271"/>
      <c r="C76" s="2271"/>
      <c r="D76" s="2271"/>
      <c r="E76" s="2271"/>
      <c r="F76" s="2271"/>
      <c r="G76" s="2271"/>
      <c r="H76" s="2271"/>
      <c r="I76" s="2271"/>
      <c r="J76" s="2271"/>
      <c r="K76" s="2271"/>
      <c r="L76" s="2271"/>
      <c r="M76" s="2271"/>
      <c r="N76" s="2271"/>
      <c r="O76" s="2271"/>
      <c r="P76" s="2271"/>
      <c r="Q76" s="2271"/>
    </row>
    <row r="77" spans="2:17" s="745" customFormat="1">
      <c r="B77" s="2271"/>
      <c r="C77" s="2271"/>
      <c r="D77" s="2271"/>
      <c r="E77" s="2271"/>
      <c r="F77" s="2271"/>
      <c r="G77" s="2271"/>
      <c r="H77" s="2271"/>
      <c r="I77" s="2271"/>
      <c r="J77" s="2271"/>
      <c r="K77" s="2271"/>
      <c r="L77" s="2271"/>
      <c r="M77" s="2271"/>
      <c r="N77" s="2271"/>
      <c r="O77" s="2271"/>
      <c r="P77" s="2271"/>
      <c r="Q77" s="2271"/>
    </row>
    <row r="78" spans="2:17" s="745" customFormat="1">
      <c r="B78" s="2271"/>
      <c r="C78" s="2271"/>
      <c r="D78" s="2271"/>
      <c r="E78" s="2271"/>
      <c r="F78" s="2271"/>
      <c r="G78" s="2271"/>
      <c r="H78" s="2271"/>
      <c r="I78" s="2271"/>
      <c r="J78" s="2271"/>
      <c r="K78" s="2271"/>
      <c r="L78" s="2271"/>
      <c r="M78" s="2271"/>
      <c r="N78" s="2271"/>
      <c r="O78" s="2271"/>
      <c r="P78" s="2271"/>
      <c r="Q78" s="2271"/>
    </row>
    <row r="79" spans="2:17" s="745" customFormat="1">
      <c r="B79" s="2271"/>
      <c r="C79" s="2271"/>
      <c r="D79" s="2271"/>
      <c r="E79" s="2271"/>
      <c r="F79" s="2271"/>
      <c r="G79" s="2271"/>
      <c r="H79" s="2271"/>
      <c r="I79" s="2271"/>
      <c r="J79" s="2271"/>
      <c r="K79" s="2271"/>
      <c r="L79" s="2271"/>
      <c r="M79" s="2271"/>
      <c r="N79" s="2271"/>
      <c r="O79" s="2271"/>
      <c r="P79" s="2271"/>
      <c r="Q79" s="2271"/>
    </row>
    <row r="80" spans="2:17" s="745" customFormat="1">
      <c r="B80" s="2271"/>
      <c r="C80" s="2271"/>
      <c r="D80" s="2271"/>
      <c r="E80" s="2271"/>
      <c r="F80" s="2271"/>
      <c r="G80" s="2271"/>
      <c r="H80" s="2271"/>
      <c r="I80" s="2271"/>
      <c r="J80" s="2271"/>
      <c r="K80" s="2271"/>
      <c r="L80" s="2271"/>
      <c r="M80" s="2271"/>
      <c r="N80" s="2271"/>
      <c r="O80" s="2271"/>
      <c r="P80" s="2271"/>
      <c r="Q80" s="2271"/>
    </row>
    <row r="81" spans="2:17" s="745" customFormat="1">
      <c r="B81" s="2271"/>
      <c r="C81" s="2271"/>
      <c r="D81" s="2271"/>
      <c r="E81" s="2271"/>
      <c r="F81" s="2271"/>
      <c r="G81" s="2271"/>
      <c r="H81" s="2271"/>
      <c r="I81" s="2271"/>
      <c r="J81" s="2271"/>
      <c r="K81" s="2271"/>
      <c r="L81" s="2271"/>
      <c r="M81" s="2271"/>
      <c r="N81" s="2271"/>
      <c r="O81" s="2271"/>
      <c r="P81" s="2271"/>
      <c r="Q81" s="2271"/>
    </row>
    <row r="82" spans="2:17" s="745" customFormat="1">
      <c r="B82" s="2271"/>
      <c r="C82" s="2271"/>
      <c r="D82" s="2271"/>
      <c r="E82" s="2271"/>
      <c r="F82" s="2271"/>
      <c r="G82" s="2271"/>
      <c r="H82" s="2271"/>
      <c r="I82" s="2271"/>
      <c r="J82" s="2271"/>
      <c r="K82" s="2271"/>
      <c r="L82" s="2271"/>
      <c r="M82" s="2271"/>
      <c r="N82" s="2271"/>
      <c r="O82" s="2271"/>
      <c r="P82" s="2271"/>
      <c r="Q82" s="2271"/>
    </row>
    <row r="83" spans="2:17" s="745" customFormat="1">
      <c r="B83" s="2271"/>
      <c r="C83" s="2271"/>
      <c r="D83" s="2271"/>
      <c r="E83" s="2271"/>
      <c r="F83" s="2271"/>
      <c r="G83" s="2271"/>
      <c r="H83" s="2271"/>
      <c r="I83" s="2271"/>
      <c r="J83" s="2271"/>
      <c r="K83" s="2271"/>
      <c r="L83" s="2271"/>
      <c r="M83" s="2271"/>
      <c r="N83" s="2271"/>
      <c r="O83" s="2271"/>
      <c r="P83" s="2271"/>
      <c r="Q83" s="2271"/>
    </row>
    <row r="84" spans="2:17" s="745" customFormat="1">
      <c r="B84" s="2271"/>
      <c r="C84" s="2271"/>
      <c r="D84" s="2271"/>
      <c r="E84" s="2271"/>
      <c r="F84" s="2271"/>
      <c r="G84" s="2271"/>
      <c r="H84" s="2271"/>
      <c r="I84" s="2271"/>
      <c r="J84" s="2271"/>
      <c r="K84" s="2271"/>
      <c r="L84" s="2271"/>
      <c r="M84" s="2271"/>
      <c r="N84" s="2271"/>
      <c r="O84" s="2271"/>
      <c r="P84" s="2271"/>
      <c r="Q84" s="2271"/>
    </row>
    <row r="85" spans="2:17" s="745" customFormat="1">
      <c r="B85" s="2271"/>
      <c r="C85" s="2271"/>
      <c r="D85" s="2271"/>
      <c r="E85" s="2271"/>
      <c r="F85" s="2271"/>
      <c r="G85" s="2271"/>
      <c r="H85" s="2271"/>
      <c r="I85" s="2271"/>
      <c r="J85" s="2271"/>
      <c r="K85" s="2271"/>
      <c r="L85" s="2271"/>
      <c r="M85" s="2271"/>
      <c r="N85" s="2271"/>
      <c r="O85" s="2271"/>
      <c r="P85" s="2271"/>
      <c r="Q85" s="2271"/>
    </row>
    <row r="86" spans="2:17" s="745" customFormat="1">
      <c r="B86" s="2271"/>
      <c r="C86" s="2271"/>
      <c r="D86" s="2271"/>
      <c r="E86" s="2271"/>
      <c r="F86" s="2271"/>
      <c r="G86" s="2271"/>
      <c r="H86" s="2271"/>
      <c r="I86" s="2271"/>
      <c r="J86" s="2271"/>
      <c r="K86" s="2271"/>
      <c r="L86" s="2271"/>
      <c r="M86" s="2271"/>
      <c r="N86" s="2271"/>
      <c r="O86" s="2271"/>
      <c r="P86" s="2271"/>
      <c r="Q86" s="2271"/>
    </row>
    <row r="87" spans="2:17" s="745" customFormat="1">
      <c r="B87" s="2271"/>
      <c r="C87" s="2271"/>
      <c r="D87" s="2271"/>
      <c r="E87" s="2271"/>
      <c r="F87" s="2271"/>
      <c r="G87" s="2271"/>
      <c r="H87" s="2271"/>
      <c r="I87" s="2271"/>
      <c r="J87" s="2271"/>
      <c r="K87" s="2271"/>
      <c r="L87" s="2271"/>
      <c r="M87" s="2271"/>
      <c r="N87" s="2271"/>
      <c r="O87" s="2271"/>
      <c r="P87" s="2271"/>
      <c r="Q87" s="2271"/>
    </row>
    <row r="88" spans="2:17" s="745" customFormat="1">
      <c r="B88" s="2271"/>
      <c r="C88" s="2271"/>
      <c r="D88" s="2271"/>
      <c r="E88" s="2271"/>
      <c r="F88" s="2271"/>
      <c r="G88" s="2271"/>
      <c r="H88" s="2271"/>
      <c r="I88" s="2271"/>
      <c r="J88" s="2271"/>
      <c r="K88" s="2271"/>
      <c r="L88" s="2271"/>
      <c r="M88" s="2271"/>
      <c r="N88" s="2271"/>
      <c r="O88" s="2271"/>
      <c r="P88" s="2271"/>
      <c r="Q88" s="2271"/>
    </row>
    <row r="89" spans="2:17" s="745" customFormat="1">
      <c r="B89" s="2271"/>
      <c r="C89" s="2271"/>
      <c r="D89" s="2271"/>
      <c r="E89" s="2271"/>
      <c r="F89" s="2271"/>
      <c r="G89" s="2271"/>
      <c r="H89" s="2271"/>
      <c r="I89" s="2271"/>
      <c r="J89" s="2271"/>
      <c r="K89" s="2271"/>
      <c r="L89" s="2271"/>
      <c r="M89" s="2271"/>
      <c r="N89" s="2271"/>
      <c r="O89" s="2271"/>
      <c r="P89" s="2271"/>
      <c r="Q89" s="2271"/>
    </row>
    <row r="90" spans="2:17" s="745" customFormat="1">
      <c r="B90" s="2271"/>
      <c r="C90" s="2271"/>
      <c r="D90" s="2271"/>
      <c r="E90" s="2271"/>
      <c r="F90" s="2271"/>
      <c r="G90" s="2271"/>
      <c r="H90" s="2271"/>
      <c r="I90" s="2271"/>
      <c r="J90" s="2271"/>
      <c r="K90" s="2271"/>
      <c r="L90" s="2271"/>
      <c r="M90" s="2271"/>
      <c r="N90" s="2271"/>
      <c r="O90" s="2271"/>
      <c r="P90" s="2271"/>
      <c r="Q90" s="2271"/>
    </row>
    <row r="91" spans="2:17" s="745" customFormat="1">
      <c r="B91" s="2271"/>
      <c r="C91" s="2271"/>
      <c r="D91" s="2271"/>
      <c r="E91" s="2271"/>
      <c r="F91" s="2271"/>
      <c r="G91" s="2271"/>
      <c r="H91" s="2271"/>
      <c r="I91" s="2271"/>
      <c r="J91" s="2271"/>
      <c r="K91" s="2271"/>
      <c r="L91" s="2271"/>
      <c r="M91" s="2271"/>
      <c r="N91" s="2271"/>
      <c r="O91" s="2271"/>
      <c r="P91" s="2271"/>
      <c r="Q91" s="2271"/>
    </row>
    <row r="92" spans="2:17" s="745" customFormat="1">
      <c r="B92" s="2271"/>
      <c r="C92" s="2271"/>
      <c r="D92" s="2271"/>
      <c r="E92" s="2271"/>
      <c r="F92" s="2271"/>
      <c r="G92" s="2271"/>
      <c r="H92" s="2271"/>
      <c r="I92" s="2271"/>
      <c r="J92" s="2271"/>
      <c r="K92" s="2271"/>
      <c r="L92" s="2271"/>
      <c r="M92" s="2271"/>
      <c r="N92" s="2271"/>
      <c r="O92" s="2271"/>
      <c r="P92" s="2271"/>
      <c r="Q92" s="2271"/>
    </row>
    <row r="93" spans="2:17" s="745" customFormat="1">
      <c r="B93" s="2271"/>
      <c r="C93" s="2271"/>
      <c r="D93" s="2271"/>
      <c r="E93" s="2271"/>
      <c r="F93" s="2271"/>
      <c r="G93" s="2271"/>
      <c r="H93" s="2271"/>
      <c r="I93" s="2271"/>
      <c r="J93" s="2271"/>
      <c r="K93" s="2271"/>
      <c r="L93" s="2271"/>
      <c r="M93" s="2271"/>
      <c r="N93" s="2271"/>
      <c r="O93" s="2271"/>
      <c r="P93" s="2271"/>
      <c r="Q93" s="2271"/>
    </row>
    <row r="94" spans="2:17" s="745" customFormat="1">
      <c r="B94" s="2271"/>
      <c r="C94" s="2271"/>
      <c r="D94" s="2271"/>
      <c r="E94" s="2271"/>
      <c r="F94" s="2271"/>
      <c r="G94" s="2271"/>
      <c r="H94" s="2271"/>
      <c r="I94" s="2271"/>
      <c r="J94" s="2271"/>
      <c r="K94" s="2271"/>
      <c r="L94" s="2271"/>
      <c r="M94" s="2271"/>
      <c r="N94" s="2271"/>
      <c r="O94" s="2271"/>
      <c r="P94" s="2271"/>
      <c r="Q94" s="2271"/>
    </row>
    <row r="95" spans="2:17" s="745" customFormat="1">
      <c r="B95" s="2271"/>
      <c r="C95" s="2271"/>
      <c r="D95" s="2271"/>
      <c r="E95" s="2271"/>
      <c r="F95" s="2271"/>
      <c r="G95" s="2271"/>
      <c r="H95" s="2271"/>
      <c r="I95" s="2271"/>
      <c r="J95" s="2271"/>
      <c r="K95" s="2271"/>
      <c r="L95" s="2271"/>
      <c r="M95" s="2271"/>
      <c r="N95" s="2271"/>
      <c r="O95" s="2271"/>
      <c r="P95" s="2271"/>
      <c r="Q95" s="2271"/>
    </row>
    <row r="96" spans="2:17" s="745" customFormat="1">
      <c r="B96" s="2271"/>
      <c r="C96" s="2271"/>
      <c r="D96" s="2271"/>
      <c r="E96" s="2271"/>
      <c r="F96" s="2271"/>
      <c r="G96" s="2271"/>
      <c r="H96" s="2271"/>
      <c r="I96" s="2271"/>
      <c r="J96" s="2271"/>
      <c r="K96" s="2271"/>
      <c r="L96" s="2271"/>
      <c r="M96" s="2271"/>
      <c r="N96" s="2271"/>
      <c r="O96" s="2271"/>
      <c r="P96" s="2271"/>
      <c r="Q96" s="2271"/>
    </row>
    <row r="97" spans="2:17" s="745" customFormat="1">
      <c r="B97" s="2271"/>
      <c r="C97" s="2271"/>
      <c r="D97" s="2271"/>
      <c r="E97" s="2271"/>
      <c r="F97" s="2271"/>
      <c r="G97" s="2271"/>
      <c r="H97" s="2271"/>
      <c r="I97" s="2271"/>
      <c r="J97" s="2271"/>
      <c r="K97" s="2271"/>
      <c r="L97" s="2271"/>
      <c r="M97" s="2271"/>
      <c r="N97" s="2271"/>
      <c r="O97" s="2271"/>
      <c r="P97" s="2271"/>
      <c r="Q97" s="2271"/>
    </row>
    <row r="98" spans="2:17" s="745" customFormat="1">
      <c r="B98" s="2271"/>
      <c r="C98" s="2271"/>
      <c r="D98" s="2271"/>
      <c r="E98" s="2271"/>
      <c r="F98" s="2271"/>
      <c r="G98" s="2271"/>
      <c r="H98" s="2271"/>
      <c r="I98" s="2271"/>
      <c r="J98" s="2271"/>
      <c r="K98" s="2271"/>
      <c r="L98" s="2271"/>
      <c r="M98" s="2271"/>
      <c r="N98" s="2271"/>
      <c r="O98" s="2271"/>
      <c r="P98" s="2271"/>
      <c r="Q98" s="2271"/>
    </row>
    <row r="99" spans="2:17" s="745" customFormat="1">
      <c r="B99" s="2271"/>
      <c r="C99" s="2271"/>
      <c r="D99" s="2271"/>
      <c r="E99" s="2271"/>
      <c r="F99" s="2271"/>
      <c r="G99" s="2271"/>
      <c r="H99" s="2271"/>
      <c r="I99" s="2271"/>
      <c r="J99" s="2271"/>
      <c r="K99" s="2271"/>
      <c r="L99" s="2271"/>
      <c r="M99" s="2271"/>
      <c r="N99" s="2271"/>
      <c r="O99" s="2271"/>
      <c r="P99" s="2271"/>
      <c r="Q99" s="2271"/>
    </row>
    <row r="100" spans="2:17" s="745" customFormat="1">
      <c r="B100" s="2271"/>
      <c r="C100" s="2271"/>
      <c r="D100" s="2271"/>
      <c r="E100" s="2271"/>
      <c r="F100" s="2271"/>
      <c r="G100" s="2271"/>
      <c r="H100" s="2271"/>
      <c r="I100" s="2271"/>
      <c r="J100" s="2271"/>
      <c r="K100" s="2271"/>
      <c r="L100" s="2271"/>
      <c r="M100" s="2271"/>
      <c r="N100" s="2271"/>
      <c r="O100" s="2271"/>
      <c r="P100" s="2271"/>
      <c r="Q100" s="2271"/>
    </row>
    <row r="101" spans="2:17" s="745" customFormat="1">
      <c r="B101" s="2271"/>
      <c r="C101" s="2271"/>
      <c r="D101" s="2271"/>
      <c r="E101" s="2271"/>
      <c r="F101" s="2271"/>
      <c r="G101" s="2271"/>
      <c r="H101" s="2271"/>
      <c r="I101" s="2271"/>
      <c r="J101" s="2271"/>
      <c r="K101" s="2271"/>
      <c r="L101" s="2271"/>
      <c r="M101" s="2271"/>
      <c r="N101" s="2271"/>
      <c r="O101" s="2271"/>
      <c r="P101" s="2271"/>
      <c r="Q101" s="2271"/>
    </row>
    <row r="102" spans="2:17" s="745" customFormat="1">
      <c r="B102" s="2271"/>
      <c r="C102" s="2271"/>
      <c r="D102" s="2271"/>
      <c r="E102" s="2271"/>
      <c r="F102" s="2271"/>
      <c r="G102" s="2271"/>
      <c r="H102" s="2271"/>
      <c r="I102" s="2271"/>
      <c r="J102" s="2271"/>
      <c r="K102" s="2271"/>
      <c r="L102" s="2271"/>
      <c r="M102" s="2271"/>
      <c r="N102" s="2271"/>
      <c r="O102" s="2271"/>
      <c r="P102" s="2271"/>
      <c r="Q102" s="2271"/>
    </row>
    <row r="103" spans="2:17" s="745" customFormat="1">
      <c r="B103" s="2271"/>
      <c r="C103" s="2271"/>
      <c r="D103" s="2271"/>
      <c r="E103" s="2271"/>
      <c r="F103" s="2271"/>
      <c r="G103" s="2271"/>
      <c r="H103" s="2271"/>
      <c r="I103" s="2271"/>
      <c r="J103" s="2271"/>
      <c r="K103" s="2271"/>
      <c r="L103" s="2271"/>
      <c r="M103" s="2271"/>
      <c r="N103" s="2271"/>
      <c r="O103" s="2271"/>
      <c r="P103" s="2271"/>
      <c r="Q103" s="2271"/>
    </row>
    <row r="104" spans="2:17" s="745" customFormat="1">
      <c r="B104" s="2271"/>
      <c r="C104" s="2271"/>
      <c r="D104" s="2271"/>
      <c r="E104" s="2271"/>
      <c r="F104" s="2271"/>
      <c r="G104" s="2271"/>
      <c r="H104" s="2271"/>
      <c r="I104" s="2271"/>
      <c r="J104" s="2271"/>
      <c r="K104" s="2271"/>
      <c r="L104" s="2271"/>
      <c r="M104" s="2271"/>
      <c r="N104" s="2271"/>
      <c r="O104" s="2271"/>
      <c r="P104" s="2271"/>
      <c r="Q104" s="2271"/>
    </row>
    <row r="105" spans="2:17" s="745" customFormat="1">
      <c r="B105" s="2271"/>
      <c r="C105" s="2271"/>
      <c r="D105" s="2271"/>
      <c r="E105" s="2271"/>
      <c r="F105" s="2271"/>
      <c r="G105" s="2271"/>
      <c r="H105" s="2271"/>
      <c r="I105" s="2271"/>
      <c r="J105" s="2271"/>
      <c r="K105" s="2271"/>
      <c r="L105" s="2271"/>
      <c r="M105" s="2271"/>
      <c r="N105" s="2271"/>
      <c r="O105" s="2271"/>
      <c r="P105" s="2271"/>
      <c r="Q105" s="2271"/>
    </row>
    <row r="106" spans="2:17" s="745" customFormat="1">
      <c r="B106" s="2271"/>
      <c r="C106" s="2271"/>
      <c r="D106" s="2271"/>
      <c r="E106" s="2271"/>
      <c r="F106" s="2271"/>
      <c r="G106" s="2271"/>
      <c r="H106" s="2271"/>
      <c r="I106" s="2271"/>
      <c r="J106" s="2271"/>
      <c r="K106" s="2271"/>
      <c r="L106" s="2271"/>
      <c r="M106" s="2271"/>
      <c r="N106" s="2271"/>
      <c r="O106" s="2271"/>
      <c r="P106" s="2271"/>
      <c r="Q106" s="2271"/>
    </row>
    <row r="107" spans="2:17" s="745" customFormat="1">
      <c r="B107" s="2271"/>
      <c r="C107" s="2271"/>
      <c r="D107" s="2271"/>
      <c r="E107" s="2271"/>
      <c r="F107" s="2271"/>
      <c r="G107" s="2271"/>
      <c r="H107" s="2271"/>
      <c r="I107" s="2271"/>
      <c r="J107" s="2271"/>
      <c r="K107" s="2271"/>
      <c r="L107" s="2271"/>
      <c r="M107" s="2271"/>
      <c r="N107" s="2271"/>
      <c r="O107" s="2271"/>
      <c r="P107" s="2271"/>
      <c r="Q107" s="2271"/>
    </row>
    <row r="108" spans="2:17" s="745" customFormat="1">
      <c r="B108" s="2271"/>
      <c r="C108" s="2271"/>
      <c r="D108" s="2271"/>
      <c r="E108" s="2271"/>
      <c r="F108" s="2271"/>
      <c r="G108" s="2271"/>
      <c r="H108" s="2271"/>
      <c r="I108" s="2271"/>
      <c r="J108" s="2271"/>
      <c r="K108" s="2271"/>
      <c r="L108" s="2271"/>
      <c r="M108" s="2271"/>
      <c r="N108" s="2271"/>
      <c r="O108" s="2271"/>
      <c r="P108" s="2271"/>
      <c r="Q108" s="2271"/>
    </row>
    <row r="109" spans="2:17" s="745" customFormat="1">
      <c r="B109" s="2271"/>
      <c r="C109" s="2271"/>
      <c r="D109" s="2271"/>
      <c r="E109" s="2271"/>
      <c r="F109" s="2271"/>
      <c r="G109" s="2271"/>
      <c r="H109" s="2271"/>
      <c r="I109" s="2271"/>
      <c r="J109" s="2271"/>
      <c r="K109" s="2271"/>
      <c r="L109" s="2271"/>
      <c r="M109" s="2271"/>
      <c r="N109" s="2271"/>
      <c r="O109" s="2271"/>
      <c r="P109" s="2271"/>
      <c r="Q109" s="2271"/>
    </row>
    <row r="110" spans="2:17" s="745" customFormat="1">
      <c r="B110" s="2271"/>
      <c r="C110" s="2271"/>
      <c r="D110" s="2271"/>
      <c r="E110" s="2271"/>
      <c r="F110" s="2271"/>
      <c r="G110" s="2271"/>
      <c r="H110" s="2271"/>
      <c r="I110" s="2271"/>
      <c r="J110" s="2271"/>
      <c r="K110" s="2271"/>
      <c r="L110" s="2271"/>
      <c r="M110" s="2271"/>
      <c r="N110" s="2271"/>
      <c r="O110" s="2271"/>
      <c r="P110" s="2271"/>
      <c r="Q110" s="2271"/>
    </row>
    <row r="111" spans="2:17" s="745" customFormat="1">
      <c r="B111" s="2271"/>
      <c r="C111" s="2271"/>
      <c r="D111" s="2271"/>
      <c r="E111" s="2271"/>
      <c r="F111" s="2271"/>
      <c r="G111" s="2271"/>
      <c r="H111" s="2271"/>
      <c r="I111" s="2271"/>
      <c r="J111" s="2271"/>
      <c r="K111" s="2271"/>
      <c r="L111" s="2271"/>
      <c r="M111" s="2271"/>
      <c r="N111" s="2271"/>
      <c r="O111" s="2271"/>
      <c r="P111" s="2271"/>
      <c r="Q111" s="2271"/>
    </row>
    <row r="112" spans="2:17" s="745" customFormat="1">
      <c r="B112" s="2271"/>
      <c r="C112" s="2271"/>
      <c r="D112" s="2271"/>
      <c r="E112" s="2271"/>
      <c r="F112" s="2271"/>
      <c r="G112" s="2271"/>
      <c r="H112" s="2271"/>
      <c r="I112" s="2271"/>
      <c r="J112" s="2271"/>
      <c r="K112" s="2271"/>
      <c r="L112" s="2271"/>
      <c r="M112" s="2271"/>
      <c r="N112" s="2271"/>
      <c r="O112" s="2271"/>
      <c r="P112" s="2271"/>
      <c r="Q112" s="2271"/>
    </row>
    <row r="113" spans="2:17" s="745" customFormat="1">
      <c r="B113" s="2271"/>
      <c r="C113" s="2271"/>
      <c r="D113" s="2271"/>
      <c r="E113" s="2271"/>
      <c r="F113" s="2271"/>
      <c r="G113" s="2271"/>
      <c r="H113" s="2271"/>
      <c r="I113" s="2271"/>
      <c r="J113" s="2271"/>
      <c r="K113" s="2271"/>
      <c r="L113" s="2271"/>
      <c r="M113" s="2271"/>
      <c r="N113" s="2271"/>
      <c r="O113" s="2271"/>
      <c r="P113" s="2271"/>
      <c r="Q113" s="2271"/>
    </row>
    <row r="114" spans="2:17" s="745" customFormat="1">
      <c r="B114" s="2271"/>
      <c r="C114" s="2271"/>
      <c r="D114" s="2271"/>
      <c r="E114" s="2271"/>
      <c r="F114" s="2271"/>
      <c r="G114" s="2271"/>
      <c r="H114" s="2271"/>
      <c r="I114" s="2271"/>
      <c r="J114" s="2271"/>
      <c r="K114" s="2271"/>
      <c r="L114" s="2271"/>
      <c r="M114" s="2271"/>
      <c r="N114" s="2271"/>
      <c r="O114" s="2271"/>
      <c r="P114" s="2271"/>
      <c r="Q114" s="2271"/>
    </row>
    <row r="115" spans="2:17" s="745" customFormat="1">
      <c r="B115" s="2271"/>
      <c r="C115" s="2271"/>
      <c r="D115" s="2271"/>
      <c r="E115" s="2271"/>
      <c r="F115" s="2271"/>
      <c r="G115" s="2271"/>
      <c r="H115" s="2271"/>
      <c r="I115" s="2271"/>
      <c r="J115" s="2271"/>
      <c r="K115" s="2271"/>
      <c r="L115" s="2271"/>
      <c r="M115" s="2271"/>
      <c r="N115" s="2271"/>
      <c r="O115" s="2271"/>
      <c r="P115" s="2271"/>
      <c r="Q115" s="2271"/>
    </row>
    <row r="116" spans="2:17" s="745" customFormat="1">
      <c r="B116" s="2271"/>
      <c r="C116" s="2271"/>
      <c r="D116" s="2271"/>
      <c r="E116" s="2271"/>
      <c r="F116" s="2271"/>
      <c r="G116" s="2271"/>
      <c r="H116" s="2271"/>
      <c r="I116" s="2271"/>
      <c r="J116" s="2271"/>
      <c r="K116" s="2271"/>
      <c r="L116" s="2271"/>
      <c r="M116" s="2271"/>
      <c r="N116" s="2271"/>
      <c r="O116" s="2271"/>
      <c r="P116" s="2271"/>
      <c r="Q116" s="2271"/>
    </row>
    <row r="117" spans="2:17" s="745" customFormat="1">
      <c r="B117" s="2271"/>
      <c r="C117" s="2271"/>
      <c r="D117" s="2271"/>
      <c r="E117" s="2271"/>
      <c r="F117" s="2271"/>
      <c r="G117" s="2271"/>
      <c r="H117" s="2271"/>
      <c r="I117" s="2271"/>
      <c r="J117" s="2271"/>
      <c r="K117" s="2271"/>
      <c r="L117" s="2271"/>
      <c r="M117" s="2271"/>
      <c r="N117" s="2271"/>
      <c r="O117" s="2271"/>
      <c r="P117" s="2271"/>
      <c r="Q117" s="2271"/>
    </row>
    <row r="118" spans="2:17" s="745" customFormat="1">
      <c r="B118" s="2271"/>
      <c r="C118" s="2271"/>
      <c r="D118" s="2271"/>
      <c r="E118" s="2271"/>
      <c r="F118" s="2271"/>
      <c r="G118" s="2271"/>
      <c r="H118" s="2271"/>
      <c r="I118" s="2271"/>
      <c r="J118" s="2271"/>
      <c r="K118" s="2271"/>
      <c r="L118" s="2271"/>
      <c r="M118" s="2271"/>
      <c r="N118" s="2271"/>
      <c r="O118" s="2271"/>
      <c r="P118" s="2271"/>
      <c r="Q118" s="2271"/>
    </row>
    <row r="119" spans="2:17" s="745" customFormat="1">
      <c r="B119" s="2271"/>
      <c r="C119" s="2271"/>
      <c r="D119" s="2271"/>
      <c r="E119" s="2271"/>
      <c r="F119" s="2271"/>
      <c r="G119" s="2271"/>
      <c r="H119" s="2271"/>
      <c r="I119" s="2271"/>
      <c r="J119" s="2271"/>
      <c r="K119" s="2271"/>
      <c r="L119" s="2271"/>
      <c r="M119" s="2271"/>
      <c r="N119" s="2271"/>
      <c r="O119" s="2271"/>
      <c r="P119" s="2271"/>
      <c r="Q119" s="2271"/>
    </row>
    <row r="120" spans="2:17" s="745" customFormat="1">
      <c r="B120" s="2271"/>
      <c r="C120" s="2271"/>
      <c r="D120" s="2271"/>
      <c r="E120" s="2271"/>
      <c r="F120" s="2271"/>
      <c r="G120" s="2271"/>
      <c r="H120" s="2271"/>
      <c r="I120" s="2271"/>
      <c r="J120" s="2271"/>
      <c r="K120" s="2271"/>
      <c r="L120" s="2271"/>
      <c r="M120" s="2271"/>
      <c r="N120" s="2271"/>
      <c r="O120" s="2271"/>
      <c r="P120" s="2271"/>
      <c r="Q120" s="2271"/>
    </row>
    <row r="121" spans="2:17" s="745" customFormat="1">
      <c r="B121" s="2271"/>
      <c r="C121" s="2271"/>
      <c r="D121" s="2271"/>
      <c r="E121" s="2271"/>
      <c r="F121" s="2271"/>
      <c r="G121" s="2271"/>
      <c r="H121" s="2271"/>
      <c r="I121" s="2271"/>
      <c r="J121" s="2271"/>
      <c r="K121" s="2271"/>
      <c r="L121" s="2271"/>
      <c r="M121" s="2271"/>
      <c r="N121" s="2271"/>
      <c r="O121" s="2271"/>
      <c r="P121" s="2271"/>
      <c r="Q121" s="2271"/>
    </row>
    <row r="122" spans="2:17" s="745" customFormat="1">
      <c r="B122" s="2271"/>
      <c r="C122" s="2271"/>
      <c r="D122" s="2271"/>
      <c r="E122" s="2271"/>
      <c r="F122" s="2271"/>
      <c r="G122" s="2271"/>
      <c r="H122" s="2271"/>
      <c r="I122" s="2271"/>
      <c r="J122" s="2271"/>
      <c r="K122" s="2271"/>
      <c r="L122" s="2271"/>
      <c r="M122" s="2271"/>
      <c r="N122" s="2271"/>
      <c r="O122" s="2271"/>
      <c r="P122" s="2271"/>
      <c r="Q122" s="2271"/>
    </row>
    <row r="123" spans="2:17" s="745" customFormat="1">
      <c r="B123" s="2271"/>
      <c r="C123" s="2271"/>
      <c r="D123" s="2271"/>
      <c r="E123" s="2271"/>
      <c r="F123" s="2271"/>
      <c r="G123" s="2271"/>
      <c r="H123" s="2271"/>
      <c r="I123" s="2271"/>
      <c r="J123" s="2271"/>
      <c r="K123" s="2271"/>
      <c r="L123" s="2271"/>
      <c r="M123" s="2271"/>
      <c r="N123" s="2271"/>
      <c r="O123" s="2271"/>
      <c r="P123" s="2271"/>
      <c r="Q123" s="2271"/>
    </row>
    <row r="124" spans="2:17" s="745" customFormat="1">
      <c r="B124" s="2271"/>
      <c r="C124" s="2271"/>
      <c r="D124" s="2271"/>
      <c r="E124" s="2271"/>
      <c r="F124" s="2271"/>
      <c r="G124" s="2271"/>
      <c r="H124" s="2271"/>
      <c r="I124" s="2271"/>
      <c r="J124" s="2271"/>
      <c r="K124" s="2271"/>
      <c r="L124" s="2271"/>
      <c r="M124" s="2271"/>
      <c r="N124" s="2271"/>
      <c r="O124" s="2271"/>
      <c r="P124" s="2271"/>
      <c r="Q124" s="2271"/>
    </row>
    <row r="125" spans="2:17" s="745" customFormat="1">
      <c r="B125" s="2271"/>
      <c r="C125" s="2271"/>
      <c r="D125" s="2271"/>
      <c r="E125" s="2271"/>
      <c r="F125" s="2271"/>
      <c r="G125" s="2271"/>
      <c r="H125" s="2271"/>
      <c r="I125" s="2271"/>
      <c r="J125" s="2271"/>
      <c r="K125" s="2271"/>
      <c r="L125" s="2271"/>
      <c r="M125" s="2271"/>
      <c r="N125" s="2271"/>
      <c r="O125" s="2271"/>
      <c r="P125" s="2271"/>
      <c r="Q125" s="2271"/>
    </row>
    <row r="126" spans="2:17" s="745" customFormat="1">
      <c r="B126" s="2271"/>
      <c r="C126" s="2271"/>
      <c r="D126" s="2271"/>
      <c r="E126" s="2271"/>
      <c r="F126" s="2271"/>
      <c r="G126" s="2271"/>
      <c r="H126" s="2271"/>
      <c r="I126" s="2271"/>
      <c r="J126" s="2271"/>
      <c r="K126" s="2271"/>
      <c r="L126" s="2271"/>
      <c r="M126" s="2271"/>
      <c r="N126" s="2271"/>
      <c r="O126" s="2271"/>
      <c r="P126" s="2271"/>
      <c r="Q126" s="2271"/>
    </row>
    <row r="127" spans="2:17" s="745" customFormat="1">
      <c r="B127" s="2271"/>
      <c r="C127" s="2271"/>
      <c r="D127" s="2271"/>
      <c r="E127" s="2271"/>
      <c r="F127" s="2271"/>
      <c r="G127" s="2271"/>
      <c r="H127" s="2271"/>
      <c r="I127" s="2271"/>
      <c r="J127" s="2271"/>
      <c r="K127" s="2271"/>
      <c r="L127" s="2271"/>
      <c r="M127" s="2271"/>
      <c r="N127" s="2271"/>
      <c r="O127" s="2271"/>
      <c r="P127" s="2271"/>
      <c r="Q127" s="2271"/>
    </row>
    <row r="128" spans="2:17" s="745" customFormat="1">
      <c r="B128" s="2271"/>
      <c r="C128" s="2271"/>
      <c r="D128" s="2271"/>
      <c r="E128" s="2271"/>
      <c r="F128" s="2271"/>
      <c r="G128" s="2271"/>
      <c r="H128" s="2271"/>
      <c r="I128" s="2271"/>
      <c r="J128" s="2271"/>
      <c r="K128" s="2271"/>
      <c r="L128" s="2271"/>
      <c r="M128" s="2271"/>
      <c r="N128" s="2271"/>
      <c r="O128" s="2271"/>
      <c r="P128" s="2271"/>
      <c r="Q128" s="2271"/>
    </row>
    <row r="129" spans="2:17" s="745" customFormat="1">
      <c r="B129" s="2271"/>
      <c r="C129" s="2271"/>
      <c r="D129" s="2271"/>
      <c r="E129" s="2271"/>
      <c r="F129" s="2271"/>
      <c r="G129" s="2271"/>
      <c r="H129" s="2271"/>
      <c r="I129" s="2271"/>
      <c r="J129" s="2271"/>
      <c r="K129" s="2271"/>
      <c r="L129" s="2271"/>
      <c r="M129" s="2271"/>
      <c r="N129" s="2271"/>
      <c r="O129" s="2271"/>
      <c r="P129" s="2271"/>
      <c r="Q129" s="2271"/>
    </row>
    <row r="130" spans="2:17" s="745" customFormat="1">
      <c r="B130" s="2271"/>
      <c r="C130" s="2271"/>
      <c r="D130" s="2271"/>
      <c r="E130" s="2271"/>
      <c r="F130" s="2271"/>
      <c r="G130" s="2271"/>
      <c r="H130" s="2271"/>
      <c r="I130" s="2271"/>
      <c r="J130" s="2271"/>
      <c r="K130" s="2271"/>
      <c r="L130" s="2271"/>
      <c r="M130" s="2271"/>
      <c r="N130" s="2271"/>
      <c r="O130" s="2271"/>
      <c r="P130" s="2271"/>
      <c r="Q130" s="2271"/>
    </row>
    <row r="131" spans="2:17" s="745" customFormat="1">
      <c r="B131" s="2271"/>
      <c r="C131" s="2271"/>
      <c r="D131" s="2271"/>
      <c r="E131" s="2271"/>
      <c r="F131" s="2271"/>
      <c r="G131" s="2271"/>
      <c r="H131" s="2271"/>
      <c r="I131" s="2271"/>
      <c r="J131" s="2271"/>
      <c r="K131" s="2271"/>
      <c r="L131" s="2271"/>
      <c r="M131" s="2271"/>
      <c r="N131" s="2271"/>
      <c r="O131" s="2271"/>
      <c r="P131" s="2271"/>
      <c r="Q131" s="2271"/>
    </row>
    <row r="132" spans="2:17" s="745" customFormat="1">
      <c r="B132" s="2271"/>
      <c r="C132" s="2271"/>
      <c r="D132" s="2271"/>
      <c r="E132" s="2271"/>
      <c r="F132" s="2271"/>
      <c r="G132" s="2271"/>
      <c r="H132" s="2271"/>
      <c r="I132" s="2271"/>
      <c r="J132" s="2271"/>
      <c r="K132" s="2271"/>
      <c r="L132" s="2271"/>
      <c r="M132" s="2271"/>
      <c r="N132" s="2271"/>
      <c r="O132" s="2271"/>
      <c r="P132" s="2271"/>
      <c r="Q132" s="2271"/>
    </row>
    <row r="133" spans="2:17" s="745" customFormat="1">
      <c r="B133" s="2271"/>
      <c r="C133" s="2271"/>
      <c r="D133" s="2271"/>
      <c r="E133" s="2271"/>
      <c r="F133" s="2271"/>
      <c r="G133" s="2271"/>
      <c r="H133" s="2271"/>
      <c r="I133" s="2271"/>
      <c r="J133" s="2271"/>
      <c r="K133" s="2271"/>
      <c r="L133" s="2271"/>
      <c r="M133" s="2271"/>
      <c r="N133" s="2271"/>
      <c r="O133" s="2271"/>
      <c r="P133" s="2271"/>
      <c r="Q133" s="2271"/>
    </row>
    <row r="134" spans="2:17" s="745" customFormat="1">
      <c r="B134" s="2271"/>
      <c r="C134" s="2271"/>
      <c r="D134" s="2271"/>
      <c r="E134" s="2271"/>
      <c r="F134" s="2271"/>
      <c r="G134" s="2271"/>
      <c r="H134" s="2271"/>
      <c r="I134" s="2271"/>
      <c r="J134" s="2271"/>
      <c r="K134" s="2271"/>
      <c r="L134" s="2271"/>
      <c r="M134" s="2271"/>
      <c r="N134" s="2271"/>
      <c r="O134" s="2271"/>
      <c r="P134" s="2271"/>
      <c r="Q134" s="2271"/>
    </row>
    <row r="135" spans="2:17" s="745" customFormat="1">
      <c r="B135" s="2271"/>
      <c r="C135" s="2271"/>
      <c r="D135" s="2271"/>
      <c r="E135" s="2271"/>
      <c r="F135" s="2271"/>
      <c r="G135" s="2271"/>
      <c r="H135" s="2271"/>
      <c r="I135" s="2271"/>
      <c r="J135" s="2271"/>
      <c r="K135" s="2271"/>
      <c r="L135" s="2271"/>
      <c r="M135" s="2271"/>
      <c r="N135" s="2271"/>
      <c r="O135" s="2271"/>
      <c r="P135" s="2271"/>
      <c r="Q135" s="2271"/>
    </row>
    <row r="136" spans="2:17" s="745" customFormat="1">
      <c r="B136" s="2271"/>
      <c r="C136" s="2271"/>
      <c r="D136" s="2271"/>
      <c r="E136" s="2271"/>
      <c r="F136" s="2271"/>
      <c r="G136" s="2271"/>
      <c r="H136" s="2271"/>
      <c r="I136" s="2271"/>
      <c r="J136" s="2271"/>
      <c r="K136" s="2271"/>
      <c r="L136" s="2271"/>
      <c r="M136" s="2271"/>
      <c r="N136" s="2271"/>
      <c r="O136" s="2271"/>
      <c r="P136" s="2271"/>
      <c r="Q136" s="2271"/>
    </row>
    <row r="137" spans="2:17" s="745" customFormat="1">
      <c r="B137" s="2271"/>
      <c r="C137" s="2271"/>
      <c r="D137" s="2271"/>
      <c r="E137" s="2271"/>
      <c r="F137" s="2271"/>
      <c r="G137" s="2271"/>
      <c r="H137" s="2271"/>
      <c r="I137" s="2271"/>
      <c r="J137" s="2271"/>
      <c r="K137" s="2271"/>
      <c r="L137" s="2271"/>
      <c r="M137" s="2271"/>
      <c r="N137" s="2271"/>
      <c r="O137" s="2271"/>
      <c r="P137" s="2271"/>
      <c r="Q137" s="2271"/>
    </row>
    <row r="138" spans="2:17" s="745" customFormat="1">
      <c r="B138" s="2271"/>
      <c r="C138" s="2271"/>
      <c r="D138" s="2271"/>
      <c r="E138" s="2271"/>
      <c r="F138" s="2271"/>
      <c r="G138" s="2271"/>
      <c r="H138" s="2271"/>
      <c r="I138" s="2271"/>
      <c r="J138" s="2271"/>
      <c r="K138" s="2271"/>
      <c r="L138" s="2271"/>
      <c r="M138" s="2271"/>
      <c r="N138" s="2271"/>
      <c r="O138" s="2271"/>
      <c r="P138" s="2271"/>
      <c r="Q138" s="2271"/>
    </row>
    <row r="139" spans="2:17" s="745" customFormat="1">
      <c r="B139" s="2271"/>
      <c r="C139" s="2271"/>
      <c r="D139" s="2271"/>
      <c r="E139" s="2271"/>
      <c r="F139" s="2271"/>
      <c r="G139" s="2271"/>
      <c r="H139" s="2271"/>
      <c r="I139" s="2271"/>
      <c r="J139" s="2271"/>
      <c r="K139" s="2271"/>
      <c r="L139" s="2271"/>
      <c r="M139" s="2271"/>
      <c r="N139" s="2271"/>
      <c r="O139" s="2271"/>
      <c r="P139" s="2271"/>
      <c r="Q139" s="2271"/>
    </row>
    <row r="140" spans="2:17" s="745" customFormat="1">
      <c r="B140" s="2271"/>
      <c r="C140" s="2271"/>
      <c r="D140" s="2271"/>
      <c r="E140" s="2271"/>
      <c r="F140" s="2271"/>
      <c r="G140" s="2271"/>
      <c r="H140" s="2271"/>
      <c r="I140" s="2271"/>
      <c r="J140" s="2271"/>
      <c r="K140" s="2271"/>
      <c r="L140" s="2271"/>
      <c r="M140" s="2271"/>
      <c r="N140" s="2271"/>
      <c r="O140" s="2271"/>
      <c r="P140" s="2271"/>
      <c r="Q140" s="2271"/>
    </row>
    <row r="141" spans="2:17" s="745" customFormat="1">
      <c r="B141" s="2271"/>
      <c r="C141" s="2271"/>
      <c r="D141" s="2271"/>
      <c r="E141" s="2271"/>
      <c r="F141" s="2271"/>
      <c r="G141" s="2271"/>
      <c r="H141" s="2271"/>
      <c r="I141" s="2271"/>
      <c r="J141" s="2271"/>
      <c r="K141" s="2271"/>
      <c r="L141" s="2271"/>
      <c r="M141" s="2271"/>
      <c r="N141" s="2271"/>
      <c r="O141" s="2271"/>
      <c r="P141" s="2271"/>
      <c r="Q141" s="2271"/>
    </row>
    <row r="142" spans="2:17" s="745" customFormat="1">
      <c r="B142" s="2271"/>
      <c r="C142" s="2271"/>
      <c r="D142" s="2271"/>
      <c r="E142" s="2271"/>
      <c r="F142" s="2271"/>
      <c r="G142" s="2271"/>
      <c r="H142" s="2271"/>
      <c r="I142" s="2271"/>
      <c r="J142" s="2271"/>
      <c r="K142" s="2271"/>
      <c r="L142" s="2271"/>
      <c r="M142" s="2271"/>
      <c r="N142" s="2271"/>
      <c r="O142" s="2271"/>
      <c r="P142" s="2271"/>
      <c r="Q142" s="2271"/>
    </row>
    <row r="143" spans="2:17" s="745" customFormat="1">
      <c r="B143" s="2271"/>
      <c r="C143" s="2271"/>
      <c r="D143" s="2271"/>
      <c r="E143" s="2271"/>
      <c r="F143" s="2271"/>
      <c r="G143" s="2271"/>
      <c r="H143" s="2271"/>
      <c r="I143" s="2271"/>
      <c r="J143" s="2271"/>
      <c r="K143" s="2271"/>
      <c r="L143" s="2271"/>
      <c r="M143" s="2271"/>
      <c r="N143" s="2271"/>
      <c r="O143" s="2271"/>
      <c r="P143" s="2271"/>
      <c r="Q143" s="2271"/>
    </row>
    <row r="144" spans="2:17" s="745" customFormat="1">
      <c r="B144" s="2271"/>
      <c r="C144" s="2271"/>
      <c r="D144" s="2271"/>
      <c r="E144" s="2271"/>
      <c r="F144" s="2271"/>
      <c r="G144" s="2271"/>
      <c r="H144" s="2271"/>
      <c r="I144" s="2271"/>
      <c r="J144" s="2271"/>
      <c r="K144" s="2271"/>
      <c r="L144" s="2271"/>
      <c r="M144" s="2271"/>
      <c r="N144" s="2271"/>
      <c r="O144" s="2271"/>
      <c r="P144" s="2271"/>
      <c r="Q144" s="2271"/>
    </row>
    <row r="145" spans="2:17" s="745" customFormat="1">
      <c r="B145" s="2271"/>
      <c r="C145" s="2271"/>
      <c r="D145" s="2271"/>
      <c r="E145" s="2271"/>
      <c r="F145" s="2271"/>
      <c r="G145" s="2271"/>
      <c r="H145" s="2271"/>
      <c r="I145" s="2271"/>
      <c r="J145" s="2271"/>
      <c r="K145" s="2271"/>
      <c r="L145" s="2271"/>
      <c r="M145" s="2271"/>
      <c r="N145" s="2271"/>
      <c r="O145" s="2271"/>
      <c r="P145" s="2271"/>
      <c r="Q145" s="2271"/>
    </row>
    <row r="146" spans="2:17" s="745" customFormat="1">
      <c r="B146" s="2271"/>
      <c r="C146" s="2271"/>
      <c r="D146" s="2271"/>
      <c r="E146" s="2271"/>
      <c r="F146" s="2271"/>
      <c r="G146" s="2271"/>
      <c r="H146" s="2271"/>
      <c r="I146" s="2271"/>
      <c r="J146" s="2271"/>
      <c r="K146" s="2271"/>
      <c r="L146" s="2271"/>
      <c r="M146" s="2271"/>
      <c r="N146" s="2271"/>
      <c r="O146" s="2271"/>
      <c r="P146" s="2271"/>
      <c r="Q146" s="2271"/>
    </row>
    <row r="147" spans="2:17" s="745" customFormat="1">
      <c r="B147" s="2271"/>
      <c r="C147" s="2271"/>
      <c r="D147" s="2271"/>
      <c r="E147" s="2271"/>
      <c r="F147" s="2271"/>
      <c r="G147" s="2271"/>
      <c r="H147" s="2271"/>
      <c r="I147" s="2271"/>
      <c r="J147" s="2271"/>
      <c r="K147" s="2271"/>
      <c r="L147" s="2271"/>
      <c r="M147" s="2271"/>
      <c r="N147" s="2271"/>
      <c r="O147" s="2271"/>
      <c r="P147" s="2271"/>
      <c r="Q147" s="2271"/>
    </row>
    <row r="148" spans="2:17" s="745" customFormat="1">
      <c r="B148" s="2271"/>
      <c r="C148" s="2271"/>
      <c r="D148" s="2271"/>
      <c r="E148" s="2271"/>
      <c r="F148" s="2271"/>
      <c r="G148" s="2271"/>
      <c r="H148" s="2271"/>
      <c r="I148" s="2271"/>
      <c r="J148" s="2271"/>
      <c r="K148" s="2271"/>
      <c r="L148" s="2271"/>
      <c r="M148" s="2271"/>
      <c r="N148" s="2271"/>
      <c r="O148" s="2271"/>
      <c r="P148" s="2271"/>
      <c r="Q148" s="2271"/>
    </row>
    <row r="149" spans="2:17" s="745" customFormat="1">
      <c r="B149" s="2271"/>
      <c r="C149" s="2271"/>
      <c r="D149" s="2271"/>
      <c r="E149" s="2271"/>
      <c r="F149" s="2271"/>
      <c r="G149" s="2271"/>
      <c r="H149" s="2271"/>
      <c r="I149" s="2271"/>
      <c r="J149" s="2271"/>
      <c r="K149" s="2271"/>
      <c r="L149" s="2271"/>
      <c r="M149" s="2271"/>
      <c r="N149" s="2271"/>
      <c r="O149" s="2271"/>
      <c r="P149" s="2271"/>
      <c r="Q149" s="2271"/>
    </row>
    <row r="150" spans="2:17" s="745" customFormat="1">
      <c r="B150" s="2271"/>
      <c r="C150" s="2271"/>
      <c r="D150" s="2271"/>
      <c r="E150" s="2271"/>
      <c r="F150" s="2271"/>
      <c r="G150" s="2271"/>
      <c r="H150" s="2271"/>
      <c r="I150" s="2271"/>
      <c r="J150" s="2271"/>
      <c r="K150" s="2271"/>
      <c r="L150" s="2271"/>
      <c r="M150" s="2271"/>
      <c r="N150" s="2271"/>
      <c r="O150" s="2271"/>
      <c r="P150" s="2271"/>
      <c r="Q150" s="2271"/>
    </row>
    <row r="151" spans="2:17" s="745" customFormat="1">
      <c r="B151" s="2271"/>
      <c r="C151" s="2271"/>
      <c r="D151" s="2271"/>
      <c r="E151" s="2271"/>
      <c r="F151" s="2271"/>
      <c r="G151" s="2271"/>
      <c r="H151" s="2271"/>
      <c r="I151" s="2271"/>
      <c r="J151" s="2271"/>
      <c r="K151" s="2271"/>
      <c r="L151" s="2271"/>
      <c r="M151" s="2271"/>
      <c r="N151" s="2271"/>
      <c r="O151" s="2271"/>
      <c r="P151" s="2271"/>
      <c r="Q151" s="2271"/>
    </row>
    <row r="152" spans="2:17" s="745" customFormat="1">
      <c r="B152" s="2271"/>
      <c r="C152" s="2271"/>
      <c r="D152" s="2271"/>
      <c r="E152" s="2271"/>
      <c r="F152" s="2271"/>
      <c r="G152" s="2271"/>
      <c r="H152" s="2271"/>
      <c r="I152" s="2271"/>
      <c r="J152" s="2271"/>
      <c r="K152" s="2271"/>
      <c r="L152" s="2271"/>
      <c r="M152" s="2271"/>
      <c r="N152" s="2271"/>
      <c r="O152" s="2271"/>
      <c r="P152" s="2271"/>
      <c r="Q152" s="2271"/>
    </row>
    <row r="153" spans="2:17" s="745" customFormat="1">
      <c r="B153" s="2271"/>
      <c r="C153" s="2271"/>
      <c r="D153" s="2271"/>
      <c r="E153" s="2271"/>
      <c r="F153" s="2271"/>
      <c r="G153" s="2271"/>
      <c r="H153" s="2271"/>
      <c r="I153" s="2271"/>
      <c r="J153" s="2271"/>
      <c r="K153" s="2271"/>
      <c r="L153" s="2271"/>
      <c r="M153" s="2271"/>
      <c r="N153" s="2271"/>
      <c r="O153" s="2271"/>
      <c r="P153" s="2271"/>
      <c r="Q153" s="2271"/>
    </row>
    <row r="154" spans="2:17" s="745" customFormat="1">
      <c r="B154" s="2271"/>
      <c r="C154" s="2271"/>
      <c r="D154" s="2271"/>
      <c r="E154" s="2271"/>
      <c r="F154" s="2271"/>
      <c r="G154" s="2271"/>
      <c r="H154" s="2271"/>
      <c r="I154" s="2271"/>
      <c r="J154" s="2271"/>
      <c r="K154" s="2271"/>
      <c r="L154" s="2271"/>
      <c r="M154" s="2271"/>
      <c r="N154" s="2271"/>
      <c r="O154" s="2271"/>
      <c r="P154" s="2271"/>
      <c r="Q154" s="2271"/>
    </row>
    <row r="155" spans="2:17" s="745" customFormat="1">
      <c r="B155" s="2271"/>
      <c r="C155" s="2271"/>
      <c r="D155" s="2271"/>
      <c r="E155" s="2271"/>
      <c r="F155" s="2271"/>
      <c r="G155" s="2271"/>
      <c r="H155" s="2271"/>
      <c r="I155" s="2271"/>
      <c r="J155" s="2271"/>
      <c r="K155" s="2271"/>
      <c r="L155" s="2271"/>
      <c r="M155" s="2271"/>
      <c r="N155" s="2271"/>
      <c r="O155" s="2271"/>
      <c r="P155" s="2271"/>
      <c r="Q155" s="2271"/>
    </row>
    <row r="156" spans="2:17" s="745" customFormat="1">
      <c r="B156" s="2271"/>
      <c r="C156" s="2271"/>
      <c r="D156" s="2271"/>
      <c r="E156" s="2271"/>
      <c r="F156" s="2271"/>
      <c r="G156" s="2271"/>
      <c r="H156" s="2271"/>
      <c r="I156" s="2271"/>
      <c r="J156" s="2271"/>
      <c r="K156" s="2271"/>
      <c r="L156" s="2271"/>
      <c r="M156" s="2271"/>
      <c r="N156" s="2271"/>
      <c r="O156" s="2271"/>
      <c r="P156" s="2271"/>
      <c r="Q156" s="2271"/>
    </row>
    <row r="157" spans="2:17" s="745" customFormat="1">
      <c r="B157" s="2271"/>
      <c r="C157" s="2271"/>
      <c r="D157" s="2271"/>
      <c r="E157" s="2271"/>
      <c r="F157" s="2271"/>
      <c r="G157" s="2271"/>
      <c r="H157" s="2271"/>
      <c r="I157" s="2271"/>
      <c r="J157" s="2271"/>
      <c r="K157" s="2271"/>
      <c r="L157" s="2271"/>
      <c r="M157" s="2271"/>
      <c r="N157" s="2271"/>
      <c r="O157" s="2271"/>
      <c r="P157" s="2271"/>
      <c r="Q157" s="2271"/>
    </row>
    <row r="158" spans="2:17" s="745" customFormat="1">
      <c r="B158" s="2271"/>
      <c r="C158" s="2271"/>
      <c r="D158" s="2271"/>
      <c r="E158" s="2271"/>
      <c r="F158" s="2271"/>
      <c r="G158" s="2271"/>
      <c r="H158" s="2271"/>
      <c r="I158" s="2271"/>
      <c r="J158" s="2271"/>
      <c r="K158" s="2271"/>
      <c r="L158" s="2271"/>
      <c r="M158" s="2271"/>
      <c r="N158" s="2271"/>
      <c r="O158" s="2271"/>
      <c r="P158" s="2271"/>
      <c r="Q158" s="2271"/>
    </row>
    <row r="159" spans="2:17" s="745" customFormat="1">
      <c r="B159" s="2271"/>
      <c r="C159" s="2271"/>
      <c r="D159" s="2271"/>
      <c r="E159" s="2271"/>
      <c r="F159" s="2271"/>
      <c r="G159" s="2271"/>
      <c r="H159" s="2271"/>
      <c r="I159" s="2271"/>
      <c r="J159" s="2271"/>
      <c r="K159" s="2271"/>
      <c r="L159" s="2271"/>
      <c r="M159" s="2271"/>
      <c r="N159" s="2271"/>
      <c r="O159" s="2271"/>
      <c r="P159" s="2271"/>
      <c r="Q159" s="2271"/>
    </row>
    <row r="160" spans="2:17" s="745" customFormat="1">
      <c r="B160" s="2271"/>
      <c r="C160" s="2271"/>
      <c r="D160" s="2271"/>
      <c r="E160" s="2271"/>
      <c r="F160" s="2271"/>
      <c r="G160" s="2271"/>
      <c r="H160" s="2271"/>
      <c r="I160" s="2271"/>
      <c r="J160" s="2271"/>
      <c r="K160" s="2271"/>
      <c r="L160" s="2271"/>
      <c r="M160" s="2271"/>
      <c r="N160" s="2271"/>
      <c r="O160" s="2271"/>
      <c r="P160" s="2271"/>
      <c r="Q160" s="2271"/>
    </row>
    <row r="161" spans="2:17" s="745" customFormat="1">
      <c r="B161" s="2271"/>
      <c r="C161" s="2271"/>
      <c r="D161" s="2271"/>
      <c r="E161" s="2271"/>
      <c r="F161" s="2271"/>
      <c r="G161" s="2271"/>
      <c r="H161" s="2271"/>
      <c r="I161" s="2271"/>
      <c r="J161" s="2271"/>
      <c r="K161" s="2271"/>
      <c r="L161" s="2271"/>
      <c r="M161" s="2271"/>
      <c r="N161" s="2271"/>
      <c r="O161" s="2271"/>
      <c r="P161" s="2271"/>
      <c r="Q161" s="2271"/>
    </row>
    <row r="162" spans="2:17" s="745" customFormat="1">
      <c r="B162" s="2271"/>
      <c r="C162" s="2271"/>
      <c r="D162" s="2271"/>
      <c r="E162" s="2271"/>
      <c r="F162" s="2271"/>
      <c r="G162" s="2271"/>
      <c r="H162" s="2271"/>
      <c r="I162" s="2271"/>
      <c r="J162" s="2271"/>
      <c r="K162" s="2271"/>
      <c r="L162" s="2271"/>
      <c r="M162" s="2271"/>
      <c r="N162" s="2271"/>
      <c r="O162" s="2271"/>
      <c r="P162" s="2271"/>
      <c r="Q162" s="2271"/>
    </row>
    <row r="163" spans="2:17" s="745" customFormat="1">
      <c r="B163" s="2271"/>
      <c r="C163" s="2271"/>
      <c r="D163" s="2271"/>
      <c r="E163" s="2271"/>
      <c r="F163" s="2271"/>
      <c r="G163" s="2271"/>
      <c r="H163" s="2271"/>
      <c r="I163" s="2271"/>
      <c r="J163" s="2271"/>
      <c r="K163" s="2271"/>
      <c r="L163" s="2271"/>
      <c r="M163" s="2271"/>
      <c r="N163" s="2271"/>
      <c r="O163" s="2271"/>
      <c r="P163" s="2271"/>
      <c r="Q163" s="2271"/>
    </row>
    <row r="164" spans="2:17" s="745" customFormat="1">
      <c r="B164" s="2271"/>
      <c r="C164" s="2271"/>
      <c r="D164" s="2271"/>
      <c r="E164" s="2271"/>
      <c r="F164" s="2271"/>
      <c r="G164" s="2271"/>
      <c r="H164" s="2271"/>
      <c r="I164" s="2271"/>
      <c r="J164" s="2271"/>
      <c r="K164" s="2271"/>
      <c r="L164" s="2271"/>
      <c r="M164" s="2271"/>
      <c r="N164" s="2271"/>
      <c r="O164" s="2271"/>
      <c r="P164" s="2271"/>
      <c r="Q164" s="2271"/>
    </row>
    <row r="165" spans="2:17" s="745" customFormat="1">
      <c r="B165" s="2271"/>
      <c r="C165" s="2271"/>
      <c r="D165" s="2271"/>
      <c r="E165" s="2271"/>
      <c r="F165" s="2271"/>
      <c r="G165" s="2271"/>
      <c r="H165" s="2271"/>
      <c r="I165" s="2271"/>
      <c r="J165" s="2271"/>
      <c r="K165" s="2271"/>
      <c r="L165" s="2271"/>
      <c r="M165" s="2271"/>
      <c r="N165" s="2271"/>
      <c r="O165" s="2271"/>
      <c r="P165" s="2271"/>
      <c r="Q165" s="2271"/>
    </row>
    <row r="166" spans="2:17" s="745" customFormat="1">
      <c r="B166" s="2271"/>
      <c r="C166" s="2271"/>
      <c r="D166" s="2271"/>
      <c r="E166" s="2271"/>
      <c r="F166" s="2271"/>
      <c r="G166" s="2271"/>
      <c r="H166" s="2271"/>
      <c r="I166" s="2271"/>
      <c r="J166" s="2271"/>
      <c r="K166" s="2271"/>
      <c r="L166" s="2271"/>
      <c r="M166" s="2271"/>
      <c r="N166" s="2271"/>
      <c r="O166" s="2271"/>
      <c r="P166" s="2271"/>
      <c r="Q166" s="2271"/>
    </row>
    <row r="167" spans="2:17" s="745" customFormat="1">
      <c r="B167" s="2271"/>
      <c r="C167" s="2271"/>
      <c r="D167" s="2271"/>
      <c r="E167" s="2271"/>
      <c r="F167" s="2271"/>
      <c r="G167" s="2271"/>
      <c r="H167" s="2271"/>
      <c r="I167" s="2271"/>
      <c r="J167" s="2271"/>
      <c r="K167" s="2271"/>
      <c r="L167" s="2271"/>
      <c r="M167" s="2271"/>
      <c r="N167" s="2271"/>
      <c r="O167" s="2271"/>
      <c r="P167" s="2271"/>
      <c r="Q167" s="2271"/>
    </row>
    <row r="168" spans="2:17" s="745" customFormat="1">
      <c r="B168" s="2271"/>
      <c r="C168" s="2271"/>
      <c r="D168" s="2271"/>
      <c r="E168" s="2271"/>
      <c r="F168" s="2271"/>
      <c r="G168" s="2271"/>
      <c r="H168" s="2271"/>
      <c r="I168" s="2271"/>
      <c r="J168" s="2271"/>
      <c r="K168" s="2271"/>
      <c r="L168" s="2271"/>
      <c r="M168" s="2271"/>
      <c r="N168" s="2271"/>
      <c r="O168" s="2271"/>
      <c r="P168" s="2271"/>
      <c r="Q168" s="2271"/>
    </row>
    <row r="169" spans="2:17" s="745" customFormat="1">
      <c r="B169" s="2271"/>
      <c r="C169" s="2271"/>
      <c r="D169" s="2271"/>
      <c r="E169" s="2271"/>
      <c r="F169" s="2271"/>
      <c r="G169" s="2271"/>
      <c r="H169" s="2271"/>
      <c r="I169" s="2271"/>
      <c r="J169" s="2271"/>
      <c r="K169" s="2271"/>
      <c r="L169" s="2271"/>
      <c r="M169" s="2271"/>
      <c r="N169" s="2271"/>
      <c r="O169" s="2271"/>
      <c r="P169" s="2271"/>
      <c r="Q169" s="2271"/>
    </row>
    <row r="170" spans="2:17" s="745" customFormat="1">
      <c r="B170" s="2271"/>
      <c r="C170" s="2271"/>
      <c r="D170" s="2271"/>
      <c r="E170" s="2271"/>
      <c r="F170" s="2271"/>
      <c r="G170" s="2271"/>
      <c r="H170" s="2271"/>
      <c r="I170" s="2271"/>
      <c r="J170" s="2271"/>
      <c r="K170" s="2271"/>
      <c r="L170" s="2271"/>
      <c r="M170" s="2271"/>
      <c r="N170" s="2271"/>
      <c r="O170" s="2271"/>
      <c r="P170" s="2271"/>
      <c r="Q170" s="2271"/>
    </row>
    <row r="171" spans="2:17" s="745" customFormat="1">
      <c r="B171" s="2271"/>
      <c r="C171" s="2271"/>
      <c r="D171" s="2271"/>
      <c r="E171" s="2271"/>
      <c r="F171" s="2271"/>
      <c r="G171" s="2271"/>
      <c r="H171" s="2271"/>
      <c r="I171" s="2271"/>
      <c r="J171" s="2271"/>
      <c r="K171" s="2271"/>
      <c r="L171" s="2271"/>
      <c r="M171" s="2271"/>
      <c r="N171" s="2271"/>
      <c r="O171" s="2271"/>
      <c r="P171" s="2271"/>
      <c r="Q171" s="2271"/>
    </row>
    <row r="172" spans="2:17" s="745" customFormat="1">
      <c r="B172" s="2271"/>
      <c r="C172" s="2271"/>
      <c r="D172" s="2271"/>
      <c r="E172" s="2271"/>
      <c r="F172" s="2271"/>
      <c r="G172" s="2271"/>
      <c r="H172" s="2271"/>
      <c r="I172" s="2271"/>
      <c r="J172" s="2271"/>
      <c r="K172" s="2271"/>
      <c r="L172" s="2271"/>
      <c r="M172" s="2271"/>
      <c r="N172" s="2271"/>
      <c r="O172" s="2271"/>
      <c r="P172" s="2271"/>
      <c r="Q172" s="2271"/>
    </row>
    <row r="173" spans="2:17" s="745" customFormat="1">
      <c r="B173" s="2271"/>
      <c r="C173" s="2271"/>
      <c r="D173" s="2271"/>
      <c r="E173" s="2271"/>
      <c r="F173" s="2271"/>
      <c r="G173" s="2271"/>
      <c r="H173" s="2271"/>
      <c r="I173" s="2271"/>
      <c r="J173" s="2271"/>
      <c r="K173" s="2271"/>
      <c r="L173" s="2271"/>
      <c r="M173" s="2271"/>
      <c r="N173" s="2271"/>
      <c r="O173" s="2271"/>
      <c r="P173" s="2271"/>
      <c r="Q173" s="2271"/>
    </row>
    <row r="174" spans="2:17" s="745" customFormat="1">
      <c r="B174" s="2271"/>
      <c r="C174" s="2271"/>
      <c r="D174" s="2271"/>
      <c r="E174" s="2271"/>
      <c r="F174" s="2271"/>
      <c r="G174" s="2271"/>
      <c r="H174" s="2271"/>
      <c r="I174" s="2271"/>
      <c r="J174" s="2271"/>
      <c r="K174" s="2271"/>
      <c r="L174" s="2271"/>
      <c r="M174" s="2271"/>
      <c r="N174" s="2271"/>
      <c r="O174" s="2271"/>
      <c r="P174" s="2271"/>
      <c r="Q174" s="2271"/>
    </row>
    <row r="175" spans="2:17" s="745" customFormat="1">
      <c r="B175" s="2271"/>
      <c r="C175" s="2271"/>
      <c r="D175" s="2271"/>
      <c r="E175" s="2271"/>
      <c r="F175" s="2271"/>
      <c r="G175" s="2271"/>
      <c r="H175" s="2271"/>
      <c r="I175" s="2271"/>
      <c r="J175" s="2271"/>
      <c r="K175" s="2271"/>
      <c r="L175" s="2271"/>
      <c r="M175" s="2271"/>
      <c r="N175" s="2271"/>
      <c r="O175" s="2271"/>
      <c r="P175" s="2271"/>
      <c r="Q175" s="2271"/>
    </row>
    <row r="176" spans="2:17" s="745" customFormat="1">
      <c r="B176" s="2271"/>
      <c r="C176" s="2271"/>
      <c r="D176" s="2271"/>
      <c r="E176" s="2271"/>
      <c r="F176" s="2271"/>
      <c r="G176" s="2271"/>
      <c r="H176" s="2271"/>
      <c r="I176" s="2271"/>
      <c r="J176" s="2271"/>
      <c r="K176" s="2271"/>
      <c r="L176" s="2271"/>
      <c r="M176" s="2271"/>
      <c r="N176" s="2271"/>
      <c r="O176" s="2271"/>
      <c r="P176" s="2271"/>
      <c r="Q176" s="2271"/>
    </row>
    <row r="177" spans="1:17" s="745" customFormat="1">
      <c r="B177" s="2271"/>
      <c r="C177" s="2271"/>
      <c r="D177" s="2271"/>
      <c r="E177" s="2271"/>
      <c r="F177" s="2271"/>
      <c r="G177" s="2271"/>
      <c r="H177" s="2271"/>
      <c r="I177" s="2271"/>
      <c r="J177" s="2271"/>
      <c r="K177" s="2271"/>
      <c r="L177" s="2271"/>
      <c r="M177" s="2271"/>
      <c r="N177" s="2271"/>
      <c r="O177" s="2271"/>
      <c r="P177" s="2271"/>
      <c r="Q177" s="2271"/>
    </row>
    <row r="178" spans="1:17" s="745" customFormat="1">
      <c r="B178" s="2271"/>
      <c r="C178" s="2271"/>
      <c r="D178" s="2271"/>
      <c r="E178" s="2271"/>
      <c r="F178" s="2271"/>
      <c r="G178" s="2271"/>
      <c r="H178" s="2271"/>
      <c r="I178" s="2271"/>
      <c r="J178" s="2271"/>
      <c r="K178" s="2271"/>
      <c r="L178" s="2271"/>
      <c r="M178" s="2271"/>
      <c r="N178" s="2271"/>
      <c r="O178" s="2271"/>
      <c r="P178" s="2271"/>
      <c r="Q178" s="2271"/>
    </row>
    <row r="179" spans="1:17" s="745" customFormat="1">
      <c r="B179" s="2271"/>
      <c r="C179" s="2271"/>
      <c r="D179" s="2271"/>
      <c r="E179" s="2271"/>
      <c r="F179" s="2271"/>
      <c r="G179" s="2271"/>
      <c r="H179" s="2271"/>
      <c r="I179" s="2271"/>
      <c r="J179" s="2271"/>
      <c r="K179" s="2271"/>
      <c r="L179" s="2271"/>
      <c r="M179" s="2271"/>
      <c r="N179" s="2271"/>
      <c r="O179" s="2271"/>
      <c r="P179" s="2271"/>
      <c r="Q179" s="2271"/>
    </row>
    <row r="180" spans="1:17" s="745" customFormat="1">
      <c r="B180" s="2271"/>
      <c r="C180" s="2271"/>
      <c r="D180" s="2271"/>
      <c r="E180" s="2271"/>
      <c r="F180" s="2271"/>
      <c r="G180" s="2271"/>
      <c r="H180" s="2271"/>
      <c r="I180" s="2271"/>
      <c r="J180" s="2271"/>
      <c r="K180" s="2271"/>
      <c r="L180" s="2271"/>
      <c r="M180" s="2271"/>
      <c r="N180" s="2271"/>
      <c r="O180" s="2271"/>
      <c r="P180" s="2271"/>
      <c r="Q180" s="2271"/>
    </row>
    <row r="181" spans="1:17" s="745" customFormat="1">
      <c r="B181" s="2271"/>
      <c r="C181" s="2271"/>
      <c r="D181" s="2271"/>
      <c r="E181" s="2271"/>
      <c r="F181" s="2271"/>
      <c r="G181" s="2271"/>
      <c r="H181" s="2271"/>
      <c r="I181" s="2271"/>
      <c r="J181" s="2271"/>
      <c r="K181" s="2271"/>
      <c r="L181" s="2271"/>
      <c r="M181" s="2271"/>
      <c r="N181" s="2271"/>
      <c r="O181" s="2271"/>
      <c r="P181" s="2271"/>
      <c r="Q181" s="2271"/>
    </row>
    <row r="182" spans="1:17" s="745" customFormat="1">
      <c r="B182" s="2271"/>
      <c r="C182" s="2271"/>
      <c r="D182" s="2271"/>
      <c r="E182" s="2271"/>
      <c r="F182" s="2271"/>
      <c r="G182" s="2271"/>
      <c r="H182" s="2271"/>
      <c r="I182" s="2271"/>
      <c r="J182" s="2271"/>
      <c r="K182" s="2271"/>
      <c r="L182" s="2271"/>
      <c r="M182" s="2271"/>
      <c r="N182" s="2271"/>
      <c r="O182" s="2271"/>
      <c r="P182" s="2271"/>
      <c r="Q182" s="2271"/>
    </row>
    <row r="183" spans="1:17" s="745" customFormat="1">
      <c r="B183" s="2271"/>
      <c r="C183" s="2271"/>
      <c r="D183" s="2271"/>
      <c r="E183" s="2271"/>
      <c r="F183" s="2271"/>
      <c r="G183" s="2271"/>
      <c r="H183" s="2271"/>
      <c r="I183" s="2271"/>
      <c r="J183" s="2271"/>
      <c r="K183" s="2271"/>
      <c r="L183" s="2271"/>
      <c r="M183" s="2271"/>
      <c r="N183" s="2271"/>
      <c r="O183" s="2271"/>
      <c r="P183" s="2271"/>
      <c r="Q183" s="2271"/>
    </row>
    <row r="184" spans="1:17" s="745" customFormat="1">
      <c r="B184" s="2271"/>
      <c r="C184" s="2271"/>
      <c r="D184" s="2271"/>
      <c r="E184" s="2271"/>
      <c r="F184" s="2271"/>
      <c r="G184" s="2271"/>
      <c r="H184" s="2271"/>
      <c r="I184" s="2271"/>
      <c r="J184" s="2271"/>
      <c r="K184" s="2271"/>
      <c r="L184" s="2271"/>
      <c r="M184" s="2271"/>
      <c r="N184" s="2271"/>
      <c r="O184" s="2271"/>
      <c r="P184" s="2271"/>
      <c r="Q184" s="2271"/>
    </row>
    <row r="185" spans="1:17" s="745" customFormat="1">
      <c r="B185" s="2271"/>
      <c r="C185" s="2271"/>
      <c r="D185" s="2271"/>
      <c r="E185" s="2271"/>
      <c r="F185" s="2271"/>
      <c r="G185" s="2271"/>
      <c r="H185" s="2271"/>
      <c r="I185" s="2271"/>
      <c r="J185" s="2271"/>
      <c r="K185" s="2271"/>
      <c r="L185" s="2271"/>
      <c r="M185" s="2271"/>
      <c r="N185" s="2271"/>
      <c r="O185" s="2271"/>
      <c r="P185" s="2271"/>
      <c r="Q185" s="2271"/>
    </row>
    <row r="186" spans="1:17">
      <c r="A186" s="745"/>
      <c r="B186" s="2271"/>
      <c r="C186" s="2271"/>
      <c r="E186" s="2271"/>
      <c r="F186" s="2271"/>
      <c r="G186" s="2271"/>
    </row>
    <row r="187" spans="1:17">
      <c r="A187" s="745"/>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Normal="80" zoomScaleSheetLayoutView="100" workbookViewId="0">
      <selection activeCell="G25" sqref="G25"/>
    </sheetView>
  </sheetViews>
  <sheetFormatPr defaultColWidth="9" defaultRowHeight="13.5"/>
  <cols>
    <col min="1" max="1" width="25" style="2295" customWidth="1"/>
    <col min="2" max="9" width="15.75" style="2295" customWidth="1"/>
    <col min="10" max="16384" width="9" style="2295"/>
  </cols>
  <sheetData>
    <row r="1" spans="1:11" ht="16.5">
      <c r="A1" s="2294" t="s">
        <v>661</v>
      </c>
      <c r="B1" s="2294">
        <f>SUM(B14:B23)</f>
        <v>4179.0200000000004</v>
      </c>
      <c r="C1" s="2456"/>
      <c r="D1" s="2456"/>
      <c r="E1" s="2456"/>
      <c r="F1" s="2456"/>
      <c r="G1" s="2457"/>
      <c r="H1" s="2457"/>
      <c r="I1" s="2457"/>
      <c r="J1" s="2457"/>
      <c r="K1" s="2457"/>
    </row>
    <row r="2" spans="1:11" ht="16.5">
      <c r="A2" s="2294" t="s">
        <v>649</v>
      </c>
      <c r="B2" s="2294">
        <f>SUM(C14:C23)</f>
        <v>0</v>
      </c>
      <c r="C2" s="2456"/>
      <c r="D2" s="2456"/>
      <c r="E2" s="2456"/>
      <c r="F2" s="2456"/>
      <c r="G2" s="2457"/>
      <c r="H2" s="2457"/>
      <c r="I2" s="2457"/>
      <c r="J2" s="2457"/>
      <c r="K2" s="2457"/>
    </row>
    <row r="3" spans="1:11" ht="16.5">
      <c r="A3" s="2294" t="s">
        <v>658</v>
      </c>
      <c r="B3" s="2296">
        <f>项目基本情况!D3</f>
        <v>45873</v>
      </c>
      <c r="C3" s="2456"/>
      <c r="D3" s="2456"/>
      <c r="E3" s="2456"/>
      <c r="F3" s="2456"/>
      <c r="G3" s="2457"/>
      <c r="H3" s="2457"/>
      <c r="I3" s="2457"/>
      <c r="J3" s="2457"/>
      <c r="K3" s="2457"/>
    </row>
    <row r="4" spans="1:11" ht="33">
      <c r="A4" s="2294" t="s">
        <v>657</v>
      </c>
      <c r="B4" s="2294" t="s">
        <v>656</v>
      </c>
      <c r="C4" s="2294" t="s">
        <v>655</v>
      </c>
      <c r="D4" s="2294" t="s">
        <v>654</v>
      </c>
      <c r="E4" s="2456"/>
      <c r="F4" s="2457"/>
      <c r="G4" s="2457"/>
      <c r="H4" s="2457"/>
      <c r="I4" s="2457"/>
      <c r="J4" s="2457"/>
      <c r="K4" s="2457"/>
    </row>
    <row r="5" spans="1:11" ht="16.5">
      <c r="A5" s="2294" t="s">
        <v>653</v>
      </c>
      <c r="B5" s="2294">
        <f ca="1">SUM(D14:D23)</f>
        <v>10180</v>
      </c>
      <c r="C5" s="2294">
        <f ca="1">IF(B5=D14,'结果表-203'!H102,ROUND(B5*10000/$B$1,0))</f>
        <v>24360</v>
      </c>
      <c r="D5" s="2294" t="e">
        <f ca="1">ROUND(B5*10000/$B$2,0)</f>
        <v>#DIV/0!</v>
      </c>
      <c r="E5" s="2456"/>
      <c r="F5" s="2457"/>
      <c r="G5" s="2457"/>
      <c r="H5" s="2457"/>
      <c r="I5" s="2457"/>
      <c r="J5" s="2457"/>
      <c r="K5" s="2457"/>
    </row>
    <row r="6" spans="1:11" ht="16.5">
      <c r="A6" s="2294" t="s">
        <v>652</v>
      </c>
      <c r="B6" s="2294">
        <f ca="1">SUM(G14:G23)</f>
        <v>10180</v>
      </c>
      <c r="C6" s="2294">
        <f ca="1">IF(B6=G14,'结果表-203'!H108,ROUND(B6*10000/$B$1,0))</f>
        <v>24360</v>
      </c>
      <c r="D6" s="2294" t="e">
        <f ca="1">ROUND(B6*10000/$B$2,0)</f>
        <v>#DIV/0!</v>
      </c>
      <c r="E6" s="2456"/>
      <c r="F6" s="2457"/>
      <c r="G6" s="2457"/>
      <c r="H6" s="2457"/>
      <c r="I6" s="2457"/>
      <c r="J6" s="2457"/>
      <c r="K6" s="2457"/>
    </row>
    <row r="7" spans="1:11" ht="16.5">
      <c r="A7" s="2294" t="s">
        <v>660</v>
      </c>
      <c r="B7" s="2294">
        <f>SUM(H14:H23)</f>
        <v>0</v>
      </c>
      <c r="C7" s="2294" t="str">
        <f>IF(B7=H14,'结果表-203'!H110,ROUND(B7*10000/$B$1,0))</f>
        <v>——</v>
      </c>
      <c r="D7" s="2294" t="e">
        <f>ROUND(B7*10000/$B$2,0)</f>
        <v>#DIV/0!</v>
      </c>
      <c r="E7" s="2456"/>
      <c r="F7" s="2457"/>
      <c r="G7" s="2457"/>
      <c r="H7" s="2457"/>
      <c r="I7" s="2457"/>
      <c r="J7" s="2457"/>
      <c r="K7" s="2457"/>
    </row>
    <row r="8" spans="1:11" ht="16.5">
      <c r="A8" s="2294" t="s">
        <v>587</v>
      </c>
      <c r="B8" s="2294">
        <f ca="1">SUM(I14:I23)</f>
        <v>10167</v>
      </c>
      <c r="C8" s="2294">
        <f ca="1">IF(B8=I14,'结果表-203'!H112,ROUND(B8*10000/$B$1,0))</f>
        <v>24329</v>
      </c>
      <c r="D8" s="2294" t="e">
        <f ca="1">ROUND(B8*10000/$B$2,0)</f>
        <v>#DIV/0!</v>
      </c>
      <c r="E8" s="2456"/>
      <c r="F8" s="2457"/>
      <c r="G8" s="2457"/>
      <c r="H8" s="2457"/>
      <c r="I8" s="2457"/>
      <c r="J8" s="2457"/>
      <c r="K8" s="2457"/>
    </row>
    <row r="9" spans="1:11" ht="16.5">
      <c r="A9" s="2294" t="s">
        <v>651</v>
      </c>
      <c r="B9" s="1238"/>
      <c r="C9" s="2456"/>
      <c r="D9" s="2456"/>
      <c r="E9" s="2456"/>
      <c r="F9" s="2457"/>
      <c r="G9" s="2457"/>
      <c r="H9" s="2457"/>
      <c r="I9" s="2457"/>
      <c r="J9" s="2457"/>
      <c r="K9" s="2457"/>
    </row>
    <row r="10" spans="1:11" ht="16.5">
      <c r="A10" s="2294" t="s">
        <v>650</v>
      </c>
      <c r="B10" s="2294">
        <f>IF(E10="",0,ROUND(B1*(E10*365/G10)/10000,0))</f>
        <v>0</v>
      </c>
      <c r="C10" s="2294" t="s">
        <v>3339</v>
      </c>
      <c r="D10" s="2294" t="s">
        <v>3340</v>
      </c>
      <c r="E10" s="3130"/>
      <c r="F10" s="3134" t="s">
        <v>3341</v>
      </c>
      <c r="G10" s="3131"/>
      <c r="H10" s="2457"/>
      <c r="I10" s="2457"/>
      <c r="J10" s="2457"/>
      <c r="K10" s="2457"/>
    </row>
    <row r="11" spans="1:11" ht="16.5">
      <c r="A11" s="2294" t="s">
        <v>666</v>
      </c>
      <c r="B11" s="1238"/>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665</v>
      </c>
      <c r="B13" s="2298" t="s">
        <v>662</v>
      </c>
      <c r="C13" s="2298" t="s">
        <v>664</v>
      </c>
      <c r="D13" s="2298" t="s">
        <v>663</v>
      </c>
      <c r="E13" s="2294" t="s">
        <v>655</v>
      </c>
      <c r="F13" s="2294" t="s">
        <v>654</v>
      </c>
      <c r="G13" s="2298" t="s">
        <v>648</v>
      </c>
      <c r="H13" s="2298" t="s">
        <v>659</v>
      </c>
      <c r="I13" s="2298" t="s">
        <v>647</v>
      </c>
      <c r="J13" s="2457"/>
      <c r="K13" s="2457"/>
    </row>
    <row r="14" spans="1:11" ht="16.5">
      <c r="A14" s="2300" t="str">
        <f>面积位置!T3</f>
        <v>39-4</v>
      </c>
      <c r="B14" s="2300">
        <f>面积位置!V3</f>
        <v>617.69000000000005</v>
      </c>
      <c r="C14" s="2300"/>
      <c r="D14" s="2300">
        <f ca="1">典型户型修正!S24</f>
        <v>2398</v>
      </c>
      <c r="E14" s="2300">
        <f ca="1">ROUND(D14*10000/B14,0)</f>
        <v>38822</v>
      </c>
      <c r="F14" s="2300" t="e">
        <f ca="1">ROUND(D14*10000/C14,0)</f>
        <v>#DIV/0!</v>
      </c>
      <c r="G14" s="2300">
        <f ca="1">D14</f>
        <v>2398</v>
      </c>
      <c r="H14" s="2300"/>
      <c r="I14" s="2300">
        <f ca="1">'结果表-39-4'!N59</f>
        <v>2390</v>
      </c>
      <c r="J14" s="2457"/>
      <c r="K14" s="2457"/>
    </row>
    <row r="15" spans="1:11" ht="16.5">
      <c r="A15" s="2300" t="str">
        <f>面积位置!T4</f>
        <v>39-14</v>
      </c>
      <c r="B15" s="2300">
        <f>面积位置!V4</f>
        <v>344.81</v>
      </c>
      <c r="C15" s="2301"/>
      <c r="D15" s="2300">
        <f ca="1">典型户型修正!S25</f>
        <v>1106</v>
      </c>
      <c r="E15" s="2300">
        <f t="shared" ref="E15:E23" ca="1" si="0">ROUND(D15*10000/B15,0)</f>
        <v>32076</v>
      </c>
      <c r="F15" s="2300" t="e">
        <f t="shared" ref="F15:F23" ca="1" si="1">ROUND(D15*10000/C15,0)</f>
        <v>#DIV/0!</v>
      </c>
      <c r="G15" s="2300">
        <f t="shared" ref="G15:G17" ca="1" si="2">D15</f>
        <v>1106</v>
      </c>
      <c r="H15" s="1238"/>
      <c r="I15" s="2300">
        <f ca="1">'结果表-39-14'!N59</f>
        <v>1105</v>
      </c>
      <c r="J15" s="2457"/>
      <c r="K15" s="2457"/>
    </row>
    <row r="16" spans="1:11" ht="16.5">
      <c r="A16" s="2300">
        <f>面积位置!T5</f>
        <v>203</v>
      </c>
      <c r="B16" s="2300">
        <f>面积位置!V5</f>
        <v>1608.26</v>
      </c>
      <c r="C16" s="2301"/>
      <c r="D16" s="2300">
        <f ca="1">'结果表-203'!G19</f>
        <v>3448</v>
      </c>
      <c r="E16" s="2300">
        <f t="shared" ca="1" si="0"/>
        <v>21439</v>
      </c>
      <c r="F16" s="2300" t="e">
        <f t="shared" ca="1" si="1"/>
        <v>#DIV/0!</v>
      </c>
      <c r="G16" s="2300">
        <f t="shared" ca="1" si="2"/>
        <v>3448</v>
      </c>
      <c r="H16" s="1238"/>
      <c r="I16" s="2300">
        <f ca="1">'结果表-203'!N59</f>
        <v>3446</v>
      </c>
      <c r="J16" s="2457"/>
      <c r="K16" s="2457"/>
    </row>
    <row r="17" spans="1:11" ht="16.5">
      <c r="A17" s="2300">
        <f>面积位置!T6</f>
        <v>303</v>
      </c>
      <c r="B17" s="2300">
        <f>面积位置!V6</f>
        <v>1608.26</v>
      </c>
      <c r="C17" s="2301"/>
      <c r="D17" s="2300">
        <f ca="1">'结果表-303'!G19</f>
        <v>3228</v>
      </c>
      <c r="E17" s="2300">
        <f t="shared" ca="1" si="0"/>
        <v>20071</v>
      </c>
      <c r="F17" s="2300" t="e">
        <f t="shared" ca="1" si="1"/>
        <v>#DIV/0!</v>
      </c>
      <c r="G17" s="2300">
        <f t="shared" ca="1" si="2"/>
        <v>3228</v>
      </c>
      <c r="H17" s="1238"/>
      <c r="I17" s="2300">
        <f ca="1">'结果表-303'!N59</f>
        <v>3226</v>
      </c>
      <c r="J17" s="2457"/>
      <c r="K17" s="2457"/>
    </row>
    <row r="18" spans="1:11" ht="16.5">
      <c r="A18" s="2299" t="s">
        <v>646</v>
      </c>
      <c r="B18" s="2301"/>
      <c r="C18" s="2301"/>
      <c r="D18" s="2300"/>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38" t="e">
        <f t="shared" si="0"/>
        <v>#DIV/0!</v>
      </c>
      <c r="F23" s="1238"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C66" sqref="C66"/>
    </sheetView>
  </sheetViews>
  <sheetFormatPr defaultColWidth="12.625" defaultRowHeight="21.75" customHeight="1"/>
  <cols>
    <col min="1" max="2" width="12.625" style="1555"/>
    <col min="3" max="4" width="12.625" style="1555" customWidth="1"/>
    <col min="5" max="9" width="12.625" style="1555"/>
    <col min="10" max="11" width="12.625" style="684" customWidth="1"/>
    <col min="12" max="12" width="12.625" style="684"/>
    <col min="13" max="13" width="14.125" style="684" bestFit="1" customWidth="1"/>
    <col min="14" max="26" width="12.625" style="684"/>
    <col min="27" max="35" width="12.625" style="1617"/>
    <col min="36" max="16384" width="12.625" style="1555"/>
  </cols>
  <sheetData>
    <row r="1" spans="1:12" ht="21.75" customHeight="1" thickBot="1">
      <c r="A1" s="1515" t="s">
        <v>1258</v>
      </c>
      <c r="B1" s="646"/>
      <c r="C1" s="1614">
        <v>203</v>
      </c>
      <c r="D1" s="646"/>
      <c r="E1" s="646"/>
      <c r="F1" s="1615" t="s">
        <v>1259</v>
      </c>
      <c r="G1" s="1447" t="s">
        <v>3552</v>
      </c>
      <c r="H1" s="1615" t="str">
        <f>IF(G1="现房","——","估价对象范围")</f>
        <v>——</v>
      </c>
      <c r="I1" s="1616" t="s">
        <v>3553</v>
      </c>
    </row>
    <row r="2" spans="1:12" ht="21.75" customHeight="1" thickBot="1">
      <c r="A2" s="3379" t="str">
        <f>项目基本情况!S2</f>
        <v>北京市房地产</v>
      </c>
      <c r="B2" s="3380"/>
      <c r="C2" s="3380"/>
      <c r="D2" s="3380"/>
      <c r="E2" s="3380"/>
      <c r="F2" s="3380"/>
      <c r="G2" s="3380"/>
      <c r="H2" s="3380"/>
      <c r="I2" s="3381"/>
    </row>
    <row r="3" spans="1:12" ht="12.75">
      <c r="A3" s="3383" t="s">
        <v>1260</v>
      </c>
      <c r="B3" s="3384"/>
      <c r="C3" s="3384"/>
      <c r="D3" s="3384"/>
      <c r="E3" s="3384"/>
      <c r="F3" s="3384"/>
      <c r="G3" s="3384"/>
      <c r="H3" s="3384"/>
      <c r="I3" s="3384"/>
    </row>
    <row r="4" spans="1:12" ht="14.25">
      <c r="A4" s="1618" t="s">
        <v>1261</v>
      </c>
      <c r="B4" s="1619" t="s">
        <v>1262</v>
      </c>
      <c r="C4" s="1620" t="s">
        <v>3549</v>
      </c>
      <c r="D4" s="1620" t="s">
        <v>3543</v>
      </c>
      <c r="E4" s="3385" t="s">
        <v>1263</v>
      </c>
      <c r="F4" s="3386"/>
      <c r="G4" s="3386"/>
      <c r="H4" s="3386"/>
      <c r="I4" s="3387"/>
      <c r="K4" s="138" t="str">
        <f>IF(ISNUMBER(FIND("比较法",'结果表-203'!C4)),"比较法",IF(ISNUMBER(FIND("成本法",'结果表-203'!C4)),"成本法",IF(ISNUMBER(FIND("假设开发法",'结果表-203'!C4)),"假设开发法",IF(ISNUMBER(FIND("收益法",'结果表-203'!C4)),"收益法","基准地价系数修正法"))))</f>
        <v>成本法</v>
      </c>
      <c r="L4" s="138" t="str">
        <f>IF(ISNUMBER(FIND("比较法",'结果表-203'!D4)),"比较法",IF(ISNUMBER(FIND("成本法",'结果表-203'!D4)),"成本法",IF(ISNUMBER(FIND("假设开发法",'结果表-203'!D4)),"假设开发法",IF(ISNUMBER(FIND("收益法",'结果表-203'!D4)),"收益法","基准地价系数修正法"))))</f>
        <v>收益法</v>
      </c>
    </row>
    <row r="5" spans="1:12" ht="12.75">
      <c r="A5" s="3359" t="s">
        <v>1264</v>
      </c>
      <c r="B5" s="3346">
        <v>25</v>
      </c>
      <c r="C5" s="3362"/>
      <c r="D5" s="3382"/>
      <c r="E5" s="123" t="s">
        <v>1265</v>
      </c>
      <c r="F5" s="1621"/>
      <c r="G5" s="1621"/>
      <c r="H5" s="1621"/>
      <c r="I5" s="1275"/>
    </row>
    <row r="6" spans="1:12" ht="12.75">
      <c r="A6" s="3359"/>
      <c r="B6" s="3346"/>
      <c r="C6" s="3363"/>
      <c r="D6" s="3382"/>
      <c r="E6" s="123" t="s">
        <v>1266</v>
      </c>
      <c r="F6" s="1621"/>
      <c r="G6" s="1621"/>
      <c r="H6" s="1621"/>
      <c r="I6" s="1275"/>
    </row>
    <row r="7" spans="1:12" ht="12.75">
      <c r="A7" s="3359"/>
      <c r="B7" s="3346"/>
      <c r="C7" s="3364"/>
      <c r="D7" s="3382"/>
      <c r="E7" s="123" t="s">
        <v>1267</v>
      </c>
      <c r="F7" s="1621"/>
      <c r="G7" s="1621"/>
      <c r="H7" s="1621"/>
      <c r="I7" s="1275"/>
    </row>
    <row r="8" spans="1:12" ht="12.75">
      <c r="A8" s="3359" t="s">
        <v>1268</v>
      </c>
      <c r="B8" s="3346">
        <v>15</v>
      </c>
      <c r="C8" s="3362"/>
      <c r="D8" s="3382"/>
      <c r="E8" s="123" t="s">
        <v>1269</v>
      </c>
      <c r="F8" s="1621"/>
      <c r="G8" s="1621"/>
      <c r="H8" s="1621"/>
      <c r="I8" s="1275"/>
    </row>
    <row r="9" spans="1:12" ht="12.75">
      <c r="A9" s="3359"/>
      <c r="B9" s="3346"/>
      <c r="C9" s="3364"/>
      <c r="D9" s="3382"/>
      <c r="E9" s="123" t="s">
        <v>1270</v>
      </c>
      <c r="F9" s="1621"/>
      <c r="G9" s="1621"/>
      <c r="H9" s="1621"/>
      <c r="I9" s="1275"/>
    </row>
    <row r="10" spans="1:12" ht="12.75">
      <c r="A10" s="3359" t="s">
        <v>1271</v>
      </c>
      <c r="B10" s="3346">
        <v>15</v>
      </c>
      <c r="C10" s="3362"/>
      <c r="D10" s="3382"/>
      <c r="E10" s="123" t="s">
        <v>1272</v>
      </c>
      <c r="F10" s="1621"/>
      <c r="G10" s="1621"/>
      <c r="H10" s="1621"/>
      <c r="I10" s="1275"/>
    </row>
    <row r="11" spans="1:12" ht="12.75">
      <c r="A11" s="3359"/>
      <c r="B11" s="3346"/>
      <c r="C11" s="3364"/>
      <c r="D11" s="3382"/>
      <c r="E11" s="123" t="s">
        <v>1273</v>
      </c>
      <c r="F11" s="1621"/>
      <c r="G11" s="1621"/>
      <c r="H11" s="1621"/>
      <c r="I11" s="1275"/>
    </row>
    <row r="12" spans="1:12" ht="12.75">
      <c r="A12" s="3359" t="s">
        <v>1274</v>
      </c>
      <c r="B12" s="3346">
        <v>15</v>
      </c>
      <c r="C12" s="3362"/>
      <c r="D12" s="3382"/>
      <c r="E12" s="123" t="s">
        <v>1275</v>
      </c>
      <c r="F12" s="1621"/>
      <c r="G12" s="1621"/>
      <c r="H12" s="1621"/>
      <c r="I12" s="1275"/>
    </row>
    <row r="13" spans="1:12" ht="12.75">
      <c r="A13" s="3359"/>
      <c r="B13" s="3346"/>
      <c r="C13" s="3364"/>
      <c r="D13" s="3382"/>
      <c r="E13" s="123" t="s">
        <v>1276</v>
      </c>
      <c r="F13" s="1621"/>
      <c r="G13" s="1621"/>
      <c r="H13" s="1621"/>
      <c r="I13" s="1275"/>
    </row>
    <row r="14" spans="1:12" ht="12.75">
      <c r="A14" s="3359" t="s">
        <v>1277</v>
      </c>
      <c r="B14" s="3346">
        <v>30</v>
      </c>
      <c r="C14" s="3362">
        <v>5</v>
      </c>
      <c r="D14" s="3382">
        <v>5</v>
      </c>
      <c r="E14" s="123" t="s">
        <v>1278</v>
      </c>
      <c r="F14" s="1621"/>
      <c r="G14" s="1621"/>
      <c r="H14" s="1621"/>
      <c r="I14" s="1275"/>
    </row>
    <row r="15" spans="1:12" ht="12.75">
      <c r="A15" s="3359"/>
      <c r="B15" s="3346"/>
      <c r="C15" s="3363"/>
      <c r="D15" s="3382"/>
      <c r="E15" s="123" t="s">
        <v>1279</v>
      </c>
      <c r="F15" s="1621"/>
      <c r="G15" s="1621"/>
      <c r="H15" s="1621"/>
      <c r="I15" s="1275"/>
    </row>
    <row r="16" spans="1:12" ht="12.75">
      <c r="A16" s="3359"/>
      <c r="B16" s="3346"/>
      <c r="C16" s="3364"/>
      <c r="D16" s="3382"/>
      <c r="E16" s="123" t="s">
        <v>1280</v>
      </c>
      <c r="F16" s="1621"/>
      <c r="G16" s="1621"/>
      <c r="H16" s="1621"/>
      <c r="I16" s="1275"/>
    </row>
    <row r="17" spans="1:36" ht="15">
      <c r="A17" s="1622" t="s">
        <v>1281</v>
      </c>
      <c r="B17" s="54"/>
      <c r="C17" s="124">
        <f>SUM(C5:C16)</f>
        <v>5</v>
      </c>
      <c r="D17" s="124">
        <f>SUM(D5:D16)</f>
        <v>5</v>
      </c>
      <c r="E17" s="121"/>
      <c r="F17" s="121"/>
      <c r="G17" s="121"/>
      <c r="H17" s="121"/>
      <c r="I17" s="121"/>
      <c r="K17" s="294"/>
      <c r="L17" s="294" t="s">
        <v>1282</v>
      </c>
      <c r="M17" s="294" t="s">
        <v>1283</v>
      </c>
    </row>
    <row r="18" spans="1:36" ht="31.9" customHeight="1" thickBot="1">
      <c r="A18" s="1623" t="s">
        <v>1284</v>
      </c>
      <c r="B18" s="1536"/>
      <c r="C18" s="125">
        <f>ROUND(C17/SUM(C17:D17),2)</f>
        <v>0.5</v>
      </c>
      <c r="D18" s="125">
        <f>1-C18</f>
        <v>0.5</v>
      </c>
      <c r="E18" s="3369" t="s">
        <v>2124</v>
      </c>
      <c r="F18" s="3370"/>
      <c r="G18" s="3370"/>
      <c r="H18" s="3370"/>
      <c r="I18" s="3370"/>
      <c r="K18" s="294" t="s">
        <v>1285</v>
      </c>
      <c r="L18" s="294">
        <f>IF(C1="",'数据-汇总表'!E3,SUMIF(项目类型,C1,'数据-汇总表'!E17:E26)+SUMIF(项目类型,C1,'数据-汇总表'!I17:I26))</f>
        <v>1608.26</v>
      </c>
      <c r="M18" s="294">
        <f>IF(C1="",'数据-汇总表'!E3,SUMIF(项目类型,C1,'数据-汇总表'!E17:E26))</f>
        <v>1608.26</v>
      </c>
    </row>
    <row r="19" spans="1:36" ht="15">
      <c r="A19" s="1624" t="s">
        <v>1286</v>
      </c>
      <c r="B19" s="1625" t="s">
        <v>1287</v>
      </c>
      <c r="C19" s="126">
        <f ca="1">SUMIF(INDIRECT("'"&amp;C4&amp;"'"&amp;"!A:A"),'结果表-203'!B19,INDIRECT("'"&amp;C4&amp;"'"&amp;"!B:B"))</f>
        <v>3693.0729999999999</v>
      </c>
      <c r="D19" s="127">
        <f ca="1">SUMIF(INDIRECT("'"&amp;D4&amp;"'"&amp;"!A:A"),'结果表-203'!B19,INDIRECT("'"&amp;D4&amp;"'"&amp;"!B:B"))</f>
        <v>3201.9983999999999</v>
      </c>
      <c r="E19" s="1624" t="s">
        <v>1288</v>
      </c>
      <c r="F19" s="1625" t="s">
        <v>1287</v>
      </c>
      <c r="G19" s="128">
        <f ca="1">ROUND(C19*$C$18+D19*$D$18,0)</f>
        <v>3448</v>
      </c>
      <c r="H19" s="1626"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27"/>
      <c r="B20" s="43" t="s">
        <v>1291</v>
      </c>
      <c r="C20" s="129">
        <f ca="1">SUMIF(INDIRECT("'"&amp;C4&amp;"'"&amp;"!A:A"),'结果表-203'!B20,INDIRECT("'"&amp;C4&amp;"'"&amp;"!B:B"))</f>
        <v>22963</v>
      </c>
      <c r="D20" s="130">
        <f ca="1">SUMIF(INDIRECT("'"&amp;D4&amp;"'"&amp;"!A:A"),'结果表-203'!B20,INDIRECT("'"&amp;D4&amp;"'"&amp;"!B:B"))</f>
        <v>19910</v>
      </c>
      <c r="E20" s="1627"/>
      <c r="F20" s="43" t="s">
        <v>1291</v>
      </c>
      <c r="G20" s="131">
        <f ca="1">ROUND(C20*$C$18+D20*$D$18,0)</f>
        <v>21437</v>
      </c>
      <c r="H20" s="754"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28" t="s">
        <v>1292</v>
      </c>
      <c r="I21" s="121"/>
    </row>
    <row r="22" spans="1:36" ht="15" thickBot="1">
      <c r="A22" s="1558" t="s">
        <v>1294</v>
      </c>
      <c r="B22" s="1629"/>
      <c r="C22" s="1630"/>
      <c r="D22" s="680">
        <f ca="1">IF(C19&lt;D19,D19/C19-1,C19/D19-1)</f>
        <v>0.15336503603499607</v>
      </c>
      <c r="E22" s="121"/>
      <c r="F22" s="121"/>
      <c r="G22" s="121"/>
      <c r="H22" s="121"/>
      <c r="I22" s="121"/>
    </row>
    <row r="23" spans="1:36" ht="13.5" thickBot="1">
      <c r="A23" s="646"/>
      <c r="B23" s="646"/>
      <c r="C23" s="646"/>
      <c r="D23" s="646"/>
      <c r="E23" s="121"/>
      <c r="F23" s="121"/>
      <c r="G23" s="121"/>
      <c r="H23" s="121"/>
      <c r="I23" s="121"/>
    </row>
    <row r="24" spans="1:36" ht="14.25">
      <c r="A24" s="3353" t="s">
        <v>1295</v>
      </c>
      <c r="B24" s="1625" t="s">
        <v>1287</v>
      </c>
      <c r="C24" s="128">
        <f>IF(B30=0,0,D30)</f>
        <v>0</v>
      </c>
      <c r="D24" s="1631"/>
      <c r="E24" s="121"/>
      <c r="F24" s="121"/>
      <c r="G24" s="121"/>
      <c r="H24" s="121"/>
      <c r="I24" s="121"/>
    </row>
    <row r="25" spans="1:36" ht="14.25">
      <c r="A25" s="3354"/>
      <c r="B25" s="43" t="s">
        <v>1291</v>
      </c>
      <c r="C25" s="133">
        <f>IF(B30=0,0,C30)</f>
        <v>0</v>
      </c>
      <c r="D25" s="1632"/>
      <c r="E25" s="121"/>
      <c r="F25" s="121"/>
      <c r="G25" s="121"/>
      <c r="H25" s="121"/>
      <c r="I25" s="121"/>
    </row>
    <row r="26" spans="1:36" ht="13.5" customHeight="1">
      <c r="A26" s="1633" t="s">
        <v>1296</v>
      </c>
      <c r="B26" s="134" t="s">
        <v>1297</v>
      </c>
      <c r="C26" s="134" t="s">
        <v>1298</v>
      </c>
      <c r="D26" s="135" t="s">
        <v>1299</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1300</v>
      </c>
      <c r="B30" s="134"/>
      <c r="C30" s="134"/>
      <c r="D30" s="134"/>
      <c r="E30" s="2121" t="s">
        <v>2125</v>
      </c>
      <c r="F30" s="121"/>
      <c r="G30" s="121"/>
      <c r="H30" s="121"/>
      <c r="I30" s="121"/>
    </row>
    <row r="31" spans="1:36" s="2127" customFormat="1" ht="26.45" customHeight="1" thickTop="1" thickBot="1">
      <c r="A31" s="2122"/>
      <c r="B31" s="2123"/>
      <c r="C31" s="2123"/>
      <c r="D31" s="2123"/>
      <c r="E31" s="2123"/>
      <c r="F31" s="2123"/>
      <c r="G31" s="2123"/>
      <c r="H31" s="2123"/>
      <c r="I31" s="2124" t="s">
        <v>2126</v>
      </c>
      <c r="J31" s="2458"/>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4" t="s">
        <v>1301</v>
      </c>
      <c r="B32" s="1529"/>
      <c r="C32" s="136">
        <f ca="1">IF(D32="总价",G19-C24,G20-C25)</f>
        <v>3448</v>
      </c>
      <c r="D32" s="1635" t="s">
        <v>3556</v>
      </c>
      <c r="E32" s="121"/>
      <c r="F32" s="121"/>
      <c r="G32" s="121"/>
      <c r="H32" s="121"/>
      <c r="I32" s="121"/>
    </row>
    <row r="33" spans="1:15" ht="15">
      <c r="A33" s="734" t="s">
        <v>1302</v>
      </c>
      <c r="B33" s="123"/>
      <c r="C33" s="1636" t="s">
        <v>3558</v>
      </c>
      <c r="D33" s="1637" t="s">
        <v>3543</v>
      </c>
      <c r="E33" s="1638" t="s">
        <v>1303</v>
      </c>
      <c r="F33" s="1639" t="str">
        <f>IF(D32="楼面单价","取值（单价）","取值（总价）")</f>
        <v>取值（总价）</v>
      </c>
      <c r="G33" s="121"/>
      <c r="H33" s="121"/>
      <c r="I33" s="121"/>
    </row>
    <row r="34" spans="1:15" ht="15">
      <c r="A34" s="1640"/>
      <c r="B34" s="1641" t="s">
        <v>1304</v>
      </c>
      <c r="C34" s="140">
        <f ca="1">IF(C33="自定义",F34,C32-C35)</f>
        <v>2555</v>
      </c>
      <c r="D34" s="802">
        <f ca="1">IF(C33="自定义",ROUND(C34/C32,3),IF(C33="收益比率",SUMIF(INDIRECT("'"&amp;D33&amp;"'"&amp;"!b:b"),"土地收益比率",INDIRECT("'"&amp;D33&amp;"'"&amp;"!c:c")),SUMIF(INDIRECT("'"&amp;D33&amp;"'"&amp;"!b:b"),"土地成本比率",INDIRECT("'"&amp;D33&amp;"'"&amp;"!c:c"))))</f>
        <v>0.74099999999999999</v>
      </c>
      <c r="E34" s="1642" t="s">
        <v>1305</v>
      </c>
      <c r="F34" s="1237"/>
      <c r="G34" s="121"/>
      <c r="H34" s="121"/>
      <c r="I34" s="121"/>
    </row>
    <row r="35" spans="1:15" ht="15.75" thickBot="1">
      <c r="A35" s="1643"/>
      <c r="B35" s="1644" t="s">
        <v>1306</v>
      </c>
      <c r="C35" s="1084">
        <f ca="1">IF(C33="自定义",F35,ROUND(C32*D35,0))</f>
        <v>893</v>
      </c>
      <c r="D35" s="1085">
        <f ca="1">IF(C33="自定义",ROUND(C35/C32,3),IF(C33="收益比率",SUMIF(INDIRECT("'"&amp;D33&amp;"'"&amp;"!b:b"),"建筑物收益比率",INDIRECT("'"&amp;D33&amp;"'"&amp;"!c:c")),SUMIF(INDIRECT("'"&amp;D33&amp;"'"&amp;"!b:b"),"建筑物成本比率",INDIRECT("'"&amp;D33&amp;"'"&amp;"!c:c"))))</f>
        <v>0.25900000000000001</v>
      </c>
      <c r="E35" s="1645" t="s">
        <v>1307</v>
      </c>
      <c r="F35" s="146"/>
      <c r="G35" s="121"/>
      <c r="H35" s="121"/>
      <c r="I35" s="121"/>
    </row>
    <row r="36" spans="1:15" ht="15.75" thickBot="1">
      <c r="A36" s="3373" t="s">
        <v>1308</v>
      </c>
      <c r="B36" s="1646" t="s">
        <v>1309</v>
      </c>
      <c r="C36" s="137"/>
      <c r="D36" s="1647"/>
      <c r="E36" s="1561"/>
      <c r="F36" s="1648"/>
      <c r="G36" s="121"/>
      <c r="H36" s="121"/>
      <c r="I36" s="121"/>
    </row>
    <row r="37" spans="1:15" ht="15.75" thickBot="1">
      <c r="A37" s="3374"/>
      <c r="B37" s="1549" t="s">
        <v>1310</v>
      </c>
      <c r="C37" s="139"/>
      <c r="D37" s="1065"/>
      <c r="E37" s="1065"/>
      <c r="F37" s="1648"/>
      <c r="G37" s="121"/>
      <c r="H37" s="121"/>
      <c r="I37" s="121"/>
    </row>
    <row r="38" spans="1:15" ht="15.75" thickBot="1">
      <c r="A38" s="3375"/>
      <c r="B38" s="1649" t="s">
        <v>1311</v>
      </c>
      <c r="C38" s="641"/>
      <c r="D38" s="1650" t="s">
        <v>1312</v>
      </c>
      <c r="E38" s="1065"/>
      <c r="F38" s="1648"/>
      <c r="G38" s="121"/>
      <c r="H38" s="121"/>
      <c r="I38" s="121"/>
    </row>
    <row r="39" spans="1:15" ht="15">
      <c r="A39" s="1627" t="s">
        <v>1313</v>
      </c>
      <c r="B39" s="1651" t="s">
        <v>1314</v>
      </c>
      <c r="C39" s="1652" t="s">
        <v>1315</v>
      </c>
      <c r="D39" s="1652" t="s">
        <v>1316</v>
      </c>
      <c r="E39" s="1653" t="s">
        <v>1317</v>
      </c>
      <c r="F39" s="1648"/>
      <c r="G39" s="121"/>
      <c r="H39" s="121"/>
      <c r="I39" s="121"/>
    </row>
    <row r="40" spans="1:15" ht="14.25">
      <c r="A40" s="1654" t="s">
        <v>1318</v>
      </c>
      <c r="B40" s="141"/>
      <c r="C40" s="142"/>
      <c r="D40" s="142"/>
      <c r="E40" s="143"/>
      <c r="F40" s="1648"/>
      <c r="G40" s="121"/>
      <c r="H40" s="121"/>
      <c r="I40" s="121"/>
    </row>
    <row r="41" spans="1:15" ht="14.25">
      <c r="A41" s="1654" t="s">
        <v>1319</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1320</v>
      </c>
      <c r="B44" s="1658"/>
      <c r="C44" s="1658"/>
      <c r="D44" s="1659"/>
      <c r="E44" s="1659"/>
      <c r="F44" s="1660"/>
      <c r="G44" s="1660"/>
      <c r="H44" s="1660"/>
      <c r="I44" s="1660"/>
      <c r="J44" s="1661" t="s">
        <v>1321</v>
      </c>
      <c r="K44" s="4"/>
      <c r="L44" s="4"/>
      <c r="M44" s="4"/>
      <c r="N44" s="4"/>
      <c r="O44" s="4"/>
    </row>
    <row r="45" spans="1:15" ht="14.25" customHeight="1" thickBot="1">
      <c r="A45" s="3350" t="s">
        <v>1322</v>
      </c>
      <c r="B45" s="3351"/>
      <c r="C45" s="3352"/>
      <c r="D45" s="147">
        <f ca="1">ROUND(H101*F45,0)</f>
        <v>3448</v>
      </c>
      <c r="E45" s="148" t="s">
        <v>1323</v>
      </c>
      <c r="F45" s="149">
        <v>1</v>
      </c>
      <c r="G45" s="150" t="s">
        <v>1324</v>
      </c>
      <c r="H45" s="121"/>
      <c r="I45" s="121"/>
      <c r="J45" s="3428" t="s">
        <v>1325</v>
      </c>
      <c r="K45" s="3428"/>
      <c r="L45" s="3428"/>
      <c r="M45" s="3428"/>
      <c r="N45" s="3428"/>
      <c r="O45" s="3428"/>
    </row>
    <row r="46" spans="1:15" ht="14.25" customHeight="1">
      <c r="A46" s="3347" t="s">
        <v>1326</v>
      </c>
      <c r="B46" s="3348"/>
      <c r="C46" s="3348"/>
      <c r="D46" s="3348"/>
      <c r="E46" s="3348"/>
      <c r="F46" s="3348"/>
      <c r="G46" s="3349"/>
      <c r="H46" s="1662"/>
      <c r="I46" s="151"/>
      <c r="J46" s="2304">
        <v>1</v>
      </c>
      <c r="K46" s="3409" t="s">
        <v>1327</v>
      </c>
      <c r="L46" s="3409"/>
      <c r="M46" s="3429"/>
      <c r="N46" s="3429"/>
      <c r="O46" s="3429"/>
    </row>
    <row r="47" spans="1:15" ht="12" customHeight="1">
      <c r="A47" s="152" t="s">
        <v>1328</v>
      </c>
      <c r="B47" s="153"/>
      <c r="C47" s="154"/>
      <c r="D47" s="1018" t="s">
        <v>1329</v>
      </c>
      <c r="E47" s="294" t="s">
        <v>1330</v>
      </c>
      <c r="F47" s="155" t="s">
        <v>1331</v>
      </c>
      <c r="G47" s="2327" t="s">
        <v>1332</v>
      </c>
      <c r="H47" s="2328"/>
      <c r="I47" s="151"/>
      <c r="J47" s="2304">
        <v>2</v>
      </c>
      <c r="K47" s="3409" t="s">
        <v>1333</v>
      </c>
      <c r="L47" s="3409"/>
      <c r="M47" s="3430">
        <f>'数据-取费表'!B2</f>
        <v>45873</v>
      </c>
      <c r="N47" s="3430"/>
      <c r="O47" s="3430"/>
    </row>
    <row r="48" spans="1:15" ht="25.5">
      <c r="A48" s="3378" t="s">
        <v>1334</v>
      </c>
      <c r="B48" s="3361"/>
      <c r="C48" s="3361"/>
      <c r="D48" s="12">
        <f ca="1">IF(H48="情况1",0,IF(H48="情况2",D52,IF(H48="情况3",D53,IF(H48="情况4",D54))))</f>
        <v>0</v>
      </c>
      <c r="E48" s="1250" t="str">
        <f>IF(H48="情况4","(销售额-原购置价)×税（费）率","销售额×税（费）率")</f>
        <v>(销售额-原购置价)×税（费）率</v>
      </c>
      <c r="F48" s="2329">
        <f>IF(H48="情况1","免征",'数据-取费表'!B41)</f>
        <v>5.6000000000000001E-2</v>
      </c>
      <c r="G48" s="2330" t="s">
        <v>1335</v>
      </c>
      <c r="H48" s="2331" t="s">
        <v>3575</v>
      </c>
      <c r="I48" s="1662"/>
      <c r="J48" s="2304">
        <v>3</v>
      </c>
      <c r="K48" s="3409" t="s">
        <v>1336</v>
      </c>
      <c r="L48" s="3409"/>
      <c r="M48" s="3431">
        <f ca="1">H101</f>
        <v>3448</v>
      </c>
      <c r="N48" s="3431"/>
      <c r="O48" s="3431"/>
    </row>
    <row r="49" spans="1:35" ht="25.5" customHeight="1">
      <c r="A49" s="2146" t="s">
        <v>1337</v>
      </c>
      <c r="B49" s="3345" t="s">
        <v>1338</v>
      </c>
      <c r="C49" s="3345"/>
      <c r="D49" s="1472">
        <v>0</v>
      </c>
      <c r="E49" s="316" t="s">
        <v>1339</v>
      </c>
      <c r="F49" s="2227" t="s">
        <v>28</v>
      </c>
      <c r="G49" s="3415"/>
      <c r="H49" s="2128" t="s">
        <v>2127</v>
      </c>
      <c r="I49" s="2129"/>
      <c r="J49" s="2304">
        <v>4</v>
      </c>
      <c r="K49" s="3409" t="str">
        <f>IF(项目基本情况!E8="房地产抵押价值","房地产抵押价值","抵押担保权已注销时的房地产抵押价值")</f>
        <v>房地产抵押价值</v>
      </c>
      <c r="L49" s="3409"/>
      <c r="M49" s="3431">
        <f ca="1">IF(项目基本情况!E8="房地产抵押价值",H107,H109)</f>
        <v>3448</v>
      </c>
      <c r="N49" s="3431"/>
      <c r="O49" s="3431"/>
    </row>
    <row r="50" spans="1:35" ht="25.5" customHeight="1">
      <c r="A50" s="2332"/>
      <c r="B50" s="3345" t="s">
        <v>1340</v>
      </c>
      <c r="C50" s="3345"/>
      <c r="D50" s="2183"/>
      <c r="E50" s="323"/>
      <c r="F50" s="2227"/>
      <c r="G50" s="3416"/>
      <c r="H50" s="2130" t="s">
        <v>2128</v>
      </c>
      <c r="I50" s="2129"/>
      <c r="J50" s="3428" t="s">
        <v>1341</v>
      </c>
      <c r="K50" s="3428"/>
      <c r="L50" s="3428"/>
      <c r="M50" s="3428"/>
      <c r="N50" s="3428"/>
      <c r="O50" s="3428"/>
    </row>
    <row r="51" spans="1:35" ht="20.45" customHeight="1">
      <c r="A51" s="2333"/>
      <c r="B51" s="3345" t="s">
        <v>1342</v>
      </c>
      <c r="C51" s="3345"/>
      <c r="D51" s="1018"/>
      <c r="E51" s="319"/>
      <c r="F51" s="2227"/>
      <c r="G51" s="3417"/>
      <c r="H51" s="2130" t="s">
        <v>2129</v>
      </c>
      <c r="I51" s="2129"/>
      <c r="J51" s="2305" t="s">
        <v>1343</v>
      </c>
      <c r="K51" s="3409" t="s">
        <v>1344</v>
      </c>
      <c r="L51" s="3409"/>
      <c r="M51" s="2305" t="s">
        <v>1345</v>
      </c>
      <c r="N51" s="2305" t="s">
        <v>1346</v>
      </c>
      <c r="O51" s="2305" t="s">
        <v>1347</v>
      </c>
    </row>
    <row r="52" spans="1:35" ht="24" customHeight="1">
      <c r="A52" s="2147" t="s">
        <v>1348</v>
      </c>
      <c r="B52" s="3345" t="s">
        <v>1349</v>
      </c>
      <c r="C52" s="3345"/>
      <c r="D52" s="1018">
        <f ca="1">ROUND(D45*'数据-取费表'!B41/(1+'数据-取费表'!C42),0)</f>
        <v>184</v>
      </c>
      <c r="E52" s="1250" t="s">
        <v>1350</v>
      </c>
      <c r="F52" s="2334">
        <f>'数据-取费表'!B41</f>
        <v>5.6000000000000001E-2</v>
      </c>
      <c r="G52" s="2335"/>
      <c r="H52" s="2325"/>
      <c r="I52" s="1663"/>
      <c r="J52" s="2304">
        <v>1</v>
      </c>
      <c r="K52" s="3410" t="s">
        <v>1351</v>
      </c>
      <c r="L52" s="3410"/>
      <c r="M52" s="2306">
        <f ca="1">D48</f>
        <v>0</v>
      </c>
      <c r="N52" s="2304" t="str">
        <f>E48</f>
        <v>(销售额-原购置价)×税（费）率</v>
      </c>
      <c r="O52" s="2307">
        <f>F48</f>
        <v>5.6000000000000001E-2</v>
      </c>
    </row>
    <row r="53" spans="1:35" ht="12" customHeight="1">
      <c r="A53" s="2147" t="s">
        <v>1352</v>
      </c>
      <c r="B53" s="3371" t="s">
        <v>2275</v>
      </c>
      <c r="C53" s="3372"/>
      <c r="D53" s="1018">
        <f ca="1">ROUND(D45*'数据-取费表'!B41/(1+'数据-取费表'!C42),0)</f>
        <v>184</v>
      </c>
      <c r="E53" s="1250" t="s">
        <v>1350</v>
      </c>
      <c r="F53" s="2334">
        <f>'数据-取费表'!B41</f>
        <v>5.6000000000000001E-2</v>
      </c>
      <c r="G53" s="2335"/>
      <c r="H53" s="2325"/>
      <c r="I53" s="1663"/>
      <c r="J53" s="2304">
        <v>2</v>
      </c>
      <c r="K53" s="3410" t="s">
        <v>1353</v>
      </c>
      <c r="L53" s="3410"/>
      <c r="M53" s="2306">
        <f t="shared" ref="M53:O54" ca="1" si="0">D55</f>
        <v>2</v>
      </c>
      <c r="N53" s="2304" t="str">
        <f t="shared" si="0"/>
        <v>销售额×税（费）率</v>
      </c>
      <c r="O53" s="2307">
        <f t="shared" si="0"/>
        <v>5.0000000000000001E-4</v>
      </c>
    </row>
    <row r="54" spans="1:35" ht="12" customHeight="1">
      <c r="A54" s="2147" t="s">
        <v>1354</v>
      </c>
      <c r="B54" s="3371" t="s">
        <v>2276</v>
      </c>
      <c r="C54" s="3372"/>
      <c r="D54" s="1018">
        <f ca="1">C68</f>
        <v>0</v>
      </c>
      <c r="E54" s="319" t="s">
        <v>1355</v>
      </c>
      <c r="F54" s="2334">
        <f>'数据-取费表'!B41</f>
        <v>5.6000000000000001E-2</v>
      </c>
      <c r="G54" s="2335"/>
      <c r="H54" s="2336"/>
      <c r="I54" s="1663"/>
      <c r="J54" s="2304">
        <v>3</v>
      </c>
      <c r="K54" s="3410" t="s">
        <v>1356</v>
      </c>
      <c r="L54" s="3410"/>
      <c r="M54" s="2306">
        <f t="shared" ca="1" si="0"/>
        <v>0</v>
      </c>
      <c r="N54" s="2304" t="str">
        <f t="shared" si="0"/>
        <v>增值额×税（费）率</v>
      </c>
      <c r="O54" s="2308" t="str">
        <f t="shared" si="0"/>
        <v>——</v>
      </c>
    </row>
    <row r="55" spans="1:35" ht="24" customHeight="1">
      <c r="A55" s="3360" t="s">
        <v>1357</v>
      </c>
      <c r="B55" s="3361"/>
      <c r="C55" s="3361"/>
      <c r="D55" s="12">
        <f ca="1">IF(H55="个人住宅",0,ROUND(D45*I55,0))</f>
        <v>2</v>
      </c>
      <c r="E55" s="1250" t="s">
        <v>1358</v>
      </c>
      <c r="F55" s="2334">
        <f>IF(H55="正常",I55,"免征")</f>
        <v>5.0000000000000001E-4</v>
      </c>
      <c r="G55" s="2335"/>
      <c r="H55" s="2331" t="s">
        <v>3576</v>
      </c>
      <c r="I55" s="157">
        <f>'数据-取费表'!B49</f>
        <v>5.0000000000000001E-4</v>
      </c>
      <c r="J55" s="2304" t="str">
        <f>IF(H59="非个人房产","",4)</f>
        <v/>
      </c>
      <c r="K55" s="3410" t="str">
        <f>IF(H59="非个人房产","——","个人所得税")</f>
        <v>——</v>
      </c>
      <c r="L55" s="3410"/>
      <c r="M55" s="2309" t="str">
        <f>D59</f>
        <v>——</v>
      </c>
      <c r="N55" s="1877" t="str">
        <f>E59</f>
        <v>——</v>
      </c>
      <c r="O55" s="2310" t="str">
        <f>F59</f>
        <v>——</v>
      </c>
    </row>
    <row r="56" spans="1:35" ht="24.75">
      <c r="A56" s="3360" t="s">
        <v>1359</v>
      </c>
      <c r="B56" s="3361"/>
      <c r="C56" s="3361"/>
      <c r="D56" s="12">
        <f ca="1">IF(H56="个人住宅",D57,D58)</f>
        <v>0</v>
      </c>
      <c r="E56" s="1250" t="s">
        <v>1360</v>
      </c>
      <c r="F56" s="2334" t="str">
        <f>IF(H56="正常",F58,"免征")</f>
        <v>——</v>
      </c>
      <c r="G56" s="2337" t="s">
        <v>1361</v>
      </c>
      <c r="H56" s="2338" t="s">
        <v>3576</v>
      </c>
      <c r="I56" s="1664"/>
      <c r="J56" s="2304" t="str">
        <f>IF(项目基本情况!K6="上海银行",IF(J55="",4,J55+1),"")</f>
        <v/>
      </c>
      <c r="K56" s="3433" t="str">
        <f>IF(项目基本情况!K6="上海银行","其他处置费用","")</f>
        <v/>
      </c>
      <c r="L56" s="3434"/>
      <c r="M56" s="2306" t="str">
        <f>IF(项目基本情况!K6="上海银行",M69,"")</f>
        <v/>
      </c>
      <c r="N56" s="3433" t="str">
        <f>IF(项目基本情况!K6="上海银行","包含处置中涉及的律师、诉讼、拍卖、评估等费用","")</f>
        <v/>
      </c>
      <c r="O56" s="3436"/>
    </row>
    <row r="57" spans="1:35" ht="12.75">
      <c r="A57" s="2147" t="s">
        <v>1337</v>
      </c>
      <c r="B57" s="3371" t="s">
        <v>1362</v>
      </c>
      <c r="C57" s="3372"/>
      <c r="D57" s="1472">
        <v>0</v>
      </c>
      <c r="E57" s="316" t="s">
        <v>1339</v>
      </c>
      <c r="F57" s="294"/>
      <c r="G57" s="2335"/>
      <c r="H57" s="2339"/>
      <c r="I57" s="1664"/>
      <c r="J57" s="3410">
        <f>IF(AND(J55="",J56=""),4,IF(项目基本情况!K6="上海银行",'结果表-203'!J56+1,'结果表-203'!J55+1))</f>
        <v>4</v>
      </c>
      <c r="K57" s="3410" t="s">
        <v>1363</v>
      </c>
      <c r="L57" s="2311" t="s">
        <v>1364</v>
      </c>
      <c r="M57" s="2312"/>
      <c r="N57" s="2313">
        <f ca="1">SUMIF(M52:M56,"&lt;9e307")</f>
        <v>2</v>
      </c>
      <c r="O57" s="2314"/>
      <c r="P57" s="2459">
        <f ca="1">N57/M49</f>
        <v>5.8004640371229696E-4</v>
      </c>
    </row>
    <row r="58" spans="1:35" ht="24.75">
      <c r="A58" s="2147" t="s">
        <v>1348</v>
      </c>
      <c r="B58" s="3371" t="s">
        <v>1365</v>
      </c>
      <c r="C58" s="3345"/>
      <c r="D58" s="12">
        <f ca="1">IF(H58="转让取得",C81,C97)</f>
        <v>0</v>
      </c>
      <c r="E58" s="1250" t="s">
        <v>1360</v>
      </c>
      <c r="F58" s="294" t="s">
        <v>28</v>
      </c>
      <c r="G58" s="2335"/>
      <c r="H58" s="2338" t="s">
        <v>3577</v>
      </c>
      <c r="I58" s="1664"/>
      <c r="J58" s="3410"/>
      <c r="K58" s="3410"/>
      <c r="L58" s="2311" t="s">
        <v>1366</v>
      </c>
      <c r="M58" s="2315"/>
      <c r="N58" s="2316" t="str">
        <f ca="1">NUMBERSTRING(INT(N57*10000),2)&amp;"元整"</f>
        <v>贰万元整</v>
      </c>
      <c r="O58" s="2317"/>
    </row>
    <row r="59" spans="1:35" ht="24.75" thickBot="1">
      <c r="A59" s="3413" t="s">
        <v>1367</v>
      </c>
      <c r="B59" s="3414"/>
      <c r="C59" s="3414"/>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1361</v>
      </c>
      <c r="H59" s="2132" t="s">
        <v>3578</v>
      </c>
      <c r="I59" s="2131" t="s">
        <v>2130</v>
      </c>
      <c r="J59" s="3411">
        <f>J57+1</f>
        <v>5</v>
      </c>
      <c r="K59" s="3410" t="s">
        <v>1368</v>
      </c>
      <c r="L59" s="2304" t="s">
        <v>1364</v>
      </c>
      <c r="M59" s="2318"/>
      <c r="N59" s="2319">
        <f ca="1">M49-N57</f>
        <v>3446</v>
      </c>
      <c r="O59" s="2320"/>
    </row>
    <row r="60" spans="1:35" ht="12" customHeight="1">
      <c r="A60" s="1665"/>
      <c r="B60" s="646"/>
      <c r="C60" s="646"/>
      <c r="D60" s="646"/>
      <c r="E60" s="1460"/>
      <c r="F60" s="1664"/>
      <c r="G60" s="1664"/>
      <c r="H60" s="151"/>
      <c r="I60" s="121"/>
      <c r="J60" s="3412"/>
      <c r="K60" s="3410"/>
      <c r="L60" s="2311" t="s">
        <v>1366</v>
      </c>
      <c r="M60" s="2315"/>
      <c r="N60" s="2316" t="str">
        <f ca="1">NUMBERSTRING(INT(N59*10000),2)&amp;"元整"</f>
        <v>叁仟肆佰肆拾陆万元整</v>
      </c>
      <c r="O60" s="2317"/>
    </row>
    <row r="61" spans="1:35" ht="13.5" thickBot="1">
      <c r="A61" s="3358" t="s">
        <v>1369</v>
      </c>
      <c r="B61" s="3358"/>
      <c r="C61" s="3358"/>
      <c r="D61" s="3358"/>
      <c r="E61" s="3358"/>
      <c r="F61" s="1664"/>
      <c r="G61" s="1664"/>
      <c r="H61" s="151"/>
      <c r="I61" s="121"/>
      <c r="J61" s="2304">
        <f>J59+1</f>
        <v>6</v>
      </c>
      <c r="K61" s="3410" t="s">
        <v>1370</v>
      </c>
      <c r="L61" s="3410"/>
      <c r="M61" s="2321"/>
      <c r="N61" s="2322">
        <f ca="1">ROUND(N59*10000/'数据-汇总表'!E3,0)</f>
        <v>8246</v>
      </c>
      <c r="O61" s="2323"/>
    </row>
    <row r="62" spans="1:35" ht="12.75">
      <c r="A62" s="3376" t="s">
        <v>1371</v>
      </c>
      <c r="B62" s="3377"/>
      <c r="C62" s="1859"/>
      <c r="D62" s="1859" t="s">
        <v>1372</v>
      </c>
      <c r="E62" s="158" t="s">
        <v>1373</v>
      </c>
      <c r="F62" s="1664"/>
      <c r="G62" s="1664"/>
      <c r="H62" s="151"/>
      <c r="I62" s="121"/>
    </row>
    <row r="63" spans="1:35" ht="12.75">
      <c r="A63" s="165" t="s">
        <v>330</v>
      </c>
      <c r="B63" s="159" t="s">
        <v>1374</v>
      </c>
      <c r="C63" s="2344">
        <f ca="1">ROUND((C64+C65)/(1+'数据-取费表'!C42),0)</f>
        <v>3284</v>
      </c>
      <c r="D63" s="159"/>
      <c r="E63" s="160"/>
      <c r="F63" s="1664"/>
      <c r="G63" s="1664"/>
      <c r="H63" s="151"/>
      <c r="I63" s="121"/>
      <c r="J63" s="3435" t="s">
        <v>1375</v>
      </c>
      <c r="K63" s="1239" t="s">
        <v>1376</v>
      </c>
      <c r="L63" s="1239">
        <f ca="1">IF(M49&gt;10000,M49*0.5%,IF(AND(M49&gt;1000,M49&lt;=10000),M49*1%,IF(AND(M49&gt;100,M49&lt;=1000),M49*3%,IF(AND(M49&gt;10,M49&lt;=100),M49*5%,M49*8%))))</f>
        <v>34.480000000000004</v>
      </c>
      <c r="M63" s="294">
        <f ca="1">ROUND(L63,1)</f>
        <v>34.5</v>
      </c>
      <c r="N63" s="2324"/>
      <c r="Z63" s="1617"/>
      <c r="AI63" s="1555"/>
    </row>
    <row r="64" spans="1:35" ht="14.25" customHeight="1">
      <c r="A64" s="161" t="s">
        <v>325</v>
      </c>
      <c r="B64" s="162" t="s">
        <v>1377</v>
      </c>
      <c r="C64" s="2345">
        <f ca="1">D45</f>
        <v>3448</v>
      </c>
      <c r="D64" s="162" t="s">
        <v>26</v>
      </c>
      <c r="E64" s="164"/>
      <c r="F64" s="1664"/>
      <c r="G64" s="1664"/>
      <c r="H64" s="151"/>
      <c r="I64" s="121"/>
      <c r="J64" s="3435"/>
      <c r="K64" s="1239" t="s">
        <v>1378</v>
      </c>
      <c r="L64" s="1239">
        <f ca="1">IF(M49&gt;2000,M49*0.5%,IF(AND(M49&gt;1000,M49&lt;=2000),M49*0.6%,IF(AND(M49&gt;500,M49&lt;=1000),M49*0.7%,IF(AND(M49&gt;200,M49&lt;=500),M49*0.8%,IF(AND(M49&gt;100,M49&lt;=200),M49*0.9%,IF(AND(M49&gt;50,M49&lt;=100),M49*1%,IF(AND(M49&gt;20,M49&lt;=50),M49*1.5%,IF(AND(M49&gt;10,M49&lt;=20),M49*2%,IF(AND(M49&gt;1,M49&lt;=10),M49*2.5%)))))))))</f>
        <v>17.240000000000002</v>
      </c>
      <c r="M64" s="294">
        <f t="shared" ref="M64:M65" ca="1" si="1">ROUND(L64,1)</f>
        <v>17.2</v>
      </c>
      <c r="N64" s="2325" t="s">
        <v>1379</v>
      </c>
      <c r="Z64" s="1617"/>
      <c r="AI64" s="1555"/>
    </row>
    <row r="65" spans="1:35" ht="14.25" customHeight="1">
      <c r="A65" s="161" t="s">
        <v>326</v>
      </c>
      <c r="B65" s="162" t="s">
        <v>1380</v>
      </c>
      <c r="C65" s="2346"/>
      <c r="D65" s="162"/>
      <c r="E65" s="164"/>
      <c r="F65" s="1664"/>
      <c r="G65" s="1664"/>
      <c r="H65" s="151"/>
      <c r="I65" s="121"/>
      <c r="J65" s="3435"/>
      <c r="K65" s="1239" t="s">
        <v>1381</v>
      </c>
      <c r="L65" s="1239">
        <f ca="1">IF(M49&gt;1000,M49*0.1%,IF(AND(M49&gt;500,M49&lt;=1000),M49*0.5%,IF(AND(M49&gt;50,M49&lt;=500),M49*1%,IF(AND(M49&gt;1,M49&lt;=50),M49*1.5%))))</f>
        <v>3.448</v>
      </c>
      <c r="M65" s="294">
        <f t="shared" ca="1" si="1"/>
        <v>3.4</v>
      </c>
      <c r="N65" s="2325" t="s">
        <v>1379</v>
      </c>
      <c r="Z65" s="1617"/>
      <c r="AI65" s="1555"/>
    </row>
    <row r="66" spans="1:35" ht="14.25" customHeight="1">
      <c r="A66" s="165" t="s">
        <v>327</v>
      </c>
      <c r="B66" s="166" t="s">
        <v>1382</v>
      </c>
      <c r="C66" s="2347">
        <f>ROUND(面积位置!W5/10000/1.05,0)</f>
        <v>3372</v>
      </c>
      <c r="D66" s="166" t="s">
        <v>26</v>
      </c>
      <c r="E66" s="1245" t="s">
        <v>667</v>
      </c>
      <c r="F66" s="1664"/>
      <c r="G66" s="1664"/>
      <c r="H66" s="151"/>
      <c r="I66" s="121"/>
      <c r="J66" s="3435"/>
      <c r="K66" s="1239" t="s">
        <v>1383</v>
      </c>
      <c r="L66" s="1239">
        <f ca="1">M49*0.5%</f>
        <v>17.240000000000002</v>
      </c>
      <c r="M66" s="294">
        <f ca="1">IF(L66&gt;0.5,0.5,ROUND(L66,0))</f>
        <v>0.5</v>
      </c>
      <c r="N66" s="2325" t="s">
        <v>1384</v>
      </c>
      <c r="Z66" s="1617"/>
      <c r="AI66" s="1555"/>
    </row>
    <row r="67" spans="1:35" ht="14.25" customHeight="1">
      <c r="A67" s="165" t="s">
        <v>328</v>
      </c>
      <c r="B67" s="166" t="s">
        <v>1385</v>
      </c>
      <c r="C67" s="2348">
        <f ca="1">C63-C66</f>
        <v>-88</v>
      </c>
      <c r="D67" s="162" t="s">
        <v>26</v>
      </c>
      <c r="E67" s="164"/>
      <c r="F67" s="1664"/>
      <c r="G67" s="1664"/>
      <c r="H67" s="151"/>
      <c r="I67" s="121"/>
      <c r="J67" s="3435"/>
      <c r="K67" s="1239" t="s">
        <v>1386</v>
      </c>
      <c r="L67" s="1239">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4"/>
      <c r="Z67" s="1617"/>
      <c r="AI67" s="1555"/>
    </row>
    <row r="68" spans="1:35" ht="14.25" customHeight="1" thickBot="1">
      <c r="A68" s="168" t="s">
        <v>329</v>
      </c>
      <c r="B68" s="169" t="s">
        <v>1387</v>
      </c>
      <c r="C68" s="2349">
        <f ca="1">IF(C67&lt;=0,0,ROUND(C67*D68,0))</f>
        <v>0</v>
      </c>
      <c r="D68" s="2350">
        <f>'数据-取费表'!B41</f>
        <v>5.6000000000000001E-2</v>
      </c>
      <c r="E68" s="170"/>
      <c r="F68" s="1664"/>
      <c r="G68" s="1664"/>
      <c r="H68" s="151"/>
      <c r="I68" s="121"/>
      <c r="J68" s="3435"/>
      <c r="K68" s="1239" t="s">
        <v>1388</v>
      </c>
      <c r="L68" s="1239">
        <f ca="1">IF(M49&gt;10000,M49*0.5%,IF(AND(M49&gt;5000,M49&lt;=10000),M49*1%,IF(AND(M49&gt;1000,M49&lt;=5000),M49*2%,IF(AND(M49&gt;200,M49&lt;=1000),M49*3%,M49*5%))))</f>
        <v>68.960000000000008</v>
      </c>
      <c r="M68" s="294">
        <f ca="1">ROUND(L68,1)</f>
        <v>69</v>
      </c>
      <c r="N68" s="2324"/>
      <c r="Z68" s="1617"/>
      <c r="AI68" s="1555"/>
    </row>
    <row r="69" spans="1:35" ht="16.5" customHeight="1">
      <c r="A69" s="1666"/>
      <c r="B69" s="1667"/>
      <c r="C69" s="1668"/>
      <c r="D69" s="1669"/>
      <c r="E69" s="1670"/>
      <c r="F69" s="1460"/>
      <c r="G69" s="1460"/>
      <c r="H69" s="1461"/>
      <c r="I69" s="646"/>
      <c r="J69" s="3435"/>
      <c r="K69" s="1239" t="s">
        <v>1389</v>
      </c>
      <c r="L69" s="1239"/>
      <c r="M69" s="294">
        <f ca="1">ROUND(SUM(M63:M68),0)</f>
        <v>127</v>
      </c>
      <c r="N69" s="2326">
        <f ca="1">M69/M49</f>
        <v>3.6832946635730855E-2</v>
      </c>
      <c r="Z69" s="1617"/>
      <c r="AI69" s="1555"/>
    </row>
    <row r="70" spans="1:35" s="642" customFormat="1" ht="15" thickBot="1">
      <c r="A70" s="3397" t="s">
        <v>1390</v>
      </c>
      <c r="B70" s="3398"/>
      <c r="C70" s="3398"/>
      <c r="D70" s="3398"/>
      <c r="E70" s="3398"/>
      <c r="F70" s="3398"/>
      <c r="G70" s="3398"/>
      <c r="H70" s="3398"/>
      <c r="I70" s="1671"/>
      <c r="J70" s="459"/>
      <c r="K70" s="459"/>
      <c r="L70" s="459"/>
      <c r="M70" s="459"/>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2" customFormat="1" ht="14.25">
      <c r="A71" s="3376" t="s">
        <v>1371</v>
      </c>
      <c r="B71" s="3377"/>
      <c r="C71" s="1859"/>
      <c r="D71" s="1859" t="s">
        <v>1372</v>
      </c>
      <c r="E71" s="171" t="s">
        <v>1373</v>
      </c>
      <c r="F71" s="172"/>
      <c r="G71" s="172"/>
      <c r="H71" s="173"/>
      <c r="I71" s="1674"/>
      <c r="J71" s="459"/>
      <c r="K71" s="459"/>
      <c r="L71" s="459"/>
      <c r="M71" s="459"/>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2" customFormat="1" ht="14.25">
      <c r="A72" s="165" t="s">
        <v>330</v>
      </c>
      <c r="B72" s="166" t="s">
        <v>1391</v>
      </c>
      <c r="C72" s="2348">
        <f ca="1">ROUND(D45/(1+'数据-取费表'!C42),0)</f>
        <v>3284</v>
      </c>
      <c r="D72" s="162" t="s">
        <v>26</v>
      </c>
      <c r="E72" s="1251"/>
      <c r="F72" s="1249"/>
      <c r="G72" s="1249"/>
      <c r="H72" s="174"/>
      <c r="I72" s="1674"/>
      <c r="J72" s="459"/>
      <c r="K72" s="459"/>
      <c r="L72" s="459"/>
      <c r="M72" s="459"/>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2" customFormat="1" ht="14.25">
      <c r="A73" s="165" t="s">
        <v>327</v>
      </c>
      <c r="B73" s="155" t="s">
        <v>1392</v>
      </c>
      <c r="C73" s="2348">
        <f ca="1">C74+C78</f>
        <v>4557</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2" customFormat="1" ht="24">
      <c r="A74" s="161" t="s">
        <v>325</v>
      </c>
      <c r="B74" s="162" t="s">
        <v>1393</v>
      </c>
      <c r="C74" s="162">
        <f>ROUND(IF(G77="2016年5月1日后购买",C75/(1+'数据-取费表'!C42)+C76+C77,C75+C76+C77),0)</f>
        <v>4537</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2" customFormat="1" ht="14.25">
      <c r="A75" s="161" t="s">
        <v>331</v>
      </c>
      <c r="B75" s="162" t="s">
        <v>1394</v>
      </c>
      <c r="C75" s="2351">
        <f>ROUND(面积位置!W5/10000,0)</f>
        <v>3541</v>
      </c>
      <c r="D75" s="162" t="s">
        <v>26</v>
      </c>
      <c r="E75" s="176" t="s">
        <v>1395</v>
      </c>
      <c r="F75" s="2352" t="s">
        <v>3586</v>
      </c>
      <c r="G75" s="176" t="s">
        <v>1396</v>
      </c>
      <c r="H75" s="2353">
        <v>6</v>
      </c>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2" customFormat="1" ht="24.75" customHeight="1">
      <c r="A76" s="161" t="s">
        <v>332</v>
      </c>
      <c r="B76" s="177" t="s">
        <v>1397</v>
      </c>
      <c r="C76" s="162">
        <f>IF(F75="购房发票",ROUND(C75*H75*D76,0),0)</f>
        <v>1062</v>
      </c>
      <c r="D76" s="2354">
        <v>0.05</v>
      </c>
      <c r="E76" s="3371" t="s">
        <v>1398</v>
      </c>
      <c r="F76" s="3345"/>
      <c r="G76" s="3345"/>
      <c r="H76" s="3396"/>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2" customFormat="1" ht="24.75" customHeight="1">
      <c r="A77" s="161" t="s">
        <v>333</v>
      </c>
      <c r="B77" s="162" t="s">
        <v>1399</v>
      </c>
      <c r="C77" s="162">
        <f>ROUND(IF(G77="个人住宅",0,IF(G77="2016年5月1日前购买",C75*D77,C75*D77/(1+'数据-取费表'!C42))),0)</f>
        <v>103</v>
      </c>
      <c r="D77" s="2355">
        <f>'数据-取费表'!B48+'数据-取费表'!B49</f>
        <v>3.0499999999999999E-2</v>
      </c>
      <c r="E77" s="12" t="s">
        <v>1400</v>
      </c>
      <c r="F77" s="178"/>
      <c r="G77" s="1676" t="s">
        <v>3579</v>
      </c>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2" customFormat="1" ht="24.75" customHeight="1">
      <c r="A78" s="161" t="s">
        <v>326</v>
      </c>
      <c r="B78" s="162" t="s">
        <v>1401</v>
      </c>
      <c r="C78" s="2356">
        <f ca="1">ROUND(D45*D78/(1+'数据-取费表'!C42),0)</f>
        <v>20</v>
      </c>
      <c r="D78" s="2357">
        <f>'数据-取费表'!B43</f>
        <v>6.000000000000001E-3</v>
      </c>
      <c r="E78" s="3355" t="s">
        <v>1402</v>
      </c>
      <c r="F78" s="3356"/>
      <c r="G78" s="3356"/>
      <c r="H78" s="3365"/>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2" customFormat="1" ht="14.25">
      <c r="A79" s="165" t="s">
        <v>334</v>
      </c>
      <c r="B79" s="166" t="s">
        <v>1403</v>
      </c>
      <c r="C79" s="2348">
        <f ca="1">C72-C73</f>
        <v>-1273</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2" customFormat="1" ht="24">
      <c r="A80" s="165" t="s">
        <v>335</v>
      </c>
      <c r="B80" s="166" t="s">
        <v>1404</v>
      </c>
      <c r="C80" s="2358">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2" customFormat="1" ht="24.75" thickBot="1">
      <c r="A81" s="168" t="s">
        <v>336</v>
      </c>
      <c r="B81" s="169" t="s">
        <v>1405</v>
      </c>
      <c r="C81" s="2359">
        <f ca="1">ROUND(IF(C79&lt;=0,0,IF(C80&gt;=200%,C79*60%-C73*35%,IF(C80&gt;=100%,C79*50%-C73*15%,IF(C80&gt;=50%,C79*40%-C73*5%,IF(C80&lt;50%,C79*30%,0))))),0)</f>
        <v>0</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2" customFormat="1" ht="7.5" customHeight="1">
      <c r="A82" s="4"/>
      <c r="B82" s="647"/>
      <c r="C82" s="4"/>
      <c r="D82" s="4"/>
      <c r="E82" s="647"/>
      <c r="F82" s="647"/>
      <c r="G82" s="647"/>
      <c r="H82" s="648"/>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2" customFormat="1" ht="15" thickBot="1">
      <c r="A83" s="3397" t="s">
        <v>1406</v>
      </c>
      <c r="B83" s="3398"/>
      <c r="C83" s="3398"/>
      <c r="D83" s="3398"/>
      <c r="E83" s="3398"/>
      <c r="F83" s="3398"/>
      <c r="G83" s="3398"/>
      <c r="H83" s="3398"/>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2" customFormat="1" ht="14.25">
      <c r="A84" s="3376" t="s">
        <v>1371</v>
      </c>
      <c r="B84" s="3377"/>
      <c r="C84" s="1859"/>
      <c r="D84" s="1859" t="s">
        <v>1372</v>
      </c>
      <c r="E84" s="171" t="s">
        <v>1373</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2" customFormat="1" ht="14.25">
      <c r="A85" s="165" t="s">
        <v>330</v>
      </c>
      <c r="B85" s="166" t="s">
        <v>1391</v>
      </c>
      <c r="C85" s="2348">
        <f ca="1">ROUND(D45/(1+'数据-取费表'!C42),0)</f>
        <v>3284</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2" customFormat="1" ht="14.25">
      <c r="A86" s="165" t="s">
        <v>327</v>
      </c>
      <c r="B86" s="155" t="s">
        <v>1392</v>
      </c>
      <c r="C86" s="2348">
        <f ca="1">IF(H88="仅含出让金",C87+C90+C91+C92+C93+C94,C87+C91+C92+C93+C94)</f>
        <v>20</v>
      </c>
      <c r="D86" s="2361"/>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2" customFormat="1" ht="14.25">
      <c r="A87" s="161" t="s">
        <v>325</v>
      </c>
      <c r="B87" s="162" t="s">
        <v>1407</v>
      </c>
      <c r="C87" s="2356">
        <f>C88+C89</f>
        <v>0</v>
      </c>
      <c r="D87" s="2357"/>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2" customFormat="1" ht="14.25">
      <c r="A88" s="161" t="s">
        <v>331</v>
      </c>
      <c r="B88" s="162" t="s">
        <v>1408</v>
      </c>
      <c r="C88" s="2362"/>
      <c r="D88" s="2357"/>
      <c r="E88" s="185" t="s">
        <v>1409</v>
      </c>
      <c r="F88" s="2142"/>
      <c r="G88" s="186" t="s">
        <v>1410</v>
      </c>
      <c r="H88" s="1678"/>
      <c r="I88" s="1675"/>
      <c r="J88" s="2302" t="s">
        <v>2272</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2" customFormat="1" ht="14.25">
      <c r="A89" s="161" t="s">
        <v>332</v>
      </c>
      <c r="B89" s="162" t="s">
        <v>1399</v>
      </c>
      <c r="C89" s="2356">
        <f>ROUND(C88*D89,0)</f>
        <v>0</v>
      </c>
      <c r="D89" s="2357">
        <f>'数据-取费表'!B48+'数据-取费表'!B49</f>
        <v>3.0499999999999999E-2</v>
      </c>
      <c r="E89" s="185" t="s">
        <v>1411</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2" customFormat="1" ht="14.25">
      <c r="A90" s="161" t="s">
        <v>326</v>
      </c>
      <c r="B90" s="162" t="s">
        <v>1412</v>
      </c>
      <c r="C90" s="2362"/>
      <c r="D90" s="2357"/>
      <c r="E90" s="185" t="str">
        <f>IF(H88="-","土地取得成本中已包含该笔费用"," ")</f>
        <v xml:space="preserve"> </v>
      </c>
      <c r="F90" s="2142"/>
      <c r="G90" s="3437" t="s">
        <v>2122</v>
      </c>
      <c r="H90" s="3438"/>
      <c r="I90" s="1675"/>
      <c r="J90" s="2302" t="s">
        <v>2273</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2" customFormat="1" ht="27.75" customHeight="1">
      <c r="A91" s="161" t="s">
        <v>1413</v>
      </c>
      <c r="B91" s="162" t="s">
        <v>1414</v>
      </c>
      <c r="C91" s="2356">
        <f>IF(H91="——",成本法!C33,I91)</f>
        <v>0</v>
      </c>
      <c r="D91" s="2357"/>
      <c r="E91" s="3355" t="s">
        <v>1415</v>
      </c>
      <c r="F91" s="3356"/>
      <c r="G91" s="3356"/>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2" customFormat="1" ht="25.5" customHeight="1">
      <c r="A92" s="161" t="s">
        <v>1416</v>
      </c>
      <c r="B92" s="162" t="s">
        <v>1417</v>
      </c>
      <c r="C92" s="2356">
        <f>ROUND((C87+C90+C91)*D92,0)</f>
        <v>0</v>
      </c>
      <c r="D92" s="2363"/>
      <c r="E92" s="3355" t="s">
        <v>1418</v>
      </c>
      <c r="F92" s="3356"/>
      <c r="G92" s="3356"/>
      <c r="H92" s="3365"/>
      <c r="I92" s="1675"/>
      <c r="J92" s="2303" t="s">
        <v>2274</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2" customFormat="1" ht="25.5" customHeight="1">
      <c r="A93" s="161" t="s">
        <v>1419</v>
      </c>
      <c r="B93" s="162" t="s">
        <v>1401</v>
      </c>
      <c r="C93" s="2356">
        <f ca="1">ROUND(D45*D93/(1+'数据-取费表'!C42),0)</f>
        <v>20</v>
      </c>
      <c r="D93" s="2357">
        <f>'数据-取费表'!B43</f>
        <v>6.000000000000001E-3</v>
      </c>
      <c r="E93" s="3355" t="s">
        <v>1402</v>
      </c>
      <c r="F93" s="3356"/>
      <c r="G93" s="3356"/>
      <c r="H93" s="3365"/>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2" customFormat="1" ht="36.75" customHeight="1">
      <c r="A94" s="161" t="s">
        <v>1420</v>
      </c>
      <c r="B94" s="162" t="s">
        <v>1421</v>
      </c>
      <c r="C94" s="2362">
        <f>ROUND((C87+C90+C91)*D94,0)</f>
        <v>0</v>
      </c>
      <c r="D94" s="2357">
        <v>0.2</v>
      </c>
      <c r="E94" s="3366" t="s">
        <v>1422</v>
      </c>
      <c r="F94" s="3367"/>
      <c r="G94" s="3367"/>
      <c r="H94" s="3368"/>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2" customFormat="1" ht="14.25">
      <c r="A95" s="165" t="s">
        <v>334</v>
      </c>
      <c r="B95" s="166" t="s">
        <v>1403</v>
      </c>
      <c r="C95" s="2348">
        <f ca="1">ROUND(C85-C86,0)</f>
        <v>3264</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2" customFormat="1" ht="24">
      <c r="A96" s="165" t="s">
        <v>335</v>
      </c>
      <c r="B96" s="166" t="s">
        <v>1404</v>
      </c>
      <c r="C96" s="2358">
        <f ca="1">IF(C95&lt;=0,0,C95/C86)</f>
        <v>163.19999999999999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2" customFormat="1" ht="24.75" thickBot="1">
      <c r="A97" s="168" t="s">
        <v>336</v>
      </c>
      <c r="B97" s="169" t="s">
        <v>1405</v>
      </c>
      <c r="C97" s="2359">
        <f ca="1">ROUND(IF(C95&lt;=0,0,IF(C96&gt;=200%,C95*60%-C86*35%,IF(C96&gt;=100%,C95*50%-C86*15%,IF(C96&gt;=50%,C95*40%-C86*5%,IF(C96&lt;50%,C95*30%,0))))),0)</f>
        <v>1951</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6"/>
      <c r="C98" s="646"/>
      <c r="D98" s="646"/>
      <c r="E98" s="1460"/>
      <c r="F98" s="1460"/>
      <c r="G98" s="1460"/>
      <c r="H98" s="1461"/>
      <c r="I98" s="121"/>
    </row>
    <row r="99" spans="1:35" ht="21.75" customHeight="1" thickBot="1">
      <c r="A99" s="1458" t="s">
        <v>1423</v>
      </c>
      <c r="B99" s="646"/>
      <c r="C99" s="646"/>
      <c r="D99" s="646"/>
      <c r="E99" s="1460"/>
      <c r="F99" s="1460"/>
      <c r="G99" s="1460"/>
      <c r="H99" s="1461"/>
      <c r="I99" s="121"/>
    </row>
    <row r="100" spans="1:35" ht="18.75" customHeight="1">
      <c r="A100" s="3339" t="s">
        <v>1424</v>
      </c>
      <c r="B100" s="3340"/>
      <c r="C100" s="3340"/>
      <c r="D100" s="3357"/>
      <c r="E100" s="3340" t="s">
        <v>1425</v>
      </c>
      <c r="F100" s="3340"/>
      <c r="G100" s="3340"/>
      <c r="H100" s="3357"/>
      <c r="I100" s="121"/>
    </row>
    <row r="101" spans="1:35" ht="18.75" customHeight="1">
      <c r="A101" s="3418" t="s">
        <v>1426</v>
      </c>
      <c r="B101" s="3419"/>
      <c r="C101" s="2365" t="str">
        <f>C4</f>
        <v>成本法-203</v>
      </c>
      <c r="D101" s="2366" t="str">
        <f>D4</f>
        <v>收益法-203</v>
      </c>
      <c r="E101" s="3432" t="s">
        <v>1427</v>
      </c>
      <c r="F101" s="3389"/>
      <c r="G101" s="1681" t="s">
        <v>1428</v>
      </c>
      <c r="H101" s="2375">
        <f ca="1">H118</f>
        <v>3448</v>
      </c>
      <c r="I101" s="121"/>
    </row>
    <row r="102" spans="1:35" ht="18.75" customHeight="1">
      <c r="A102" s="3391" t="s">
        <v>1429</v>
      </c>
      <c r="B102" s="2364" t="s">
        <v>1428</v>
      </c>
      <c r="C102" s="2365">
        <f ca="1">IF(D32="楼面单价",ROUND(C19,0),C19)</f>
        <v>3693.0729999999999</v>
      </c>
      <c r="D102" s="2366">
        <f ca="1">IF(D32="楼面单价",ROUND(D19,0),D19)</f>
        <v>3201.9983999999999</v>
      </c>
      <c r="E102" s="3432"/>
      <c r="F102" s="3389"/>
      <c r="G102" s="1681" t="s">
        <v>1430</v>
      </c>
      <c r="H102" s="2335">
        <f ca="1">I118</f>
        <v>21439</v>
      </c>
      <c r="I102" s="121"/>
    </row>
    <row r="103" spans="1:35" ht="42.75" customHeight="1">
      <c r="A103" s="3391"/>
      <c r="B103" s="2364" t="s">
        <v>1430</v>
      </c>
      <c r="C103" s="2367">
        <f ca="1">C20</f>
        <v>22963</v>
      </c>
      <c r="D103" s="2368">
        <f ca="1">D20</f>
        <v>19910</v>
      </c>
      <c r="E103" s="3426" t="s">
        <v>1431</v>
      </c>
      <c r="F103" s="3427"/>
      <c r="G103" s="1682" t="s">
        <v>1432</v>
      </c>
      <c r="H103" s="2375">
        <f>IF(D36="正常操作",H104+H105+H106,H105+H106)</f>
        <v>0</v>
      </c>
      <c r="I103" s="121"/>
    </row>
    <row r="104" spans="1:35" ht="18.75" customHeight="1">
      <c r="A104" s="3391" t="s">
        <v>1433</v>
      </c>
      <c r="B104" s="2369" t="s">
        <v>1428</v>
      </c>
      <c r="C104" s="2370">
        <f ca="1">H118</f>
        <v>3448</v>
      </c>
      <c r="D104" s="2371"/>
      <c r="E104" s="1549" t="s">
        <v>1434</v>
      </c>
      <c r="F104" s="1542"/>
      <c r="G104" s="1682" t="s">
        <v>1432</v>
      </c>
      <c r="H104" s="2376">
        <f>IF(D36="同一抵押权人同一抵押物续贷",C36&amp;"（续贷，未扣减，详见特别提示）",C36)</f>
        <v>0</v>
      </c>
      <c r="I104" s="121"/>
    </row>
    <row r="105" spans="1:35" ht="18.75" customHeight="1" thickBot="1">
      <c r="A105" s="3392"/>
      <c r="B105" s="2372" t="s">
        <v>1430</v>
      </c>
      <c r="C105" s="2373">
        <f ca="1">I118</f>
        <v>21439</v>
      </c>
      <c r="D105" s="2374"/>
      <c r="E105" s="1549" t="s">
        <v>1435</v>
      </c>
      <c r="F105" s="1542"/>
      <c r="G105" s="1682" t="s">
        <v>1432</v>
      </c>
      <c r="H105" s="2377">
        <f>C37</f>
        <v>0</v>
      </c>
      <c r="I105" s="121"/>
    </row>
    <row r="106" spans="1:35" ht="18.75" customHeight="1">
      <c r="A106" s="646" t="s">
        <v>1436</v>
      </c>
      <c r="B106" s="646"/>
      <c r="C106" s="646"/>
      <c r="D106" s="646"/>
      <c r="E106" s="1683" t="s">
        <v>1437</v>
      </c>
      <c r="F106" s="1542"/>
      <c r="G106" s="1682" t="s">
        <v>1432</v>
      </c>
      <c r="H106" s="2377">
        <f>C38</f>
        <v>0</v>
      </c>
      <c r="I106" s="121"/>
    </row>
    <row r="107" spans="1:35" ht="18.75" customHeight="1">
      <c r="A107" s="121"/>
      <c r="B107" s="121"/>
      <c r="C107" s="121"/>
      <c r="D107" s="121"/>
      <c r="E107" s="3388" t="str">
        <f>IF(项目基本情况!E8="已注销","——","3.房地产抵押价值")</f>
        <v>3.房地产抵押价值</v>
      </c>
      <c r="F107" s="3389"/>
      <c r="G107" s="1681" t="s">
        <v>1428</v>
      </c>
      <c r="H107" s="2375">
        <f ca="1">IF(E107="——","——",H101-H103)</f>
        <v>3448</v>
      </c>
      <c r="I107" s="121"/>
    </row>
    <row r="108" spans="1:35" ht="18.75" customHeight="1">
      <c r="A108" s="121"/>
      <c r="B108" s="121"/>
      <c r="C108" s="121"/>
      <c r="D108" s="121"/>
      <c r="E108" s="3388"/>
      <c r="F108" s="3389"/>
      <c r="G108" s="1681" t="s">
        <v>1430</v>
      </c>
      <c r="H108" s="2335">
        <f ca="1">IF(H107=H101,H102,ROUND(H107*10000/'数据-汇总表'!E3,0))</f>
        <v>21439</v>
      </c>
      <c r="I108" s="121"/>
    </row>
    <row r="109" spans="1:35" ht="18.75" customHeight="1">
      <c r="A109" s="121"/>
      <c r="B109" s="121"/>
      <c r="C109" s="121"/>
      <c r="D109" s="121"/>
      <c r="E109" s="3388" t="str">
        <f>IF(项目基本情况!E8="已注销及未注销","4.抵押担保权已注销时的房地产抵押价值",IF(项目基本情况!E8="已注销","3.抵押担保权已注销时的房地产抵押价值","——"))</f>
        <v>——</v>
      </c>
      <c r="F109" s="3389"/>
      <c r="G109" s="1681" t="s">
        <v>1428</v>
      </c>
      <c r="H109" s="2378" t="str">
        <f>IF(E109="——","——",H101-H105-H106)</f>
        <v>——</v>
      </c>
      <c r="I109" s="121"/>
    </row>
    <row r="110" spans="1:35" ht="18.75" customHeight="1">
      <c r="A110" s="121"/>
      <c r="B110" s="121"/>
      <c r="C110" s="121"/>
      <c r="D110" s="121"/>
      <c r="E110" s="3388"/>
      <c r="F110" s="3389"/>
      <c r="G110" s="1681" t="s">
        <v>1430</v>
      </c>
      <c r="H110" s="2335" t="str">
        <f>IF(H109="——","——",ROUND(H109*10000/'数据-汇总表'!E3,0))</f>
        <v>——</v>
      </c>
      <c r="I110" s="121"/>
    </row>
    <row r="111" spans="1:35" ht="18.75" customHeight="1">
      <c r="A111" s="121"/>
      <c r="B111" s="121"/>
      <c r="C111" s="121"/>
      <c r="D111" s="121"/>
      <c r="E111" s="3420" t="str">
        <f>IF(项目基本情况!E9="抵押净值",IF(OR(项目基本情况!E8="已注销",项目基本情况!E8="房地产抵押价值"),"4.抵押净值","5.抵押净值"),"——")</f>
        <v>4.抵押净值</v>
      </c>
      <c r="F111" s="3390"/>
      <c r="G111" s="1681" t="s">
        <v>1428</v>
      </c>
      <c r="H111" s="2375">
        <f ca="1">IF(E111="——","——",N59)</f>
        <v>3446</v>
      </c>
      <c r="I111" s="121"/>
    </row>
    <row r="112" spans="1:35" ht="18.75" customHeight="1" thickBot="1">
      <c r="A112" s="121"/>
      <c r="B112" s="121"/>
      <c r="C112" s="121"/>
      <c r="D112" s="121"/>
      <c r="E112" s="3421"/>
      <c r="F112" s="3422"/>
      <c r="G112" s="1684" t="s">
        <v>1430</v>
      </c>
      <c r="H112" s="2379">
        <f ca="1">IF(E111="——","——",N61)</f>
        <v>8246</v>
      </c>
      <c r="I112" s="121"/>
    </row>
    <row r="113" spans="1:27" ht="18.75" customHeight="1">
      <c r="A113" s="121"/>
      <c r="B113" s="121"/>
      <c r="C113" s="121"/>
      <c r="D113" s="121"/>
      <c r="E113" s="3393" t="s">
        <v>1436</v>
      </c>
      <c r="F113" s="3393"/>
      <c r="G113" s="3393"/>
      <c r="H113" s="3393"/>
      <c r="I113" s="121"/>
    </row>
    <row r="114" spans="1:27" ht="3.75" customHeight="1">
      <c r="A114" s="646"/>
      <c r="B114" s="646"/>
      <c r="C114" s="646"/>
      <c r="D114" s="646"/>
      <c r="E114" s="1665"/>
      <c r="F114" s="1665"/>
      <c r="G114" s="1665"/>
      <c r="H114" s="1665"/>
      <c r="I114" s="646"/>
    </row>
    <row r="115" spans="1:27" ht="18.75" customHeight="1">
      <c r="A115" s="3403" t="s">
        <v>1438</v>
      </c>
      <c r="B115" s="3404"/>
      <c r="C115" s="3404"/>
      <c r="D115" s="3404"/>
      <c r="E115" s="3404"/>
      <c r="F115" s="3404"/>
      <c r="G115" s="3404"/>
      <c r="H115" s="3404"/>
      <c r="I115" s="3405"/>
    </row>
    <row r="116" spans="1:27" ht="27" customHeight="1">
      <c r="A116" s="3359" t="s">
        <v>1439</v>
      </c>
      <c r="B116" s="3394" t="s">
        <v>1440</v>
      </c>
      <c r="C116" s="3394" t="s">
        <v>1441</v>
      </c>
      <c r="D116" s="3407" t="s">
        <v>1442</v>
      </c>
      <c r="E116" s="3408"/>
      <c r="F116" s="3402" t="s">
        <v>1443</v>
      </c>
      <c r="G116" s="3402"/>
      <c r="H116" s="3359" t="s">
        <v>1444</v>
      </c>
      <c r="I116" s="3359"/>
    </row>
    <row r="117" spans="1:27" ht="18.75" customHeight="1">
      <c r="A117" s="3359"/>
      <c r="B117" s="3395"/>
      <c r="C117" s="3395"/>
      <c r="D117" s="2144" t="s">
        <v>1445</v>
      </c>
      <c r="E117" s="2144" t="s">
        <v>1446</v>
      </c>
      <c r="F117" s="2144" t="s">
        <v>1445</v>
      </c>
      <c r="G117" s="2144" t="s">
        <v>1447</v>
      </c>
      <c r="H117" s="2144" t="s">
        <v>1445</v>
      </c>
      <c r="I117" s="2144" t="s">
        <v>1447</v>
      </c>
    </row>
    <row r="118" spans="1:27" ht="24.75" customHeight="1">
      <c r="A118" s="2380" t="str">
        <f>项目基本情况!S2</f>
        <v>北京市房地产</v>
      </c>
      <c r="B118" s="2144">
        <f>M18</f>
        <v>1608.26</v>
      </c>
      <c r="C118" s="2144">
        <f>M19</f>
        <v>0</v>
      </c>
      <c r="D118" s="2144">
        <f ca="1">ROUND(IF(D32="总价",C34,E118*B118/10000),0)</f>
        <v>2555</v>
      </c>
      <c r="E118" s="2144">
        <f ca="1">ROUND(IF(C33="自定义",IF(D32="楼面单价",C34,D118*10000/B118),I118-G118),0)</f>
        <v>15886</v>
      </c>
      <c r="F118" s="2144">
        <f ca="1">ROUND(IF(D32="总价",C35,G118*B118/10000),0)</f>
        <v>893</v>
      </c>
      <c r="G118" s="2144">
        <f ca="1">ROUND(IF(D32="楼面单价",C35,F118*10000/B118),0)</f>
        <v>5553</v>
      </c>
      <c r="H118" s="2144">
        <f ca="1">ROUND(IF(D32="总价",C32,I118*B118/10000),0)</f>
        <v>3448</v>
      </c>
      <c r="I118" s="2144">
        <f ca="1">ROUND(IF(D32="楼面单价",C32,H118*10000/B118),0)</f>
        <v>21439</v>
      </c>
    </row>
    <row r="119" spans="1:27" ht="18.75" customHeight="1">
      <c r="A119" s="3359" t="s">
        <v>1448</v>
      </c>
      <c r="B119" s="3359"/>
      <c r="C119" s="3359"/>
      <c r="D119" s="3399" t="str">
        <f ca="1">NUMBERSTRING(INT(D118*10000),2)&amp;"元整"</f>
        <v>贰仟伍佰伍拾伍万元整</v>
      </c>
      <c r="E119" s="3401"/>
      <c r="F119" s="3399" t="str">
        <f ca="1">NUMBERSTRING(INT(F118*10000),2)&amp;"元整"</f>
        <v>捌佰玖拾叁万元整</v>
      </c>
      <c r="G119" s="3401"/>
      <c r="H119" s="3399" t="str">
        <f ca="1">NUMBERSTRING(INT(H118*10000),2)&amp;"元整"</f>
        <v>叁仟肆佰肆拾捌万元整</v>
      </c>
      <c r="I119" s="3401"/>
    </row>
    <row r="120" spans="1:27" ht="18.75" customHeight="1">
      <c r="A120" s="3423" t="str">
        <f>IF(项目基本情况!B9="房地产市场价值","",MID(E103,3,LEN(E103)-2))</f>
        <v>估价师知悉的法定优先受偿款</v>
      </c>
      <c r="B120" s="3424"/>
      <c r="C120" s="3425"/>
      <c r="D120" s="3423">
        <f>H103</f>
        <v>0</v>
      </c>
      <c r="E120" s="3424"/>
      <c r="F120" s="3424"/>
      <c r="G120" s="3424"/>
      <c r="H120" s="3424"/>
      <c r="I120" s="342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99" t="s">
        <v>1448</v>
      </c>
      <c r="B121" s="3400"/>
      <c r="C121" s="3401"/>
      <c r="D121" s="3399" t="str">
        <f>IF(D120=0,"零元整",NUMBERSTRING(INT(D120*10000),2)&amp;"元整")</f>
        <v>零元整</v>
      </c>
      <c r="E121" s="3400"/>
      <c r="F121" s="3400"/>
      <c r="G121" s="3400"/>
      <c r="H121" s="3400"/>
      <c r="I121" s="3401"/>
      <c r="AA121" s="684"/>
    </row>
    <row r="122" spans="1:27" ht="18.75" customHeight="1">
      <c r="A122" s="3390" t="str">
        <f>IF(项目基本情况!B9="房地产市场价值","",MID(E107,3,LEN(E107)-2))</f>
        <v>房地产抵押价值</v>
      </c>
      <c r="B122" s="3390"/>
      <c r="C122" s="3390"/>
      <c r="D122" s="3423">
        <f ca="1">H107</f>
        <v>3448</v>
      </c>
      <c r="E122" s="3424"/>
      <c r="F122" s="3424"/>
      <c r="G122" s="3424"/>
      <c r="H122" s="3424"/>
      <c r="I122" s="3425"/>
      <c r="AA122" s="684"/>
    </row>
    <row r="123" spans="1:27" ht="18.75" customHeight="1">
      <c r="A123" s="3359" t="s">
        <v>1448</v>
      </c>
      <c r="B123" s="3359"/>
      <c r="C123" s="3359"/>
      <c r="D123" s="3399" t="str">
        <f ca="1">NUMBERSTRING(INT(D122*10000),2)&amp;"元整"</f>
        <v>叁仟肆佰肆拾捌万元整</v>
      </c>
      <c r="E123" s="3400"/>
      <c r="F123" s="3400"/>
      <c r="G123" s="3400"/>
      <c r="H123" s="3400"/>
      <c r="I123" s="3401"/>
      <c r="AA123" s="684"/>
    </row>
    <row r="124" spans="1:27" ht="18.75" customHeight="1">
      <c r="A124" s="3390" t="str">
        <f>IF(项目基本情况!B9="房地产市场价值","",MID(E109,3,LEN(E109)-2))</f>
        <v/>
      </c>
      <c r="B124" s="3390"/>
      <c r="C124" s="3390"/>
      <c r="D124" s="3423" t="str">
        <f>H109</f>
        <v>——</v>
      </c>
      <c r="E124" s="3424"/>
      <c r="F124" s="3424"/>
      <c r="G124" s="3424"/>
      <c r="H124" s="3424"/>
      <c r="I124" s="3425"/>
      <c r="AA124" s="684"/>
    </row>
    <row r="125" spans="1:27" ht="18.75" customHeight="1">
      <c r="A125" s="3359" t="s">
        <v>1448</v>
      </c>
      <c r="B125" s="3359"/>
      <c r="C125" s="3359"/>
      <c r="D125" s="3399" t="e">
        <f>NUMBERSTRING(INT(D124*10000),2)&amp;"元整"</f>
        <v>#VALUE!</v>
      </c>
      <c r="E125" s="3400"/>
      <c r="F125" s="3400"/>
      <c r="G125" s="3400"/>
      <c r="H125" s="3400"/>
      <c r="I125" s="3401"/>
      <c r="AA125" s="684"/>
    </row>
    <row r="126" spans="1:27" ht="18.75" customHeight="1">
      <c r="A126" s="3390" t="str">
        <f>IF(项目基本情况!B9="房地产市场价值","",MID(E111,3,LEN(E111)-2))</f>
        <v>抵押净值</v>
      </c>
      <c r="B126" s="3390"/>
      <c r="C126" s="3390"/>
      <c r="D126" s="3423">
        <f ca="1">H111</f>
        <v>3446</v>
      </c>
      <c r="E126" s="3424"/>
      <c r="F126" s="3424"/>
      <c r="G126" s="3424"/>
      <c r="H126" s="3424"/>
      <c r="I126" s="3425"/>
      <c r="AA126" s="684"/>
    </row>
    <row r="127" spans="1:27" ht="18.75" customHeight="1">
      <c r="A127" s="3359" t="s">
        <v>1448</v>
      </c>
      <c r="B127" s="3359"/>
      <c r="C127" s="3359"/>
      <c r="D127" s="3399" t="str">
        <f ca="1">NUMBERSTRING(INT(D126*10000),2)&amp;"元整"</f>
        <v>叁仟肆佰肆拾陆万元整</v>
      </c>
      <c r="E127" s="3400"/>
      <c r="F127" s="3400"/>
      <c r="G127" s="3400"/>
      <c r="H127" s="3400"/>
      <c r="I127" s="3401"/>
      <c r="AA127" s="684"/>
    </row>
    <row r="128" spans="1:27" ht="21.75" customHeight="1">
      <c r="A128" s="3406" t="s">
        <v>1449</v>
      </c>
      <c r="B128" s="3406"/>
      <c r="C128" s="3406"/>
      <c r="D128" s="3406"/>
      <c r="E128" s="3406"/>
      <c r="F128" s="3406"/>
      <c r="G128" s="3406"/>
      <c r="H128" s="3406"/>
      <c r="I128" s="3406"/>
      <c r="AA128" s="684"/>
    </row>
    <row r="129" spans="1:35" ht="21.75" customHeight="1">
      <c r="A129" s="1685" t="s">
        <v>1450</v>
      </c>
      <c r="B129" s="1686"/>
      <c r="C129" s="1687" t="s">
        <v>1451</v>
      </c>
      <c r="D129" s="1688"/>
      <c r="E129" s="1688"/>
      <c r="F129" s="1688"/>
      <c r="G129" s="1688"/>
      <c r="H129" s="1689"/>
      <c r="I129" s="1690"/>
      <c r="AA129" s="684"/>
    </row>
    <row r="130" spans="1:35" ht="21.75" customHeight="1">
      <c r="A130" s="1691">
        <v>1</v>
      </c>
      <c r="B130" s="1692"/>
      <c r="C130" s="1692"/>
      <c r="D130" s="688"/>
      <c r="E130" s="688"/>
      <c r="F130" s="688"/>
      <c r="G130" s="688"/>
      <c r="H130" s="687"/>
      <c r="I130" s="1693"/>
      <c r="AA130" s="684"/>
    </row>
    <row r="131" spans="1:35" ht="21.75" customHeight="1">
      <c r="A131" s="1691">
        <v>2</v>
      </c>
      <c r="B131" s="1692"/>
      <c r="C131" s="1692"/>
      <c r="D131" s="688"/>
      <c r="E131" s="688"/>
      <c r="F131" s="688"/>
      <c r="G131" s="688"/>
      <c r="H131" s="687"/>
      <c r="I131" s="1693"/>
      <c r="AA131" s="684"/>
    </row>
    <row r="132" spans="1:35" ht="21.75" customHeight="1">
      <c r="A132" s="1691">
        <v>3</v>
      </c>
      <c r="B132" s="1692"/>
      <c r="C132" s="1692"/>
      <c r="D132" s="688"/>
      <c r="E132" s="688"/>
      <c r="F132" s="688"/>
      <c r="G132" s="688"/>
      <c r="H132" s="687"/>
      <c r="I132" s="1693"/>
      <c r="AA132" s="684"/>
    </row>
    <row r="133" spans="1:35" ht="21.75" customHeight="1">
      <c r="A133" s="1694"/>
      <c r="B133" s="1695"/>
      <c r="C133" s="1695"/>
      <c r="D133" s="1696"/>
      <c r="E133" s="1696"/>
      <c r="F133" s="1696"/>
      <c r="G133" s="1696"/>
      <c r="H133" s="1697"/>
      <c r="I133" s="1698"/>
    </row>
    <row r="134" spans="1:35" ht="21.75" customHeight="1">
      <c r="A134" s="1692"/>
      <c r="B134" s="1692"/>
      <c r="C134" s="1692"/>
      <c r="D134" s="688"/>
      <c r="E134" s="688"/>
      <c r="F134" s="688"/>
      <c r="G134" s="688"/>
      <c r="H134" s="687"/>
      <c r="I134" s="684"/>
    </row>
    <row r="135" spans="1:35" ht="21.75" customHeight="1">
      <c r="A135" s="684"/>
      <c r="B135" s="684"/>
      <c r="C135" s="684"/>
      <c r="D135" s="684"/>
      <c r="E135" s="684"/>
      <c r="F135" s="1699" t="s">
        <v>1452</v>
      </c>
      <c r="G135" s="1700"/>
      <c r="H135" s="1700"/>
      <c r="I135" s="1701" t="s">
        <v>1453</v>
      </c>
    </row>
    <row r="136" spans="1:35" ht="21.75" customHeight="1">
      <c r="A136" s="684"/>
      <c r="B136" s="1702"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0"/>
      <c r="C138" s="1700"/>
      <c r="D138" s="1700"/>
      <c r="E138" s="1700"/>
      <c r="F138" s="1700"/>
      <c r="G138" s="1700"/>
      <c r="H138" s="1700"/>
      <c r="I138" s="1701" t="s">
        <v>1455</v>
      </c>
    </row>
    <row r="139" spans="1:35" ht="21.75" customHeight="1">
      <c r="A139" s="684"/>
      <c r="B139" s="1702" t="s">
        <v>1456</v>
      </c>
      <c r="C139" s="684"/>
      <c r="D139" s="684"/>
      <c r="E139" s="684"/>
      <c r="F139" s="684"/>
      <c r="G139" s="684"/>
      <c r="H139" s="684"/>
      <c r="I139" s="684"/>
    </row>
    <row r="140" spans="1:35" ht="21.75" customHeight="1">
      <c r="A140" s="684"/>
      <c r="B140" s="1702"/>
      <c r="C140" s="684"/>
      <c r="D140" s="684"/>
      <c r="E140" s="684"/>
      <c r="F140" s="684"/>
      <c r="G140" s="684"/>
      <c r="H140" s="684"/>
      <c r="I140" s="684"/>
    </row>
    <row r="141" spans="1:35" ht="21.75" customHeight="1">
      <c r="A141" s="684"/>
      <c r="B141" s="1700"/>
      <c r="C141" s="1700"/>
      <c r="D141" s="1700"/>
      <c r="E141" s="1700"/>
      <c r="F141" s="1700"/>
      <c r="G141" s="1700"/>
      <c r="H141" s="1700"/>
      <c r="I141" s="1701" t="s">
        <v>1455</v>
      </c>
    </row>
    <row r="142" spans="1:35" ht="21.75" customHeight="1">
      <c r="A142" s="684"/>
      <c r="B142" s="1702"/>
      <c r="C142" s="1703"/>
      <c r="D142" s="1704"/>
      <c r="E142" s="1704"/>
      <c r="F142" s="1608"/>
      <c r="G142" s="684"/>
      <c r="H142" s="684"/>
      <c r="I142" s="684"/>
    </row>
    <row r="143" spans="1:35" s="122" customFormat="1" ht="21.75" customHeight="1">
      <c r="A143" s="684"/>
      <c r="B143" s="1702"/>
      <c r="C143" s="1703"/>
      <c r="D143" s="1704"/>
      <c r="E143" s="1704"/>
      <c r="F143" s="1608"/>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7"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7"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7"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7"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7"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7"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7"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7"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7"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7"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7"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7"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7"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7"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7"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7"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7"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7"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7"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7"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7"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7"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7"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7"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7"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7"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7"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7"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7"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7"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7"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7"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7"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7"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7"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7"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7"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7"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7"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7"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7"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7"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7"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7"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7"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7"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7"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7"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7"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7"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7"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7"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7"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7"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7"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7"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7"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7"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7"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7"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7"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7"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7"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7"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7"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7"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7"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7"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7"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7"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7"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7"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7"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7"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7"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7"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7"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7"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7"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7"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7"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7"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7"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7"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7"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7"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7"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7"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7"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7"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7"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7"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7"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7"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7"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7"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7"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7"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7"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7"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7"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7"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7"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7"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7" customWidth="1"/>
    <col min="2" max="9" width="10" style="787" customWidth="1"/>
    <col min="10" max="16384" width="9" style="787"/>
  </cols>
  <sheetData>
    <row r="36" spans="1:9">
      <c r="A36" s="786" t="s">
        <v>371</v>
      </c>
      <c r="B36" s="786" t="s">
        <v>372</v>
      </c>
    </row>
    <row r="37" spans="1:9" ht="27.75" customHeight="1">
      <c r="A37" s="786"/>
      <c r="B37" s="3257" t="str">
        <f>项目基本情况!B1</f>
        <v>北京市房地产抵押价值预评估</v>
      </c>
      <c r="C37" s="3257"/>
      <c r="D37" s="3257"/>
      <c r="E37" s="3257"/>
      <c r="F37" s="3257"/>
      <c r="G37" s="3257"/>
      <c r="H37" s="3257"/>
      <c r="I37" s="3257"/>
    </row>
    <row r="38" spans="1:9">
      <c r="A38" s="788"/>
      <c r="B38" s="788"/>
    </row>
    <row r="39" spans="1:9">
      <c r="A39" s="786" t="s">
        <v>371</v>
      </c>
      <c r="B39" s="786" t="s">
        <v>373</v>
      </c>
    </row>
    <row r="40" spans="1:9">
      <c r="A40" s="786"/>
      <c r="B40" s="1372">
        <f>项目基本情况!B5</f>
        <v>0</v>
      </c>
    </row>
    <row r="41" spans="1:9">
      <c r="A41" s="786"/>
      <c r="B41" s="786"/>
    </row>
    <row r="42" spans="1:9">
      <c r="A42" s="786" t="s">
        <v>371</v>
      </c>
      <c r="B42" s="786" t="s">
        <v>374</v>
      </c>
    </row>
    <row r="43" spans="1:9">
      <c r="A43" s="786"/>
      <c r="B43" s="1372" t="s">
        <v>375</v>
      </c>
    </row>
    <row r="44" spans="1:9">
      <c r="A44" s="786"/>
      <c r="B44" s="786"/>
    </row>
    <row r="45" spans="1:9">
      <c r="A45" s="786" t="s">
        <v>371</v>
      </c>
      <c r="B45" s="786" t="s">
        <v>376</v>
      </c>
    </row>
    <row r="46" spans="1:9" s="786" customFormat="1" ht="12.75">
      <c r="B46" s="1372" t="str">
        <f>项目基本情况!K4</f>
        <v>（注册号：0)、（注册号：0)</v>
      </c>
    </row>
    <row r="47" spans="1:9">
      <c r="A47" s="786"/>
      <c r="B47" s="786" t="str">
        <f>项目基本情况!K5</f>
        <v>（注册号：0)、（注册号：0)</v>
      </c>
    </row>
    <row r="48" spans="1:9">
      <c r="A48" s="786" t="s">
        <v>371</v>
      </c>
      <c r="B48" s="786"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68"/>
      <c r="C1" s="190"/>
      <c r="D1" s="190"/>
      <c r="E1" s="190"/>
      <c r="F1" s="190"/>
      <c r="G1" s="1056">
        <f>MATCH(B1,'数据-取费表'!A6:A16,0)+5</f>
        <v>10</v>
      </c>
    </row>
    <row r="2" spans="1:9" s="192" customFormat="1" ht="18" customHeight="1">
      <c r="A2" s="193" t="s">
        <v>1458</v>
      </c>
      <c r="B2" s="194">
        <f ca="1">IF(D2="——",C52,C52-E2)</f>
        <v>2238</v>
      </c>
      <c r="C2" s="191" t="s">
        <v>1459</v>
      </c>
      <c r="D2" s="1705" t="s">
        <v>43</v>
      </c>
      <c r="E2" s="1083" t="e">
        <f ca="1">SUMIF(INDIRECT("'"&amp;G2&amp;"'"&amp;"!A:A"),"承租人权益价值",INDIRECT("'"&amp;G2&amp;"'"&amp;"!c:c"))</f>
        <v>#REF!</v>
      </c>
      <c r="F2" s="1706" t="s">
        <v>1459</v>
      </c>
      <c r="G2" s="1707"/>
    </row>
    <row r="3" spans="1:9" s="192" customFormat="1" ht="18" customHeight="1" thickBot="1">
      <c r="A3" s="195" t="s">
        <v>1460</v>
      </c>
      <c r="B3" s="196">
        <f ca="1">ROUND(B2*10000/(IF(B1="",'数据-汇总表'!E3,INDIRECT("'数据-取费表'!k"&amp;$G$1))),0)</f>
        <v>5355</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f>C6+C7+C8</f>
        <v>0</v>
      </c>
      <c r="D5" s="203" t="s">
        <v>1465</v>
      </c>
      <c r="E5" s="204" t="s">
        <v>1466</v>
      </c>
      <c r="F5" s="204" t="s">
        <v>1467</v>
      </c>
      <c r="G5" s="205"/>
    </row>
    <row r="6" spans="1:9" s="206" customFormat="1" ht="13.5" customHeight="1">
      <c r="A6" s="726" t="s">
        <v>1468</v>
      </c>
      <c r="B6" s="207" t="s">
        <v>1469</v>
      </c>
      <c r="C6" s="208"/>
      <c r="D6" s="209"/>
      <c r="E6" s="210"/>
      <c r="F6" s="210"/>
      <c r="G6" s="211"/>
    </row>
    <row r="7" spans="1:9" s="206" customFormat="1" ht="13.5" customHeight="1">
      <c r="A7" s="726" t="s">
        <v>1470</v>
      </c>
      <c r="B7" s="207" t="s">
        <v>1471</v>
      </c>
      <c r="C7" s="212">
        <f>ROUND(C6*F7,0)</f>
        <v>0</v>
      </c>
      <c r="D7" s="212"/>
      <c r="E7" s="210"/>
      <c r="F7" s="213">
        <f>IF(项目基本情况!B8="出让",0,'数据-取费表'!B48+'数据-取费表'!B49)</f>
        <v>3.0499999999999999E-2</v>
      </c>
      <c r="G7" s="211"/>
    </row>
    <row r="8" spans="1:9" s="215" customFormat="1">
      <c r="A8" s="726" t="s">
        <v>1472</v>
      </c>
      <c r="B8" s="207" t="s">
        <v>1473</v>
      </c>
      <c r="C8" s="212">
        <f>IF(G8="已包含在土地购买价格中","0",IF(B1="",'数据-取费表'!B29,IF(G9="全部缴纳",C9+C10,H9)))</f>
        <v>0</v>
      </c>
      <c r="D8" s="214"/>
      <c r="E8" s="212"/>
      <c r="F8" s="213"/>
      <c r="G8" s="1708"/>
    </row>
    <row r="9" spans="1:9" s="206" customFormat="1" ht="13.5" customHeight="1">
      <c r="A9" s="727" t="s">
        <v>355</v>
      </c>
      <c r="B9" s="216" t="s">
        <v>1474</v>
      </c>
      <c r="C9" s="217">
        <f ca="1">ROUND(D9*E9/10000,0)</f>
        <v>0</v>
      </c>
      <c r="D9" s="789">
        <f ca="1">IF(B1="",'数据-汇总表'!E5,IF(INDIRECT("'数据-取费表'!c"&amp;$G$1)="住宅",INDIRECT("'数据-取费表'!k"&amp;$G$1),0))</f>
        <v>0</v>
      </c>
      <c r="E9" s="217">
        <f>'数据-取费表'!B27</f>
        <v>160</v>
      </c>
      <c r="F9" s="213"/>
      <c r="G9" s="1709"/>
      <c r="H9" s="1064"/>
      <c r="I9" s="1710" t="s">
        <v>1475</v>
      </c>
    </row>
    <row r="10" spans="1:9" s="206" customFormat="1" ht="13.5" customHeight="1">
      <c r="A10" s="727" t="s">
        <v>356</v>
      </c>
      <c r="B10" s="216" t="s">
        <v>1476</v>
      </c>
      <c r="C10" s="217">
        <f ca="1">ROUND(D10*E10/10000,0)</f>
        <v>84</v>
      </c>
      <c r="D10" s="789">
        <f ca="1">IF(B1="",'数据-汇总表'!E6,IF(INDIRECT("'数据-取费表'!c"&amp;$G$1)="住宅",INDIRECT("'数据-取费表'!s"&amp;$G$1),INDIRECT("'数据-取费表'!k"&amp;$G$1)+INDIRECT("'数据-取费表'!s"&amp;$G$1)))</f>
        <v>4179.0200000000004</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f ca="1">IF(G19="已包含在土地取得成本中","0",ROUND(D19*E19/10000,0))</f>
        <v>84</v>
      </c>
      <c r="D19" s="204">
        <f ca="1">D9+D10</f>
        <v>4179.0200000000004</v>
      </c>
      <c r="E19" s="203">
        <f>'数据-取费表'!B31</f>
        <v>200</v>
      </c>
      <c r="F19" s="223"/>
      <c r="G19" s="1708"/>
    </row>
    <row r="20" spans="1:7" s="206" customFormat="1" ht="13.5" customHeight="1">
      <c r="A20" s="247" t="s">
        <v>1489</v>
      </c>
      <c r="B20" s="202" t="s">
        <v>1490</v>
      </c>
      <c r="C20" s="224">
        <f ca="1">ROUND((C5+C19)*F20,0)</f>
        <v>2</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1035">
        <f ca="1">ROUND(SUM(C23:C25),0)</f>
        <v>5</v>
      </c>
      <c r="D22" s="227">
        <f ca="1">C26</f>
        <v>5.9999999999999995E-4</v>
      </c>
      <c r="E22" s="228" t="s">
        <v>1494</v>
      </c>
      <c r="F22" s="229">
        <f ca="1">'数据-取费表'!B40</f>
        <v>0.03</v>
      </c>
      <c r="G22" s="226" t="str">
        <f>IF('数据-取费表'!B22&lt;=1,"单利计息","复利计息")</f>
        <v>复利计息</v>
      </c>
    </row>
    <row r="23" spans="1:7" s="206" customFormat="1" ht="13.5" customHeight="1">
      <c r="A23" s="728" t="s">
        <v>1498</v>
      </c>
      <c r="B23" s="207" t="s">
        <v>1499</v>
      </c>
      <c r="C23" s="1036">
        <f ca="1">ROUND(IF('数据-取费表'!B22&lt;=1,C5*F22*'数据-取费表'!B23,C5*(POWER((1+F22),'数据-取费表'!B23)-1)),0)</f>
        <v>0</v>
      </c>
      <c r="D23" s="230"/>
      <c r="E23" s="230"/>
      <c r="F23" s="231"/>
      <c r="G23" s="232" t="s">
        <v>1500</v>
      </c>
    </row>
    <row r="24" spans="1:7" s="206" customFormat="1" ht="13.5" customHeight="1">
      <c r="A24" s="728" t="s">
        <v>1501</v>
      </c>
      <c r="B24" s="207" t="s">
        <v>1502</v>
      </c>
      <c r="C24" s="1036">
        <f ca="1">ROUND(IF('数据-取费表'!B22&lt;=1,C19*F22*('数据-取费表'!B19/2+'数据-取费表'!B21),C19*(POWER((1+F22),('数据-取费表'!B19/2+'数据-取费表'!B21))-1)),0)</f>
        <v>5</v>
      </c>
      <c r="D24" s="230"/>
      <c r="E24" s="230"/>
      <c r="F24" s="231"/>
      <c r="G24" s="232" t="s">
        <v>1503</v>
      </c>
    </row>
    <row r="25" spans="1:7" s="206" customFormat="1" ht="24">
      <c r="A25" s="728" t="s">
        <v>1504</v>
      </c>
      <c r="B25" s="207" t="s">
        <v>1505</v>
      </c>
      <c r="C25" s="1036">
        <f ca="1">ROUND(IF('数据-取费表'!B22&lt;=1,C20*F22*'数据-取费表'!B23/2,C20*(POWER((1+F22),'数据-取费表'!B23/2)-1)),0)</f>
        <v>0</v>
      </c>
      <c r="D25" s="230"/>
      <c r="E25" s="233"/>
      <c r="F25" s="231"/>
      <c r="G25" s="234" t="s">
        <v>1506</v>
      </c>
    </row>
    <row r="26" spans="1:7" s="206" customFormat="1">
      <c r="A26" s="728" t="s">
        <v>350</v>
      </c>
      <c r="B26" s="207" t="s">
        <v>1507</v>
      </c>
      <c r="C26" s="230">
        <f ca="1">ROUND(IF('数据-取费表'!B22&lt;=1,F21*F22*'数据-取费表'!B23/2,F21*(POWER((1+F22),'数据-取费表'!B23/2)-1)),4)</f>
        <v>5.9999999999999995E-4</v>
      </c>
      <c r="D26" s="230"/>
      <c r="E26" s="233"/>
      <c r="F26" s="231"/>
      <c r="G26" s="235"/>
    </row>
    <row r="27" spans="1:7" s="206" customFormat="1" ht="24.75">
      <c r="A27" s="247" t="s">
        <v>1508</v>
      </c>
      <c r="B27" s="236" t="s">
        <v>1509</v>
      </c>
      <c r="C27" s="237">
        <f ca="1">C28</f>
        <v>14</v>
      </c>
      <c r="D27" s="227">
        <f ca="1">C29</f>
        <v>3.2000000000000002E-3</v>
      </c>
      <c r="E27" s="228" t="s">
        <v>1510</v>
      </c>
      <c r="F27" s="238">
        <f ca="1">IF(B1="",'数据-取费表'!Q16,INDIRECT("'数据-取费表'!q"&amp;$G$1))</f>
        <v>0.16</v>
      </c>
      <c r="G27" s="239" t="s">
        <v>1511</v>
      </c>
    </row>
    <row r="28" spans="1:7" s="206" customFormat="1" ht="13.5" customHeight="1">
      <c r="A28" s="728" t="s">
        <v>346</v>
      </c>
      <c r="B28" s="240" t="s">
        <v>1512</v>
      </c>
      <c r="C28" s="241">
        <f ca="1">ROUND((C5+C19+C20)*F27*'数据-取费表'!B21/'数据-取费表'!B20,0)</f>
        <v>14</v>
      </c>
      <c r="D28" s="227"/>
      <c r="E28" s="228"/>
      <c r="F28" s="238"/>
      <c r="G28" s="239"/>
    </row>
    <row r="29" spans="1:7" s="206" customFormat="1" ht="13.5" customHeight="1">
      <c r="A29" s="728" t="s">
        <v>347</v>
      </c>
      <c r="B29" s="240" t="s">
        <v>1513</v>
      </c>
      <c r="C29" s="230">
        <f ca="1">ROUND(C21*F27*'数据-取费表'!B21/'数据-取费表'!B20,4)</f>
        <v>3.2000000000000002E-3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114</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f ca="1">SUM(C34:C38)</f>
        <v>2097</v>
      </c>
      <c r="D33" s="224"/>
      <c r="E33" s="204"/>
      <c r="F33" s="233"/>
      <c r="G33" s="226"/>
    </row>
    <row r="34" spans="1:7" s="250" customFormat="1" ht="13.5" customHeight="1">
      <c r="A34" s="728" t="s">
        <v>346</v>
      </c>
      <c r="B34" s="207" t="s">
        <v>1521</v>
      </c>
      <c r="C34" s="212">
        <f ca="1">IF(B1="",IF(F34=100%,'数据-取费表'!M16,'数据-取费表'!O16),IF(F34=100%,INDIRECT("'数据-取费表'!m"&amp;$G$1)+INDIRECT("'数据-取费表'!t"&amp;$G$1),INDIRECT("'数据-取费表'!o"&amp;$G$1)+INDIRECT("'数据-取费表'!aq"&amp;$G$1)))</f>
        <v>1881</v>
      </c>
      <c r="D34" s="209"/>
      <c r="E34" s="212"/>
      <c r="F34" s="249">
        <f ca="1">IF('数据-取费表'!B24=0,1,IF(B1="",'数据-取费表'!N16,INDIRECT("'数据-取费表'!n"&amp;$G$1)))</f>
        <v>1</v>
      </c>
      <c r="G34" s="211" t="s">
        <v>1522</v>
      </c>
    </row>
    <row r="35" spans="1:7" ht="13.5" customHeight="1">
      <c r="A35" s="728" t="s">
        <v>351</v>
      </c>
      <c r="B35" s="207" t="s">
        <v>1523</v>
      </c>
      <c r="C35" s="212">
        <f ca="1">ROUND(C34*F35,0)</f>
        <v>94</v>
      </c>
      <c r="D35" s="212"/>
      <c r="E35" s="212"/>
      <c r="F35" s="251">
        <f>'数据-取费表'!B33</f>
        <v>0.05</v>
      </c>
      <c r="G35" s="211" t="s">
        <v>1524</v>
      </c>
    </row>
    <row r="36" spans="1:7" ht="24">
      <c r="A36" s="728" t="s">
        <v>352</v>
      </c>
      <c r="B36" s="207" t="s">
        <v>1525</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1526</v>
      </c>
    </row>
    <row r="37" spans="1:7" s="250" customFormat="1" ht="13.5" customHeight="1">
      <c r="A37" s="728" t="s">
        <v>353</v>
      </c>
      <c r="B37" s="207" t="s">
        <v>1527</v>
      </c>
      <c r="C37" s="241">
        <f ca="1">ROUND(E37*D37*F34/10000,0)</f>
        <v>84</v>
      </c>
      <c r="D37" s="209">
        <f ca="1">D19</f>
        <v>4179.0200000000004</v>
      </c>
      <c r="E37" s="241">
        <f>'数据-取费表'!B35</f>
        <v>200</v>
      </c>
      <c r="F37" s="251"/>
      <c r="G37" s="253" t="s">
        <v>1528</v>
      </c>
    </row>
    <row r="38" spans="1:7" ht="13.5" customHeight="1">
      <c r="A38" s="728" t="s">
        <v>354</v>
      </c>
      <c r="B38" s="207" t="s">
        <v>1529</v>
      </c>
      <c r="C38" s="212">
        <f ca="1">ROUND(C34*F38,0)</f>
        <v>38</v>
      </c>
      <c r="D38" s="212"/>
      <c r="E38" s="212"/>
      <c r="F38" s="251">
        <f>'数据-取费表'!B36</f>
        <v>0.02</v>
      </c>
      <c r="G38" s="211" t="s">
        <v>1524</v>
      </c>
    </row>
    <row r="39" spans="1:7" s="206" customFormat="1" ht="13.5" customHeight="1">
      <c r="A39" s="247" t="s">
        <v>1530</v>
      </c>
      <c r="B39" s="202" t="s">
        <v>1531</v>
      </c>
      <c r="C39" s="224">
        <f ca="1">ROUND(C33*F20,0)</f>
        <v>42</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64</v>
      </c>
      <c r="D41" s="227">
        <f ca="1">C44</f>
        <v>5.9999999999999995E-4</v>
      </c>
      <c r="E41" s="228" t="s">
        <v>1535</v>
      </c>
      <c r="F41" s="229">
        <f ca="1">F22</f>
        <v>0.03</v>
      </c>
      <c r="G41" s="226" t="str">
        <f>IF('数据-取费表'!B22&lt;=1,"单利计息","复利计息")</f>
        <v>复利计息</v>
      </c>
    </row>
    <row r="42" spans="1:7" ht="13.5" customHeight="1">
      <c r="A42" s="728" t="s">
        <v>346</v>
      </c>
      <c r="B42" s="207" t="s">
        <v>1539</v>
      </c>
      <c r="C42" s="230">
        <f ca="1">ROUND(IF('数据-取费表'!B22&lt;=1,C33*F22*'数据-取费表'!B21/2,C33*(POWER((1+F22),'数据-取费表'!B21/2)-1)),0)</f>
        <v>63</v>
      </c>
      <c r="D42" s="230"/>
      <c r="E42" s="230"/>
      <c r="F42" s="231"/>
      <c r="G42" s="3439" t="s">
        <v>1540</v>
      </c>
    </row>
    <row r="43" spans="1:7" ht="13.5" customHeight="1">
      <c r="A43" s="728" t="s">
        <v>347</v>
      </c>
      <c r="B43" s="207" t="s">
        <v>1541</v>
      </c>
      <c r="C43" s="230">
        <f ca="1">ROUND(IF('数据-取费表'!B22&lt;=1,C39*F22*'数据-取费表'!B21/2,C39*(POWER((1+F22),'数据-取费表'!B21/2)-1)),0)</f>
        <v>1</v>
      </c>
      <c r="D43" s="230"/>
      <c r="E43" s="230"/>
      <c r="F43" s="231"/>
      <c r="G43" s="3440"/>
    </row>
    <row r="44" spans="1:7" ht="13.5" customHeight="1">
      <c r="A44" s="728" t="s">
        <v>348</v>
      </c>
      <c r="B44" s="207" t="s">
        <v>1542</v>
      </c>
      <c r="C44" s="230">
        <f ca="1">ROUND(IF('数据-取费表'!B22&lt;=1,C40*F22*'数据-取费表'!B21/2,C40*(POWER((1+F22),'数据-取费表'!B21/2)-1)),4)</f>
        <v>5.9999999999999995E-4</v>
      </c>
      <c r="D44" s="230"/>
      <c r="E44" s="230"/>
      <c r="F44" s="231"/>
      <c r="G44" s="3441"/>
    </row>
    <row r="45" spans="1:7" s="206" customFormat="1" ht="13.5" customHeight="1">
      <c r="A45" s="247" t="s">
        <v>1543</v>
      </c>
      <c r="B45" s="236" t="s">
        <v>1509</v>
      </c>
      <c r="C45" s="237">
        <f ca="1">C46</f>
        <v>342</v>
      </c>
      <c r="D45" s="227">
        <f ca="1">C47</f>
        <v>3.2000000000000002E-3</v>
      </c>
      <c r="E45" s="228" t="s">
        <v>1535</v>
      </c>
      <c r="F45" s="238">
        <f ca="1">F27</f>
        <v>0.16</v>
      </c>
      <c r="G45" s="239" t="s">
        <v>1544</v>
      </c>
    </row>
    <row r="46" spans="1:7" s="206" customFormat="1" ht="13.5" customHeight="1">
      <c r="A46" s="728" t="s">
        <v>346</v>
      </c>
      <c r="B46" s="240" t="s">
        <v>1545</v>
      </c>
      <c r="C46" s="241">
        <f ca="1">ROUND((C33+C39)*F27,0)</f>
        <v>342</v>
      </c>
      <c r="D46" s="255"/>
      <c r="E46" s="228"/>
      <c r="F46" s="238"/>
      <c r="G46" s="239"/>
    </row>
    <row r="47" spans="1:7" s="206" customFormat="1" ht="13.5" customHeight="1">
      <c r="A47" s="728" t="s">
        <v>347</v>
      </c>
      <c r="B47" s="240" t="s">
        <v>1546</v>
      </c>
      <c r="C47" s="230">
        <f ca="1">ROUND(C40*F27,4)</f>
        <v>3.2000000000000002E-3</v>
      </c>
      <c r="D47" s="255"/>
      <c r="E47" s="228"/>
      <c r="F47" s="238"/>
      <c r="G47" s="239"/>
    </row>
    <row r="48" spans="1:7" s="206" customFormat="1" ht="13.5" customHeight="1">
      <c r="A48" s="247" t="s">
        <v>1508</v>
      </c>
      <c r="B48" s="202" t="s">
        <v>1547</v>
      </c>
      <c r="C48" s="227">
        <f>ROUND(F30/(1+'数据-取费表'!C42),4)</f>
        <v>5.33E-2</v>
      </c>
      <c r="D48" s="228" t="s">
        <v>1535</v>
      </c>
      <c r="E48" s="224"/>
      <c r="F48" s="229">
        <f>F30</f>
        <v>5.6000000000000001E-2</v>
      </c>
      <c r="G48" s="226" t="s">
        <v>1548</v>
      </c>
    </row>
    <row r="49" spans="1:7" ht="16.5" customHeight="1">
      <c r="A49" s="247" t="s">
        <v>1514</v>
      </c>
      <c r="B49" s="202" t="s">
        <v>1549</v>
      </c>
      <c r="C49" s="224">
        <f ca="1">ROUND((C33+C39+C41+C45)/(1-C40-D41-D45-C48),0)</f>
        <v>2758</v>
      </c>
      <c r="D49" s="224"/>
      <c r="E49" s="224"/>
      <c r="F49" s="256"/>
      <c r="G49" s="226" t="s">
        <v>1550</v>
      </c>
    </row>
    <row r="50" spans="1:7" s="250" customFormat="1" ht="24">
      <c r="A50" s="247" t="s">
        <v>1551</v>
      </c>
      <c r="B50" s="202" t="s">
        <v>1552</v>
      </c>
      <c r="C50" s="224"/>
      <c r="D50" s="224"/>
      <c r="E50" s="224"/>
      <c r="F50" s="256">
        <f>IF('数据-取费表'!B24=0,'数据-取费表'!N16,1)</f>
        <v>0.77</v>
      </c>
      <c r="G50" s="239" t="s">
        <v>1553</v>
      </c>
    </row>
    <row r="51" spans="1:7" ht="16.5" customHeight="1">
      <c r="A51" s="247" t="s">
        <v>1554</v>
      </c>
      <c r="B51" s="202" t="s">
        <v>1555</v>
      </c>
      <c r="C51" s="224">
        <f ca="1">ROUND(C49*F50,0)</f>
        <v>2124</v>
      </c>
      <c r="D51" s="224"/>
      <c r="E51" s="224"/>
      <c r="F51" s="256"/>
      <c r="G51" s="226" t="s">
        <v>1556</v>
      </c>
    </row>
    <row r="52" spans="1:7" s="200" customFormat="1" ht="16.5" thickBot="1">
      <c r="A52" s="257" t="s">
        <v>1557</v>
      </c>
      <c r="B52" s="258"/>
      <c r="C52" s="259">
        <f ca="1">C31+C51</f>
        <v>2238</v>
      </c>
      <c r="D52" s="258"/>
      <c r="E52" s="258"/>
      <c r="F52" s="258"/>
      <c r="G52" s="260"/>
    </row>
    <row r="55" spans="1:7" ht="15">
      <c r="B55" s="262" t="s">
        <v>1558</v>
      </c>
      <c r="C55" s="263"/>
    </row>
    <row r="56" spans="1:7">
      <c r="B56" s="265" t="s">
        <v>798</v>
      </c>
      <c r="C56" s="267">
        <f ca="1">1-C57</f>
        <v>5.1000000000000045E-2</v>
      </c>
    </row>
    <row r="57" spans="1:7">
      <c r="B57" s="265" t="s">
        <v>799</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G6" sqref="G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68">
        <v>203</v>
      </c>
      <c r="C1" s="1711" t="s">
        <v>1559</v>
      </c>
      <c r="D1" s="190"/>
      <c r="E1" s="190"/>
      <c r="F1" s="190"/>
      <c r="G1" s="1056">
        <f>MATCH(B1,'数据-取费表'!A6:A16,0)+5</f>
        <v>8</v>
      </c>
      <c r="H1" s="992" t="str">
        <f>IF(ISERROR(FIND("住宅",B1)),"非住宅","住宅")</f>
        <v>非住宅</v>
      </c>
    </row>
    <row r="2" spans="1:8" s="192" customFormat="1" ht="18" customHeight="1">
      <c r="A2" s="193" t="s">
        <v>1458</v>
      </c>
      <c r="B2" s="3117">
        <f ca="1">ROUND(IF(D2="——",C52/10000,C52/10000-E2),4)</f>
        <v>3693.0729999999999</v>
      </c>
      <c r="C2" s="191" t="s">
        <v>1459</v>
      </c>
      <c r="D2" s="1705" t="s">
        <v>43</v>
      </c>
      <c r="E2" s="1083" t="e">
        <f ca="1">SUMIF(INDIRECT("'"&amp;G2&amp;"'"&amp;"!A:A"),"承租人权益价值",INDIRECT("'"&amp;G2&amp;"'"&amp;"!c:c"))</f>
        <v>#REF!</v>
      </c>
      <c r="F2" s="1706" t="s">
        <v>1459</v>
      </c>
      <c r="G2" s="1707"/>
    </row>
    <row r="3" spans="1:8" s="192" customFormat="1" ht="18" customHeight="1" thickBot="1">
      <c r="A3" s="195" t="s">
        <v>1460</v>
      </c>
      <c r="B3" s="196">
        <f ca="1">ROUND(B2*10000/(IF(B1="",'数据-汇总表'!E3,INDIRECT("'数据-取费表'!k"&amp;$G$1))),0)</f>
        <v>22963</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21560103.899999999</v>
      </c>
      <c r="D5" s="203" t="s">
        <v>1465</v>
      </c>
      <c r="E5" s="204" t="s">
        <v>1466</v>
      </c>
      <c r="F5" s="204" t="s">
        <v>1467</v>
      </c>
      <c r="G5" s="205"/>
    </row>
    <row r="6" spans="1:8" s="206" customFormat="1" ht="13.5" customHeight="1">
      <c r="A6" s="726" t="s">
        <v>1468</v>
      </c>
      <c r="B6" s="207" t="s">
        <v>1469</v>
      </c>
      <c r="C6" s="208">
        <f>基准地价修正!T3*基准地价修正!U3</f>
        <v>20609851.899999999</v>
      </c>
      <c r="D6" s="209"/>
      <c r="E6" s="210"/>
      <c r="F6" s="210"/>
      <c r="G6" s="211"/>
    </row>
    <row r="7" spans="1:8" s="206" customFormat="1" ht="13.5" customHeight="1">
      <c r="A7" s="726" t="s">
        <v>1470</v>
      </c>
      <c r="B7" s="207" t="s">
        <v>1471</v>
      </c>
      <c r="C7" s="212">
        <f>ROUND(C6*F7,0)</f>
        <v>628600</v>
      </c>
      <c r="D7" s="212"/>
      <c r="E7" s="210"/>
      <c r="F7" s="213">
        <f>IF(项目基本情况!B8="出让",0,'数据-取费表'!B48+'数据-取费表'!B49)</f>
        <v>3.0499999999999999E-2</v>
      </c>
      <c r="G7" s="211"/>
    </row>
    <row r="8" spans="1:8" s="215" customFormat="1">
      <c r="A8" s="726" t="s">
        <v>1472</v>
      </c>
      <c r="B8" s="207" t="s">
        <v>1473</v>
      </c>
      <c r="C8" s="212">
        <f ca="1">IF(G8="已包含在土地购买价格中",0,C9+C10)</f>
        <v>321652</v>
      </c>
      <c r="D8" s="214"/>
      <c r="E8" s="212"/>
      <c r="F8" s="213"/>
      <c r="G8" s="1708" t="s">
        <v>3537</v>
      </c>
    </row>
    <row r="9" spans="1:8" s="206" customFormat="1" ht="13.5" customHeight="1">
      <c r="A9" s="727" t="s">
        <v>355</v>
      </c>
      <c r="B9" s="216" t="s">
        <v>1474</v>
      </c>
      <c r="C9" s="217">
        <f ca="1">ROUND(D9*E9,0)</f>
        <v>0</v>
      </c>
      <c r="D9" s="789">
        <f ca="1">IF(B1="",'数据-汇总表'!E5,IF(INDIRECT("'数据-取费表'!c"&amp;$G$1)="住宅",INDIRECT("'数据-取费表'!k"&amp;$G$1),0))</f>
        <v>0</v>
      </c>
      <c r="E9" s="217">
        <f>'数据-取费表'!B27</f>
        <v>160</v>
      </c>
      <c r="F9" s="213"/>
      <c r="G9" s="218"/>
    </row>
    <row r="10" spans="1:8" s="206" customFormat="1" ht="13.5" customHeight="1">
      <c r="A10" s="727" t="s">
        <v>356</v>
      </c>
      <c r="B10" s="216" t="s">
        <v>1476</v>
      </c>
      <c r="C10" s="217">
        <f ca="1">ROUND(D10*E10,0)</f>
        <v>321652</v>
      </c>
      <c r="D10" s="789">
        <f ca="1">IF(B1="",'数据-汇总表'!E6,IF(INDIRECT("'数据-取费表'!c"&amp;$G$1)="住宅",INDIRECT("'数据-取费表'!s"&amp;$G$1),INDIRECT("'数据-取费表'!k"&amp;$G$1)+INDIRECT("'数据-取费表'!s"&amp;$G$1)))</f>
        <v>1608.26</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t="str">
        <f>IF(G19="已包含在土地取得成本中","0",ROUND(D19*E19,0))</f>
        <v>0</v>
      </c>
      <c r="D19" s="204">
        <f ca="1">D9+D10</f>
        <v>1608.26</v>
      </c>
      <c r="E19" s="203">
        <f>'数据-取费表'!B31</f>
        <v>200</v>
      </c>
      <c r="F19" s="223"/>
      <c r="G19" s="1708" t="s">
        <v>3538</v>
      </c>
    </row>
    <row r="20" spans="1:7" s="206" customFormat="1" ht="13.5" customHeight="1">
      <c r="A20" s="247" t="s">
        <v>1570</v>
      </c>
      <c r="B20" s="202" t="s">
        <v>1571</v>
      </c>
      <c r="C20" s="224">
        <f ca="1">ROUND((C5+C19)*F20,0)</f>
        <v>431202</v>
      </c>
      <c r="D20" s="224"/>
      <c r="E20" s="224"/>
      <c r="F20" s="225">
        <f>'数据-取费表'!B37</f>
        <v>0.02</v>
      </c>
      <c r="G20" s="226" t="s">
        <v>1572</v>
      </c>
    </row>
    <row r="21" spans="1:7" s="206" customFormat="1" ht="13.5" customHeight="1">
      <c r="A21" s="247" t="s">
        <v>1573</v>
      </c>
      <c r="B21" s="202" t="s">
        <v>1574</v>
      </c>
      <c r="C21" s="227">
        <f>F21</f>
        <v>0.02</v>
      </c>
      <c r="D21" s="228" t="s">
        <v>1575</v>
      </c>
      <c r="E21" s="224"/>
      <c r="F21" s="225">
        <f>'数据-取费表'!B38</f>
        <v>0.02</v>
      </c>
      <c r="G21" s="226" t="s">
        <v>1576</v>
      </c>
    </row>
    <row r="22" spans="1:7" s="206" customFormat="1" ht="13.5" customHeight="1">
      <c r="A22" s="247" t="s">
        <v>1577</v>
      </c>
      <c r="B22" s="202" t="s">
        <v>1578</v>
      </c>
      <c r="C22" s="224">
        <f ca="1">ROUND(SUM(C23:C25),0)</f>
        <v>1325946</v>
      </c>
      <c r="D22" s="227">
        <f ca="1">C26</f>
        <v>5.9999999999999995E-4</v>
      </c>
      <c r="E22" s="228" t="s">
        <v>1575</v>
      </c>
      <c r="F22" s="229">
        <f ca="1">'数据-取费表'!B40</f>
        <v>0.03</v>
      </c>
      <c r="G22" s="226" t="str">
        <f>IF('数据-取费表'!B22&lt;=1,"单利计息","复利计息")</f>
        <v>复利计息</v>
      </c>
    </row>
    <row r="23" spans="1:7" s="206" customFormat="1" ht="13.5" customHeight="1">
      <c r="A23" s="728" t="s">
        <v>1468</v>
      </c>
      <c r="B23" s="207" t="s">
        <v>1579</v>
      </c>
      <c r="C23" s="230">
        <f ca="1">ROUND(IF('数据-取费表'!B22&lt;=1,C5*F22*'数据-取费表'!B22,C5*(POWER((1+F22),'数据-取费表'!B22)-1)),0)</f>
        <v>1313010</v>
      </c>
      <c r="D23" s="230"/>
      <c r="E23" s="230"/>
      <c r="F23" s="231"/>
      <c r="G23" s="232" t="s">
        <v>1580</v>
      </c>
    </row>
    <row r="24" spans="1:7" s="206" customFormat="1" ht="13.5" customHeight="1">
      <c r="A24" s="728" t="s">
        <v>1470</v>
      </c>
      <c r="B24" s="207" t="s">
        <v>1581</v>
      </c>
      <c r="C24" s="230">
        <f ca="1">ROUND(IF('数据-取费表'!B22&lt;=1,C19*F22*('数据-取费表'!B19/2+'数据-取费表'!B20),C19*(POWER((1+F22),('数据-取费表'!B19/2+'数据-取费表'!B20))-1)),0)</f>
        <v>0</v>
      </c>
      <c r="D24" s="230"/>
      <c r="E24" s="230"/>
      <c r="F24" s="231"/>
      <c r="G24" s="232" t="s">
        <v>1582</v>
      </c>
    </row>
    <row r="25" spans="1:7" s="206" customFormat="1" ht="24">
      <c r="A25" s="728" t="s">
        <v>1472</v>
      </c>
      <c r="B25" s="207" t="s">
        <v>1583</v>
      </c>
      <c r="C25" s="230">
        <f ca="1">ROUND(IF('数据-取费表'!B22&lt;=1,C20*F22*'数据-取费表'!B22/2,C20*(POWER((1+F22),'数据-取费表'!B22/2)-1)),0)</f>
        <v>12936</v>
      </c>
      <c r="D25" s="230"/>
      <c r="E25" s="233"/>
      <c r="F25" s="231"/>
      <c r="G25" s="234" t="s">
        <v>1584</v>
      </c>
    </row>
    <row r="26" spans="1:7" s="206" customFormat="1">
      <c r="A26" s="728"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3298696</v>
      </c>
      <c r="D27" s="227">
        <f ca="1">C29</f>
        <v>3.0000000000000001E-3</v>
      </c>
      <c r="E27" s="228" t="s">
        <v>1510</v>
      </c>
      <c r="F27" s="238">
        <f ca="1">IF(B1="",'数据-取费表'!Q16,INDIRECT("'数据-取费表'!q"&amp;$G$1))</f>
        <v>0.15</v>
      </c>
      <c r="G27" s="239" t="s">
        <v>1511</v>
      </c>
    </row>
    <row r="28" spans="1:7" s="206" customFormat="1" ht="13.5" customHeight="1">
      <c r="A28" s="728" t="s">
        <v>346</v>
      </c>
      <c r="B28" s="240" t="s">
        <v>1512</v>
      </c>
      <c r="C28" s="241">
        <f ca="1">ROUND((C5+C19+C20)*F27,0)</f>
        <v>3298696</v>
      </c>
      <c r="D28" s="227"/>
      <c r="E28" s="228"/>
      <c r="F28" s="238"/>
      <c r="G28" s="239"/>
    </row>
    <row r="29" spans="1:7" s="206" customFormat="1" ht="13.5" customHeight="1">
      <c r="A29" s="728" t="s">
        <v>347</v>
      </c>
      <c r="B29" s="240" t="s">
        <v>1513</v>
      </c>
      <c r="C29" s="230">
        <f ca="1">ROUND(C21*F27,4)</f>
        <v>3.0000000000000001E-3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28833223</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8065424</v>
      </c>
      <c r="D33" s="224"/>
      <c r="E33" s="204"/>
      <c r="F33" s="233"/>
      <c r="G33" s="226"/>
    </row>
    <row r="34" spans="1:7" s="250" customFormat="1" ht="13.5" customHeight="1">
      <c r="A34" s="728" t="s">
        <v>346</v>
      </c>
      <c r="B34" s="207" t="s">
        <v>1521</v>
      </c>
      <c r="C34" s="212">
        <f ca="1">ROUND(IF(B1="",SUMPRODUCT('数据-取费表'!K6:K14,'数据-取费表'!L6:L14),INDIRECT("'数据-取费表'!l"&amp;$G$1)*INDIRECT("'数据-取费表'!k"&amp;$G$1)+'数据-取费表'!L14*INDIRECT("'数据-取费表'!S"&amp;$G$1)),0)</f>
        <v>7237170</v>
      </c>
      <c r="D34" s="209"/>
      <c r="E34" s="212"/>
      <c r="F34" s="249"/>
      <c r="G34" s="211"/>
    </row>
    <row r="35" spans="1:7" ht="13.5" customHeight="1">
      <c r="A35" s="728" t="s">
        <v>351</v>
      </c>
      <c r="B35" s="207" t="s">
        <v>1523</v>
      </c>
      <c r="C35" s="212">
        <f ca="1">ROUND(C34*F35,0)</f>
        <v>361859</v>
      </c>
      <c r="D35" s="212"/>
      <c r="E35" s="212"/>
      <c r="F35" s="251">
        <f>'数据-取费表'!B33</f>
        <v>0.05</v>
      </c>
      <c r="G35" s="211" t="s">
        <v>1524</v>
      </c>
    </row>
    <row r="36" spans="1:7" ht="24">
      <c r="A36" s="728" t="s">
        <v>352</v>
      </c>
      <c r="B36" s="207" t="s">
        <v>1525</v>
      </c>
      <c r="C36" s="212">
        <f ca="1">ROUND(IF(B1="",SUM('数据-取费表'!AP6:AP13)*F36,IF(INDIRECT("'数据-取费表'!c"&amp;$G$1)="住宅",INDIRECT("'数据-取费表'!k"&amp;$G$1)*INDIRECT("'数据-取费表'!l"&amp;$G$1)*F36,0)),0)</f>
        <v>0</v>
      </c>
      <c r="D36" s="212"/>
      <c r="E36" s="212"/>
      <c r="F36" s="251">
        <f>'数据-取费表'!B34</f>
        <v>0</v>
      </c>
      <c r="G36" s="252" t="s">
        <v>1526</v>
      </c>
    </row>
    <row r="37" spans="1:7" s="250" customFormat="1" ht="13.5" customHeight="1">
      <c r="A37" s="728" t="s">
        <v>353</v>
      </c>
      <c r="B37" s="207" t="s">
        <v>1527</v>
      </c>
      <c r="C37" s="241">
        <f ca="1">ROUND(E37*D37,0)</f>
        <v>321652</v>
      </c>
      <c r="D37" s="209">
        <f ca="1">D19</f>
        <v>1608.26</v>
      </c>
      <c r="E37" s="241">
        <f>'数据-取费表'!B35</f>
        <v>200</v>
      </c>
      <c r="F37" s="251"/>
      <c r="G37" s="253"/>
    </row>
    <row r="38" spans="1:7" ht="13.5" customHeight="1">
      <c r="A38" s="728" t="s">
        <v>354</v>
      </c>
      <c r="B38" s="207" t="s">
        <v>1529</v>
      </c>
      <c r="C38" s="212">
        <f ca="1">ROUND(C34*F38,0)</f>
        <v>144743</v>
      </c>
      <c r="D38" s="212"/>
      <c r="E38" s="212"/>
      <c r="F38" s="251">
        <f>'数据-取费表'!B36</f>
        <v>0.02</v>
      </c>
      <c r="G38" s="211" t="s">
        <v>1524</v>
      </c>
    </row>
    <row r="39" spans="1:7" s="206" customFormat="1" ht="13.5" customHeight="1">
      <c r="A39" s="247" t="s">
        <v>1530</v>
      </c>
      <c r="B39" s="202" t="s">
        <v>1531</v>
      </c>
      <c r="C39" s="224">
        <f ca="1">ROUND(C33*F20,0)</f>
        <v>161308</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246802</v>
      </c>
      <c r="D41" s="227">
        <f ca="1">C44</f>
        <v>5.9999999999999995E-4</v>
      </c>
      <c r="E41" s="228" t="s">
        <v>1535</v>
      </c>
      <c r="F41" s="229">
        <f ca="1">F22</f>
        <v>0.03</v>
      </c>
      <c r="G41" s="226" t="str">
        <f>IF('数据-取费表'!B22&lt;=1,"单利计息","复利计息")</f>
        <v>复利计息</v>
      </c>
    </row>
    <row r="42" spans="1:7" ht="13.5" customHeight="1">
      <c r="A42" s="728" t="s">
        <v>346</v>
      </c>
      <c r="B42" s="207" t="s">
        <v>1539</v>
      </c>
      <c r="C42" s="230">
        <f ca="1">ROUND(IF('数据-取费表'!B22&lt;=1,C33*F22*'数据-取费表'!B20/2,C33*(POWER((1+F22),'数据-取费表'!B20/2)-1)),0)</f>
        <v>241963</v>
      </c>
      <c r="D42" s="230"/>
      <c r="E42" s="230"/>
      <c r="F42" s="231"/>
      <c r="G42" s="3439" t="s">
        <v>1587</v>
      </c>
    </row>
    <row r="43" spans="1:7" ht="13.5" customHeight="1">
      <c r="A43" s="728" t="s">
        <v>347</v>
      </c>
      <c r="B43" s="207" t="s">
        <v>1541</v>
      </c>
      <c r="C43" s="230">
        <f ca="1">ROUND(IF('数据-取费表'!B22&lt;=1,C39*F22*'数据-取费表'!B20/2,C39*(POWER((1+F22),'数据-取费表'!B20/2)-1)),0)</f>
        <v>4839</v>
      </c>
      <c r="D43" s="230"/>
      <c r="E43" s="230"/>
      <c r="F43" s="231"/>
      <c r="G43" s="3440"/>
    </row>
    <row r="44" spans="1:7" ht="13.5" customHeight="1">
      <c r="A44" s="728" t="s">
        <v>348</v>
      </c>
      <c r="B44" s="207" t="s">
        <v>1542</v>
      </c>
      <c r="C44" s="230">
        <f ca="1">ROUND(IF('数据-取费表'!B22&lt;=1,C40*F22*'数据-取费表'!B20/2,C40*(POWER((1+F22),'数据-取费表'!B20/2)-1)),4)</f>
        <v>5.9999999999999995E-4</v>
      </c>
      <c r="D44" s="230"/>
      <c r="E44" s="230"/>
      <c r="F44" s="231"/>
      <c r="G44" s="3441"/>
    </row>
    <row r="45" spans="1:7" s="206" customFormat="1" ht="13.5" customHeight="1">
      <c r="A45" s="247" t="s">
        <v>1543</v>
      </c>
      <c r="B45" s="236" t="s">
        <v>1509</v>
      </c>
      <c r="C45" s="237">
        <f ca="1">C46</f>
        <v>1234010</v>
      </c>
      <c r="D45" s="227">
        <f ca="1">C47</f>
        <v>3.0000000000000001E-3</v>
      </c>
      <c r="E45" s="228" t="s">
        <v>1535</v>
      </c>
      <c r="F45" s="238">
        <f ca="1">F27</f>
        <v>0.15</v>
      </c>
      <c r="G45" s="239" t="s">
        <v>1544</v>
      </c>
    </row>
    <row r="46" spans="1:7" s="206" customFormat="1" ht="13.5" customHeight="1">
      <c r="A46" s="728" t="s">
        <v>346</v>
      </c>
      <c r="B46" s="240" t="s">
        <v>1545</v>
      </c>
      <c r="C46" s="241">
        <f ca="1">ROUND((C33+C39)*F27,0)</f>
        <v>1234010</v>
      </c>
      <c r="D46" s="255"/>
      <c r="E46" s="228"/>
      <c r="F46" s="238"/>
      <c r="G46" s="239"/>
    </row>
    <row r="47" spans="1:7" s="206" customFormat="1" ht="13.5" customHeight="1">
      <c r="A47" s="728" t="s">
        <v>347</v>
      </c>
      <c r="B47" s="240" t="s">
        <v>1546</v>
      </c>
      <c r="C47" s="230">
        <f ca="1">ROUND(C40*F27,4)</f>
        <v>3.0000000000000001E-3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10516243</v>
      </c>
      <c r="D49" s="224"/>
      <c r="E49" s="224"/>
      <c r="F49" s="256"/>
      <c r="G49" s="226" t="s">
        <v>1550</v>
      </c>
    </row>
    <row r="50" spans="1:7" s="250" customFormat="1">
      <c r="A50" s="247" t="s">
        <v>1551</v>
      </c>
      <c r="B50" s="202" t="s">
        <v>1552</v>
      </c>
      <c r="C50" s="224"/>
      <c r="D50" s="224"/>
      <c r="E50" s="224"/>
      <c r="F50" s="256">
        <f>IF('数据-取费表'!B24=0,'数据-取费表'!N16,1)</f>
        <v>0.77</v>
      </c>
      <c r="G50" s="239"/>
    </row>
    <row r="51" spans="1:7" ht="16.5" customHeight="1">
      <c r="A51" s="247" t="s">
        <v>1554</v>
      </c>
      <c r="B51" s="202" t="s">
        <v>1589</v>
      </c>
      <c r="C51" s="224">
        <f ca="1">ROUND(C49*F50,0)</f>
        <v>8097507</v>
      </c>
      <c r="D51" s="224"/>
      <c r="E51" s="224"/>
      <c r="F51" s="256"/>
      <c r="G51" s="226" t="s">
        <v>1556</v>
      </c>
    </row>
    <row r="52" spans="1:7" s="200" customFormat="1" ht="16.5" thickBot="1">
      <c r="A52" s="257" t="s">
        <v>1557</v>
      </c>
      <c r="B52" s="258"/>
      <c r="C52" s="259">
        <f ca="1">C31+C51</f>
        <v>36930730</v>
      </c>
      <c r="D52" s="258"/>
      <c r="E52" s="258"/>
      <c r="F52" s="258"/>
      <c r="G52" s="260"/>
    </row>
    <row r="55" spans="1:7" ht="15">
      <c r="B55" s="262" t="s">
        <v>1558</v>
      </c>
      <c r="C55" s="263"/>
    </row>
    <row r="56" spans="1:7">
      <c r="B56" s="265" t="s">
        <v>798</v>
      </c>
      <c r="C56" s="267">
        <f ca="1">1-C57</f>
        <v>0.78100000000000003</v>
      </c>
    </row>
    <row r="57" spans="1:7">
      <c r="B57" s="265" t="s">
        <v>799</v>
      </c>
      <c r="C57" s="266">
        <f ca="1">ROUND(C51/C52,3)</f>
        <v>0.219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29" customWidth="1"/>
    <col min="3" max="3" width="10.375" style="768" customWidth="1"/>
    <col min="4" max="4" width="9.875" style="729" customWidth="1"/>
    <col min="5" max="5" width="9.5" style="687" customWidth="1"/>
    <col min="6" max="6" width="10.125" style="729" customWidth="1"/>
    <col min="7" max="7" width="10.75" style="729" customWidth="1"/>
    <col min="8" max="8" width="10" style="729" customWidth="1"/>
    <col min="9" max="11" width="9.5" style="729" customWidth="1"/>
    <col min="12" max="12" width="9" style="729" customWidth="1"/>
    <col min="13" max="13" width="10.5" style="729" bestFit="1" customWidth="1"/>
    <col min="14" max="254" width="9" style="729" customWidth="1"/>
    <col min="255" max="16384" width="6.625" style="729"/>
  </cols>
  <sheetData>
    <row r="1" spans="1:33" ht="20.25">
      <c r="A1" s="188" t="s">
        <v>1590</v>
      </c>
      <c r="B1" s="121"/>
      <c r="C1" s="1104"/>
      <c r="D1" s="1103"/>
      <c r="E1" s="2562"/>
      <c r="F1" s="2562"/>
      <c r="G1" s="2443"/>
      <c r="H1" s="2562"/>
      <c r="I1" s="2562"/>
      <c r="J1" s="2562"/>
      <c r="K1" s="2563">
        <f>MATCH(C1,'数据-取费表'!A6:A16,0)+5</f>
        <v>10</v>
      </c>
    </row>
    <row r="2" spans="1:33" ht="18" customHeight="1">
      <c r="A2" s="193" t="s">
        <v>1458</v>
      </c>
      <c r="B2" s="196">
        <f ca="1">C32</f>
        <v>-97</v>
      </c>
      <c r="C2" s="268" t="s">
        <v>1591</v>
      </c>
      <c r="D2" s="268"/>
      <c r="E2" s="2562"/>
      <c r="F2" s="2562"/>
      <c r="G2" s="2562"/>
      <c r="H2" s="2562"/>
      <c r="I2" s="2562"/>
      <c r="J2" s="2562"/>
      <c r="K2" s="2562"/>
    </row>
    <row r="3" spans="1:33" ht="18" customHeight="1" thickBot="1">
      <c r="A3" s="195" t="s">
        <v>1460</v>
      </c>
      <c r="B3" s="196">
        <f ca="1">ROUND(B2*10000/IF(C1="",'数据-汇总表'!E3,INDIRECT("'数据-取费表'!K"&amp;$K$1)),0)</f>
        <v>-232</v>
      </c>
      <c r="C3" s="268" t="s">
        <v>1592</v>
      </c>
      <c r="D3" s="268"/>
      <c r="E3" s="2562"/>
      <c r="F3" s="2562"/>
      <c r="G3" s="2562"/>
      <c r="H3" s="2562"/>
      <c r="I3" s="2562"/>
      <c r="J3" s="2562"/>
      <c r="K3" s="2562"/>
    </row>
    <row r="4" spans="1:33" s="733" customFormat="1" ht="16.5" customHeight="1">
      <c r="A4" s="730" t="s">
        <v>1593</v>
      </c>
      <c r="B4" s="731"/>
      <c r="C4" s="769">
        <f>SUM(C8:K8)</f>
        <v>0</v>
      </c>
      <c r="D4" s="731"/>
      <c r="E4" s="731"/>
      <c r="F4" s="731"/>
      <c r="G4" s="731"/>
      <c r="H4" s="731"/>
      <c r="I4" s="731"/>
      <c r="J4" s="731"/>
      <c r="K4" s="732"/>
    </row>
    <row r="5" spans="1:33" s="737" customFormat="1" ht="15">
      <c r="A5" s="734" t="s">
        <v>1594</v>
      </c>
      <c r="B5" s="735" t="s">
        <v>1595</v>
      </c>
      <c r="C5" s="1712"/>
      <c r="D5" s="1712"/>
      <c r="E5" s="1712"/>
      <c r="F5" s="1712"/>
      <c r="G5" s="1712"/>
      <c r="H5" s="1712"/>
      <c r="I5" s="1712"/>
      <c r="J5" s="1712"/>
      <c r="K5" s="1712"/>
      <c r="L5" s="736"/>
      <c r="M5" s="736"/>
      <c r="N5" s="736"/>
      <c r="O5" s="736"/>
      <c r="P5" s="736"/>
      <c r="Q5" s="736"/>
      <c r="R5" s="736"/>
      <c r="S5" s="736"/>
      <c r="T5" s="736"/>
      <c r="U5" s="736"/>
      <c r="V5" s="736"/>
      <c r="W5" s="736"/>
      <c r="X5" s="736"/>
      <c r="Y5" s="736"/>
      <c r="Z5" s="736"/>
      <c r="AA5" s="736"/>
      <c r="AB5" s="736"/>
      <c r="AC5" s="736"/>
      <c r="AD5" s="736"/>
      <c r="AE5" s="736"/>
      <c r="AF5" s="736"/>
      <c r="AG5" s="736"/>
    </row>
    <row r="6" spans="1:33" s="122" customFormat="1" ht="13.5" customHeight="1">
      <c r="A6" s="738" t="s">
        <v>357</v>
      </c>
      <c r="B6" s="123" t="s">
        <v>1596</v>
      </c>
      <c r="C6" s="739"/>
      <c r="D6" s="739"/>
      <c r="E6" s="739"/>
      <c r="F6" s="739"/>
      <c r="G6" s="739"/>
      <c r="H6" s="739"/>
      <c r="I6" s="739"/>
      <c r="J6" s="739"/>
      <c r="K6" s="740"/>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38" t="s">
        <v>1597</v>
      </c>
      <c r="B7" s="123" t="s">
        <v>1598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3" t="s">
        <v>1599</v>
      </c>
      <c r="B8" s="156" t="s">
        <v>1600</v>
      </c>
      <c r="C8" s="770"/>
      <c r="D8" s="770"/>
      <c r="E8" s="770"/>
      <c r="F8" s="771"/>
      <c r="G8" s="771"/>
      <c r="H8" s="771"/>
      <c r="I8" s="771"/>
      <c r="J8" s="771"/>
      <c r="K8" s="772"/>
      <c r="L8" s="684"/>
      <c r="M8" s="684"/>
      <c r="N8" s="684"/>
      <c r="O8" s="684"/>
      <c r="P8" s="684"/>
      <c r="Q8" s="684"/>
      <c r="R8" s="684"/>
      <c r="S8" s="684"/>
      <c r="T8" s="684"/>
      <c r="U8" s="684"/>
      <c r="V8" s="684"/>
      <c r="W8" s="684"/>
      <c r="X8" s="684"/>
      <c r="Y8" s="684"/>
      <c r="Z8" s="684"/>
      <c r="AA8" s="684"/>
      <c r="AB8" s="684"/>
      <c r="AC8" s="684"/>
      <c r="AD8" s="684"/>
      <c r="AE8" s="684"/>
      <c r="AF8" s="684"/>
      <c r="AG8" s="684"/>
    </row>
    <row r="9" spans="1:33" s="733" customFormat="1" ht="16.5" customHeight="1">
      <c r="A9" s="730" t="s">
        <v>1601</v>
      </c>
      <c r="B9" s="731"/>
      <c r="C9" s="731"/>
      <c r="D9" s="731"/>
      <c r="E9" s="731"/>
      <c r="F9" s="731"/>
      <c r="G9" s="731"/>
      <c r="H9" s="731"/>
      <c r="I9" s="731"/>
      <c r="J9" s="731"/>
      <c r="K9" s="732"/>
    </row>
    <row r="10" spans="1:33" s="745" customFormat="1" ht="13.5" customHeight="1">
      <c r="A10" s="734" t="s">
        <v>1602</v>
      </c>
      <c r="B10" s="5" t="s">
        <v>1603</v>
      </c>
      <c r="C10" s="741" t="s">
        <v>1604</v>
      </c>
      <c r="D10" s="742" t="s">
        <v>1605</v>
      </c>
      <c r="E10" s="742" t="s">
        <v>1606</v>
      </c>
      <c r="F10" s="742" t="s">
        <v>1607</v>
      </c>
      <c r="G10" s="5"/>
      <c r="H10" s="743"/>
      <c r="I10" s="743"/>
      <c r="J10" s="743"/>
      <c r="K10" s="744"/>
    </row>
    <row r="11" spans="1:33" s="749" customFormat="1" ht="13.5" customHeight="1">
      <c r="A11" s="746" t="s">
        <v>635</v>
      </c>
      <c r="B11" s="747" t="s">
        <v>1608</v>
      </c>
      <c r="C11" s="271">
        <f ca="1">IF(C1="",'数据-取费表'!P16,INDIRECT("'数据-取费表'!p"&amp;$K$1)+INDIRECT("'数据-取费表'!ar"&amp;$K$1))</f>
        <v>0</v>
      </c>
      <c r="D11" s="748"/>
      <c r="E11" s="138"/>
      <c r="F11" s="758">
        <f ca="1">1-IF('数据-取费表'!B24=0,1,IF(C1="",'数据-取费表'!N16,INDIRECT("'数据-取费表'!n"&amp;$K$1)))</f>
        <v>0</v>
      </c>
      <c r="G11" s="5"/>
      <c r="H11" s="743"/>
      <c r="I11" s="743"/>
      <c r="J11" s="743"/>
      <c r="K11" s="744"/>
    </row>
    <row r="12" spans="1:33" s="749" customFormat="1" ht="13.5" customHeight="1">
      <c r="A12" s="746" t="s">
        <v>636</v>
      </c>
      <c r="B12" s="747" t="s">
        <v>1609</v>
      </c>
      <c r="C12" s="21">
        <f ca="1">ROUND(C11*F12,0)</f>
        <v>0</v>
      </c>
      <c r="D12" s="748"/>
      <c r="E12" s="138"/>
      <c r="F12" s="758">
        <f>'数据-取费表'!B33</f>
        <v>0.05</v>
      </c>
      <c r="G12" s="5" t="s">
        <v>1610</v>
      </c>
      <c r="H12" s="743"/>
      <c r="I12" s="743"/>
      <c r="J12" s="743"/>
      <c r="K12" s="744"/>
    </row>
    <row r="13" spans="1:33" s="749" customFormat="1" ht="13.5" customHeight="1">
      <c r="A13" s="746" t="s">
        <v>637</v>
      </c>
      <c r="B13" s="747" t="s">
        <v>1611</v>
      </c>
      <c r="C13" s="21">
        <f ca="1">ROUND(IF(C1="",SUMIF('数据-取费表'!C:C,"住宅",'数据-取费表'!P:P)*F13,IF(INDIRECT("'数据-取费表'!c"&amp;$K$1)="住宅",INDIRECT("'数据-取费表'!P"&amp;$K$1)*F13,0)),0)</f>
        <v>0</v>
      </c>
      <c r="D13" s="790"/>
      <c r="E13" s="138"/>
      <c r="F13" s="758">
        <f>'数据-取费表'!B34</f>
        <v>0</v>
      </c>
      <c r="G13" s="5" t="s">
        <v>1612</v>
      </c>
      <c r="H13" s="743"/>
      <c r="I13" s="743"/>
      <c r="J13" s="743"/>
      <c r="K13" s="744"/>
    </row>
    <row r="14" spans="1:33" s="751" customFormat="1" ht="13.5" customHeight="1">
      <c r="A14" s="746" t="s">
        <v>638</v>
      </c>
      <c r="B14" s="747" t="s">
        <v>1613</v>
      </c>
      <c r="C14" s="21">
        <f ca="1">ROUND(D14*E14*F11/10000,0)</f>
        <v>0</v>
      </c>
      <c r="D14" s="790">
        <f ca="1">IF(C1="",'数据-汇总表'!E3,INDIRECT("'数据-取费表'!K"&amp;$K$1)+INDIRECT("'数据-取费表'!S"&amp;$K$1))</f>
        <v>4179.0200000000004</v>
      </c>
      <c r="E14" s="21">
        <f>'数据-取费表'!B35</f>
        <v>200</v>
      </c>
      <c r="F14" s="750"/>
      <c r="G14" s="5" t="s">
        <v>1614</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1615</v>
      </c>
      <c r="C15" s="757">
        <f ca="1">ROUND(C11*F15,0)</f>
        <v>0</v>
      </c>
      <c r="D15" s="752"/>
      <c r="E15" s="757"/>
      <c r="F15" s="758">
        <f>'数据-取费表'!B36</f>
        <v>0.02</v>
      </c>
      <c r="G15" s="123" t="s">
        <v>1616</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1617</v>
      </c>
      <c r="C16" s="757">
        <f ca="1">SUM(C11:C15)</f>
        <v>0</v>
      </c>
      <c r="D16" s="752"/>
      <c r="E16" s="757"/>
      <c r="F16" s="758"/>
      <c r="G16" s="123"/>
      <c r="H16" s="1101"/>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1618</v>
      </c>
      <c r="C17" s="21">
        <f ca="1">ROUND(D17*E17/10000,0)</f>
        <v>0</v>
      </c>
      <c r="D17" s="790">
        <f ca="1">D14</f>
        <v>4179.0200000000004</v>
      </c>
      <c r="E17" s="21">
        <f>'数据-取费表'!B32</f>
        <v>0</v>
      </c>
      <c r="F17" s="752"/>
      <c r="G17" s="123" t="s">
        <v>1619</v>
      </c>
      <c r="H17" s="1101"/>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1620</v>
      </c>
      <c r="C18" s="21">
        <f ca="1">C19+C20-IF(C1="",'数据-取费表'!B29,IF(G18="已全部缴纳",C19+C20,H18))</f>
        <v>84</v>
      </c>
      <c r="D18" s="790"/>
      <c r="E18" s="21"/>
      <c r="F18" s="750"/>
      <c r="G18" s="1714"/>
      <c r="H18" s="1100"/>
      <c r="I18" s="1715" t="s">
        <v>1621</v>
      </c>
      <c r="J18" s="753"/>
      <c r="K18" s="754"/>
    </row>
    <row r="19" spans="1:33" s="749" customFormat="1" ht="13.5" customHeight="1">
      <c r="A19" s="746" t="s">
        <v>360</v>
      </c>
      <c r="B19" s="747" t="s">
        <v>1622</v>
      </c>
      <c r="C19" s="21">
        <f ca="1">ROUND(D19*E19/10000,0)</f>
        <v>0</v>
      </c>
      <c r="D19" s="790">
        <f ca="1">IF(C1="",'数据-汇总表'!E5,IF(INDIRECT("'数据-取费表'!c"&amp;$K$1)="住宅",INDIRECT("'数据-取费表'!k"&amp;$K$1),0))</f>
        <v>0</v>
      </c>
      <c r="E19" s="21">
        <f>'数据-取费表'!B27</f>
        <v>160</v>
      </c>
      <c r="F19" s="750"/>
      <c r="G19" s="12"/>
      <c r="H19" s="1102"/>
      <c r="I19" s="755"/>
      <c r="J19" s="755"/>
      <c r="K19" s="756"/>
    </row>
    <row r="20" spans="1:33" s="749" customFormat="1" ht="13.5" customHeight="1">
      <c r="A20" s="746" t="s">
        <v>361</v>
      </c>
      <c r="B20" s="747" t="s">
        <v>1623</v>
      </c>
      <c r="C20" s="21">
        <f ca="1">ROUND(D20*E20/10000,0)</f>
        <v>84</v>
      </c>
      <c r="D20" s="790">
        <f ca="1">IF(C1="",'数据-汇总表'!E6,IF(INDIRECT("'数据-取费表'!c"&amp;$K$1)="住宅",INDIRECT("'数据-取费表'!s"&amp;$K$1),INDIRECT("'数据-取费表'!k"&amp;$K$1)+INDIRECT("'数据-取费表'!s"&amp;$K$1)))</f>
        <v>4179.0200000000004</v>
      </c>
      <c r="E20" s="21">
        <f>'数据-取费表'!B28</f>
        <v>200</v>
      </c>
      <c r="F20" s="750"/>
      <c r="G20" s="12"/>
      <c r="H20" s="755"/>
      <c r="I20" s="755"/>
      <c r="J20" s="755"/>
      <c r="K20" s="756"/>
    </row>
    <row r="21" spans="1:33" s="749" customFormat="1" ht="13.5" customHeight="1">
      <c r="A21" s="738" t="s">
        <v>357</v>
      </c>
      <c r="B21" s="759" t="s">
        <v>1624</v>
      </c>
      <c r="C21" s="760">
        <f ca="1">C16+C17+C18</f>
        <v>84</v>
      </c>
      <c r="D21" s="761"/>
      <c r="E21" s="273"/>
      <c r="F21" s="273"/>
      <c r="G21" s="123" t="s">
        <v>1625</v>
      </c>
      <c r="H21" s="753"/>
      <c r="I21" s="753"/>
      <c r="J21" s="753"/>
      <c r="K21" s="754"/>
    </row>
    <row r="22" spans="1:33" s="749" customFormat="1" ht="13.5" customHeight="1">
      <c r="A22" s="738" t="s">
        <v>1597</v>
      </c>
      <c r="B22" s="759" t="s">
        <v>1626</v>
      </c>
      <c r="C22" s="760">
        <f ca="1">ROUND(C21*F22,0)</f>
        <v>2</v>
      </c>
      <c r="D22" s="273"/>
      <c r="E22" s="273"/>
      <c r="F22" s="762">
        <f>'数据-取费表'!B37</f>
        <v>0.02</v>
      </c>
      <c r="G22" s="5" t="s">
        <v>1627</v>
      </c>
      <c r="H22" s="743"/>
      <c r="I22" s="743"/>
      <c r="J22" s="743"/>
      <c r="K22" s="744"/>
    </row>
    <row r="23" spans="1:33" s="749" customFormat="1" ht="13.5" customHeight="1">
      <c r="A23" s="738" t="s">
        <v>1599</v>
      </c>
      <c r="B23" s="759" t="s">
        <v>1628</v>
      </c>
      <c r="C23" s="760">
        <f ca="1">ROUND(C4*F23*F11,0)</f>
        <v>0</v>
      </c>
      <c r="D23" s="273"/>
      <c r="E23" s="273"/>
      <c r="F23" s="762">
        <f>'数据-取费表'!B38</f>
        <v>0.02</v>
      </c>
      <c r="G23" s="5" t="s">
        <v>1629</v>
      </c>
      <c r="H23" s="743"/>
      <c r="I23" s="743"/>
      <c r="J23" s="743"/>
      <c r="K23" s="744"/>
    </row>
    <row r="24" spans="1:33" s="749" customFormat="1" ht="13.5" customHeight="1">
      <c r="A24" s="738" t="s">
        <v>1630</v>
      </c>
      <c r="B24" s="759" t="s">
        <v>1631</v>
      </c>
      <c r="C24" s="272">
        <f>ROUND(F24/(1+'数据-取费表'!C42),4)</f>
        <v>2.9000000000000001E-2</v>
      </c>
      <c r="D24" s="273" t="s">
        <v>12</v>
      </c>
      <c r="E24" s="273"/>
      <c r="F24" s="762">
        <f>IF(项目基本情况!B8="出让",0,'数据-取费表'!B48+'数据-取费表'!B49)</f>
        <v>3.0499999999999999E-2</v>
      </c>
      <c r="G24" s="5" t="s">
        <v>1632</v>
      </c>
      <c r="H24" s="764"/>
      <c r="I24" s="764"/>
      <c r="J24" s="764"/>
      <c r="K24" s="55"/>
    </row>
    <row r="25" spans="1:33" s="749" customFormat="1" ht="13.5" customHeight="1">
      <c r="A25" s="738" t="s">
        <v>1633</v>
      </c>
      <c r="B25" s="761" t="s">
        <v>1634</v>
      </c>
      <c r="C25" s="1037">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1635</v>
      </c>
      <c r="C26" s="1038">
        <f ca="1">ROUND(IF('数据-取费表'!B22&lt;=1,(1+C24)*F25*'数据-取费表'!B24,(1+C24)*(POWER((1+F25),'数据-取费表'!B24)-1)),4)</f>
        <v>0</v>
      </c>
      <c r="D26" s="276"/>
      <c r="E26" s="277"/>
      <c r="F26" s="278"/>
      <c r="G26" s="1716"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1636</v>
      </c>
      <c r="C27" s="1039">
        <f ca="1">ROUND(IF('数据-取费表'!B22&lt;=1,(C21+C22+C23)*F25*'数据-取费表'!B24/2,(C21+C22+C23)*(POWER((1+F25),'数据-取费表'!B24/2)-1)),0)</f>
        <v>0</v>
      </c>
      <c r="D27" s="276"/>
      <c r="E27" s="277"/>
      <c r="F27" s="278"/>
      <c r="G27" s="1716" t="str">
        <f>IF('数据-取费表'!B22&lt;=1,"（1）-（3）项×年利率×建设期÷2","（1）-（3）项×((1+年利率)^(建设期÷2)-1)")</f>
        <v>（1）-（3）项×((1+年利率)^(建设期÷2)-1)</v>
      </c>
      <c r="H27" s="753"/>
      <c r="I27" s="753"/>
      <c r="J27" s="753"/>
      <c r="K27" s="754"/>
    </row>
    <row r="28" spans="1:33" s="281" customFormat="1" ht="13.5" customHeight="1">
      <c r="A28" s="738" t="s">
        <v>1637</v>
      </c>
      <c r="B28" s="1717" t="s">
        <v>1638</v>
      </c>
      <c r="C28" s="279">
        <f ca="1">C30</f>
        <v>14</v>
      </c>
      <c r="D28" s="272">
        <f ca="1">C29</f>
        <v>0</v>
      </c>
      <c r="E28" s="274" t="s">
        <v>12</v>
      </c>
      <c r="F28" s="280">
        <f ca="1">IF(C1="",'数据-取费表'!Q16,INDIRECT("'数据-取费表'!q"&amp;$K$1))</f>
        <v>0.16</v>
      </c>
      <c r="G28" s="763"/>
      <c r="H28" s="764"/>
      <c r="I28" s="764"/>
      <c r="J28" s="764"/>
      <c r="K28" s="55"/>
    </row>
    <row r="29" spans="1:33" s="283" customFormat="1" ht="13.5" customHeight="1">
      <c r="A29" s="746" t="s">
        <v>358</v>
      </c>
      <c r="B29" s="767" t="s">
        <v>1639</v>
      </c>
      <c r="C29" s="276">
        <f ca="1">ROUND((1+C24)*F28*'数据-取费表'!B24/'数据-取费表'!B20,4)</f>
        <v>0</v>
      </c>
      <c r="D29" s="276"/>
      <c r="E29" s="277"/>
      <c r="F29" s="282"/>
      <c r="G29" s="123" t="s">
        <v>1640</v>
      </c>
      <c r="H29" s="753"/>
      <c r="I29" s="753"/>
      <c r="J29" s="753"/>
      <c r="K29" s="754"/>
    </row>
    <row r="30" spans="1:33" s="283" customFormat="1" ht="13.5" customHeight="1">
      <c r="A30" s="746" t="s">
        <v>359</v>
      </c>
      <c r="B30" s="767" t="s">
        <v>1641</v>
      </c>
      <c r="C30" s="284">
        <f ca="1">ROUND((C21+C22+C23)*F28,0)</f>
        <v>14</v>
      </c>
      <c r="D30" s="276"/>
      <c r="E30" s="277"/>
      <c r="F30" s="282"/>
      <c r="G30" s="123"/>
      <c r="H30" s="753"/>
      <c r="I30" s="753"/>
      <c r="J30" s="753"/>
      <c r="K30" s="754"/>
    </row>
    <row r="31" spans="1:33" s="749" customFormat="1" ht="13.5" customHeight="1" thickBot="1">
      <c r="A31" s="1718" t="s">
        <v>1642</v>
      </c>
      <c r="B31" s="777" t="s">
        <v>1643</v>
      </c>
      <c r="C31" s="778">
        <f>ROUND(C4*F31/(1+'数据-取费表'!C42),0)</f>
        <v>0</v>
      </c>
      <c r="D31" s="779"/>
      <c r="E31" s="780"/>
      <c r="F31" s="781">
        <f>'数据-取费表'!B41</f>
        <v>5.6000000000000001E-2</v>
      </c>
      <c r="G31" s="782" t="s">
        <v>1644</v>
      </c>
      <c r="H31" s="783"/>
      <c r="I31" s="783"/>
      <c r="J31" s="783"/>
      <c r="K31" s="784"/>
    </row>
    <row r="32" spans="1:33" s="745" customFormat="1" ht="13.5" customHeight="1" thickBot="1">
      <c r="A32" s="449" t="s">
        <v>1645</v>
      </c>
      <c r="B32" s="773"/>
      <c r="C32" s="774">
        <f ca="1">ROUND((C4-C21-C22-C23-C25-C28-C31)/(1+C24+D25+D28),0)</f>
        <v>-97</v>
      </c>
      <c r="D32" s="773"/>
      <c r="E32" s="773"/>
      <c r="F32" s="773"/>
      <c r="G32" s="775" t="s">
        <v>1646</v>
      </c>
      <c r="H32" s="773"/>
      <c r="I32" s="773"/>
      <c r="J32" s="773"/>
      <c r="K32" s="77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3"/>
      <c r="C1" s="1281"/>
      <c r="D1" s="1265" t="s">
        <v>43</v>
      </c>
      <c r="E1" s="1266" t="s">
        <v>674</v>
      </c>
      <c r="F1" s="993">
        <f ca="1">J53</f>
        <v>0</v>
      </c>
      <c r="G1" s="1280">
        <f>MATCH(C1,'数据-取费表'!A6:A16,0)+5</f>
        <v>10</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7" t="s">
        <v>800</v>
      </c>
      <c r="B2" s="1288" t="e">
        <f ca="1">C40+J29+L46</f>
        <v>#DIV/0!</v>
      </c>
      <c r="C2" s="1283" t="s">
        <v>801</v>
      </c>
      <c r="D2" s="1283"/>
      <c r="E2" s="1289"/>
      <c r="F2" s="1290"/>
      <c r="G2" s="2473"/>
      <c r="H2" s="2463"/>
      <c r="I2" s="2463"/>
      <c r="J2" s="2463"/>
      <c r="K2" s="2464"/>
      <c r="L2" s="2463"/>
      <c r="M2" s="2463"/>
    </row>
    <row r="3" spans="1:37" ht="18" customHeight="1" thickBot="1">
      <c r="A3" s="1291" t="s">
        <v>802</v>
      </c>
      <c r="B3" s="1292">
        <f ca="1">IF(ISERROR(B2*10000/F43),0,ROUND(B2*10000/F43,0))</f>
        <v>0</v>
      </c>
      <c r="C3" s="1283" t="s">
        <v>803</v>
      </c>
      <c r="D3" s="1283"/>
      <c r="E3" s="1289"/>
      <c r="F3" s="1290"/>
      <c r="G3" s="2473"/>
      <c r="H3" s="649" t="s">
        <v>872</v>
      </c>
      <c r="I3" s="1284"/>
      <c r="J3" s="1284"/>
      <c r="K3" s="1285"/>
      <c r="L3" s="1284"/>
      <c r="M3" s="1284"/>
    </row>
    <row r="4" spans="1:37" ht="18" customHeight="1">
      <c r="A4" s="287" t="s">
        <v>683</v>
      </c>
      <c r="B4" s="288" t="s">
        <v>684</v>
      </c>
      <c r="C4" s="288" t="s">
        <v>685</v>
      </c>
      <c r="D4" s="288" t="s">
        <v>686</v>
      </c>
      <c r="E4" s="289" t="s">
        <v>687</v>
      </c>
      <c r="F4" s="290"/>
      <c r="G4" s="1286"/>
      <c r="H4" s="287" t="s">
        <v>683</v>
      </c>
      <c r="I4" s="288" t="s">
        <v>684</v>
      </c>
      <c r="J4" s="288" t="s">
        <v>685</v>
      </c>
      <c r="K4" s="288" t="s">
        <v>686</v>
      </c>
      <c r="L4" s="289" t="s">
        <v>687</v>
      </c>
      <c r="M4" s="290"/>
    </row>
    <row r="5" spans="1:37" ht="18" customHeight="1">
      <c r="A5" s="291">
        <v>1</v>
      </c>
      <c r="B5" s="292" t="s">
        <v>688</v>
      </c>
      <c r="C5" s="1001">
        <f ca="1">C6+C10+C12</f>
        <v>0</v>
      </c>
      <c r="D5" s="1267" t="s">
        <v>689</v>
      </c>
      <c r="E5" s="1002"/>
      <c r="F5" s="1003"/>
      <c r="G5" s="1286"/>
      <c r="H5" s="291">
        <v>1</v>
      </c>
      <c r="I5" s="292" t="s">
        <v>688</v>
      </c>
      <c r="J5" s="1001">
        <f ca="1">J6+J10+J12</f>
        <v>0</v>
      </c>
      <c r="K5" s="1267" t="s">
        <v>689</v>
      </c>
      <c r="L5" s="1002"/>
      <c r="M5" s="1003"/>
    </row>
    <row r="6" spans="1:37" ht="18" customHeight="1">
      <c r="A6" s="1000" t="s">
        <v>398</v>
      </c>
      <c r="B6" s="3444" t="s">
        <v>690</v>
      </c>
      <c r="C6" s="1005">
        <f ca="1">ROUND(F6*F8*F7*(1-F9)/10000,0)</f>
        <v>0</v>
      </c>
      <c r="D6" s="147" t="s">
        <v>2102</v>
      </c>
      <c r="E6" s="294" t="s">
        <v>692</v>
      </c>
      <c r="F6" s="295">
        <f ca="1">INDIRECT("'数据-取费表'!u"&amp;$G$1)</f>
        <v>0</v>
      </c>
      <c r="G6" s="1286"/>
      <c r="H6" s="1000" t="s">
        <v>398</v>
      </c>
      <c r="I6" s="3444" t="s">
        <v>690</v>
      </c>
      <c r="J6" s="293">
        <f ca="1">ROUND(M6*M8*M7*(1-M9)/10000,0)</f>
        <v>0</v>
      </c>
      <c r="K6" s="147" t="s">
        <v>2101</v>
      </c>
      <c r="L6" s="294" t="s">
        <v>692</v>
      </c>
      <c r="M6" s="295">
        <f ca="1">INDIRECT("'数据-取费表'!z"&amp;$G$1)</f>
        <v>0</v>
      </c>
    </row>
    <row r="7" spans="1:37" ht="18" customHeight="1">
      <c r="A7" s="1004"/>
      <c r="B7" s="3445"/>
      <c r="C7" s="1006"/>
      <c r="D7" s="299"/>
      <c r="E7" s="1007" t="s">
        <v>693</v>
      </c>
      <c r="F7" s="295">
        <f ca="1">IF(INDIRECT("'数据-取费表'!ah"&amp;$G$1)="",INDIRECT("'数据-取费表'!k"&amp;$G$1),INDIRECT("'数据-取费表'!ah"&amp;$G$1))</f>
        <v>0</v>
      </c>
      <c r="G7" s="1286"/>
      <c r="H7" s="296"/>
      <c r="I7" s="3445"/>
      <c r="J7" s="298"/>
      <c r="K7" s="299"/>
      <c r="L7" s="294" t="s">
        <v>693</v>
      </c>
      <c r="M7" s="295">
        <f ca="1">F7</f>
        <v>0</v>
      </c>
    </row>
    <row r="8" spans="1:37" ht="18" customHeight="1">
      <c r="A8" s="296"/>
      <c r="B8" s="3445"/>
      <c r="C8" s="298"/>
      <c r="D8" s="299"/>
      <c r="E8" s="294" t="s">
        <v>694</v>
      </c>
      <c r="F8" s="295">
        <f ca="1">INDIRECT("'数据-取费表'!ai"&amp;$G$1)</f>
        <v>0</v>
      </c>
      <c r="G8" s="1286"/>
      <c r="H8" s="296"/>
      <c r="I8" s="3445"/>
      <c r="J8" s="298"/>
      <c r="K8" s="299"/>
      <c r="L8" s="294" t="s">
        <v>694</v>
      </c>
      <c r="M8" s="295">
        <f ca="1">INDIRECT("'数据-取费表'!ai"&amp;$G$1)</f>
        <v>0</v>
      </c>
    </row>
    <row r="9" spans="1:37" ht="18" customHeight="1">
      <c r="A9" s="296"/>
      <c r="B9" s="3446"/>
      <c r="C9" s="298"/>
      <c r="D9" s="299"/>
      <c r="E9" s="294" t="s">
        <v>695</v>
      </c>
      <c r="F9" s="304">
        <f ca="1">INDIRECT("'数据-取费表'!w"&amp;$G$1)</f>
        <v>0</v>
      </c>
      <c r="G9" s="1286"/>
      <c r="H9" s="296"/>
      <c r="I9" s="3446"/>
      <c r="J9" s="298"/>
      <c r="K9" s="299"/>
      <c r="L9" s="305" t="s">
        <v>695</v>
      </c>
      <c r="M9" s="306">
        <f ca="1">INDIRECT("'数据-取费表'!ab"&amp;$G$1)</f>
        <v>0</v>
      </c>
    </row>
    <row r="10" spans="1:37" ht="18" customHeight="1">
      <c r="A10" s="1000" t="s">
        <v>402</v>
      </c>
      <c r="B10" s="1268" t="s">
        <v>696</v>
      </c>
      <c r="C10" s="308">
        <f ca="1">ROUND(IF(F10="押一",C6/12*F11,IF(F10="押二",C6/12*2*F11,IF(F10="押三",C6/12*3*F11,C11*F11))),0)</f>
        <v>0</v>
      </c>
      <c r="D10" s="150" t="s">
        <v>2110</v>
      </c>
      <c r="E10" s="305" t="s">
        <v>697</v>
      </c>
      <c r="F10" s="1047"/>
      <c r="G10" s="1286"/>
      <c r="H10" s="1000" t="s">
        <v>402</v>
      </c>
      <c r="I10" s="1268" t="s">
        <v>696</v>
      </c>
      <c r="J10" s="293">
        <f ca="1">ROUND(IF(M10="押一",J6/12*M11,IF(M10="押二",J6/12*2*M11,IF(M10="押三",J6/12*3*M11,J11*M11))),0)</f>
        <v>0</v>
      </c>
      <c r="K10" s="150" t="s">
        <v>2109</v>
      </c>
      <c r="L10" s="305" t="s">
        <v>697</v>
      </c>
      <c r="M10" s="1047"/>
    </row>
    <row r="11" spans="1:37" ht="18" customHeight="1">
      <c r="A11" s="300"/>
      <c r="B11" s="1269" t="s">
        <v>675</v>
      </c>
      <c r="C11" s="899"/>
      <c r="D11" s="1270"/>
      <c r="E11" s="305" t="s">
        <v>698</v>
      </c>
      <c r="F11" s="306">
        <f ca="1">'数据-取费表'!B39</f>
        <v>1.4999999999999999E-2</v>
      </c>
      <c r="G11" s="1286"/>
      <c r="H11" s="1008"/>
      <c r="I11" s="1269" t="s">
        <v>675</v>
      </c>
      <c r="J11" s="899"/>
      <c r="K11" s="646"/>
      <c r="L11" s="305" t="s">
        <v>698</v>
      </c>
      <c r="M11" s="803">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f ca="1">ROUND(C29*F13,0)</f>
        <v>0</v>
      </c>
      <c r="D13" s="1012" t="s">
        <v>701</v>
      </c>
      <c r="E13" s="1012" t="s">
        <v>702</v>
      </c>
      <c r="F13" s="1013">
        <f ca="1">INDIRECT("'数据-取费表'!y"&amp;$G$1)</f>
        <v>0</v>
      </c>
      <c r="G13" s="1286"/>
      <c r="H13" s="1010">
        <v>2</v>
      </c>
      <c r="I13" s="1011" t="s">
        <v>700</v>
      </c>
      <c r="J13" s="999">
        <f ca="1">ROUND(J14*J15,0)</f>
        <v>0</v>
      </c>
      <c r="K13" s="1018" t="s">
        <v>701</v>
      </c>
      <c r="L13" s="1293"/>
      <c r="M13" s="1294"/>
    </row>
    <row r="14" spans="1:37" ht="18" customHeight="1">
      <c r="A14" s="922" t="s">
        <v>397</v>
      </c>
      <c r="B14" s="294" t="s">
        <v>703</v>
      </c>
      <c r="C14" s="310">
        <f ca="1">INDIRECT("'数据-取费表'!m"&amp;$G$1)+INDIRECT("'数据-取费表'!t"&amp;$G$1)</f>
        <v>0</v>
      </c>
      <c r="D14" s="1251" t="s">
        <v>704</v>
      </c>
      <c r="E14" s="1249"/>
      <c r="F14" s="311"/>
      <c r="G14" s="1286"/>
      <c r="H14" s="922" t="s">
        <v>398</v>
      </c>
      <c r="I14" s="294" t="s">
        <v>705</v>
      </c>
      <c r="J14" s="21">
        <f ca="1">C29</f>
        <v>0</v>
      </c>
      <c r="K14" s="12"/>
      <c r="L14" s="753"/>
      <c r="M14" s="754"/>
    </row>
    <row r="15" spans="1:37" s="1298" customFormat="1" ht="18" customHeight="1" thickBot="1">
      <c r="A15" s="922" t="s">
        <v>399</v>
      </c>
      <c r="B15" s="294" t="s">
        <v>706</v>
      </c>
      <c r="C15" s="21">
        <f ca="1">ROUND(C14*F15,0)</f>
        <v>0</v>
      </c>
      <c r="D15" s="312" t="s">
        <v>707</v>
      </c>
      <c r="E15" s="312" t="s">
        <v>708</v>
      </c>
      <c r="F15" s="313">
        <f>'数据-取费表'!B33</f>
        <v>0.05</v>
      </c>
      <c r="G15" s="1297"/>
      <c r="H15" s="1020" t="s">
        <v>402</v>
      </c>
      <c r="I15" s="1021" t="s">
        <v>702</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676</v>
      </c>
      <c r="B16" s="294" t="s">
        <v>709</v>
      </c>
      <c r="C16" s="21">
        <f ca="1">ROUND(INDIRECT("'数据-取费表'!m"&amp;$G$1)*F16,0)</f>
        <v>0</v>
      </c>
      <c r="D16" s="294" t="s">
        <v>707</v>
      </c>
      <c r="E16" s="294" t="s">
        <v>708</v>
      </c>
      <c r="F16" s="314">
        <f ca="1">IF(INDIRECT("'数据-取费表'!c"&amp;$G$1)="住宅",'数据-取费表'!B34,0)</f>
        <v>0</v>
      </c>
      <c r="G16" s="1286"/>
      <c r="H16" s="1010" t="s">
        <v>393</v>
      </c>
      <c r="I16" s="1011" t="s">
        <v>710</v>
      </c>
      <c r="J16" s="302">
        <f ca="1">ROUND(J17+J22+J23+J24,0)</f>
        <v>0</v>
      </c>
      <c r="K16" s="1018" t="s">
        <v>711</v>
      </c>
      <c r="L16" s="1019"/>
      <c r="M16" s="1003"/>
    </row>
    <row r="17" spans="1:37" s="1298" customFormat="1" ht="18" customHeight="1">
      <c r="A17" s="922" t="s">
        <v>677</v>
      </c>
      <c r="B17" s="294" t="s">
        <v>712</v>
      </c>
      <c r="C17" s="21">
        <f ca="1">ROUND(F17*(F43+INDIRECT("'数据-取费表'!S"&amp;$G$1))/10000,0)</f>
        <v>0</v>
      </c>
      <c r="D17" s="294" t="s">
        <v>713</v>
      </c>
      <c r="E17" s="294" t="s">
        <v>714</v>
      </c>
      <c r="F17" s="23">
        <f>'数据-取费表'!B35</f>
        <v>200</v>
      </c>
      <c r="G17" s="1297"/>
      <c r="H17" s="922" t="s">
        <v>398</v>
      </c>
      <c r="I17" s="294" t="s">
        <v>715</v>
      </c>
      <c r="J17" s="2134">
        <f ca="1">ROUND(IF(AND(项目基本情况!B11="自然人",项目基本情况!B10="北京市"),J6*M17/(1+'数据-取费表'!C42),J18+J19+J20),2)</f>
        <v>0</v>
      </c>
      <c r="K17" s="1251" t="s">
        <v>716</v>
      </c>
      <c r="L17" s="1250" t="s">
        <v>717</v>
      </c>
      <c r="M17" s="2133"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678</v>
      </c>
      <c r="B18" s="294" t="s">
        <v>718</v>
      </c>
      <c r="C18" s="21">
        <f ca="1">ROUND(C14*F18,0)</f>
        <v>0</v>
      </c>
      <c r="D18" s="294" t="s">
        <v>707</v>
      </c>
      <c r="E18" s="294" t="s">
        <v>708</v>
      </c>
      <c r="F18" s="314">
        <f>'数据-取费表'!B36</f>
        <v>0.02</v>
      </c>
      <c r="G18" s="1297"/>
      <c r="H18" s="922" t="s">
        <v>397</v>
      </c>
      <c r="I18" s="294" t="s">
        <v>719</v>
      </c>
      <c r="J18" s="21">
        <f ca="1">ROUND(J6*M18/(1+'数据-取费表'!C42),2)</f>
        <v>0</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4" t="s">
        <v>721</v>
      </c>
      <c r="C19" s="21">
        <f ca="1">SUM(C14:C18)</f>
        <v>0</v>
      </c>
      <c r="D19" s="123" t="s">
        <v>722</v>
      </c>
      <c r="E19" s="1263"/>
      <c r="F19" s="23"/>
      <c r="G19" s="1286"/>
      <c r="H19" s="922" t="s">
        <v>399</v>
      </c>
      <c r="I19" s="294" t="s">
        <v>723</v>
      </c>
      <c r="J19" s="21">
        <f ca="1">IF(K19="按租金收入计税",ROUND(J6*M19/(1+'数据-取费表'!C42),2),ROUND(C29*M19*0.7,2))</f>
        <v>0</v>
      </c>
      <c r="K19" s="1272" t="s">
        <v>3319</v>
      </c>
      <c r="L19" s="294" t="s">
        <v>708</v>
      </c>
      <c r="M19" s="314">
        <f>IF(K19="按租金收入计税",'数据-取费表'!B51,'数据-取费表'!B50)</f>
        <v>0.12</v>
      </c>
    </row>
    <row r="20" spans="1:37" s="1298" customFormat="1" ht="18" customHeight="1">
      <c r="A20" s="922" t="s">
        <v>402</v>
      </c>
      <c r="B20" s="294" t="s">
        <v>724</v>
      </c>
      <c r="C20" s="21">
        <f ca="1">ROUND(C19*F20,0)</f>
        <v>0</v>
      </c>
      <c r="D20" s="315" t="s">
        <v>725</v>
      </c>
      <c r="E20" s="294" t="s">
        <v>708</v>
      </c>
      <c r="F20" s="314">
        <f>'数据-取费表'!B37</f>
        <v>0.02</v>
      </c>
      <c r="G20" s="1297"/>
      <c r="H20" s="922" t="s">
        <v>676</v>
      </c>
      <c r="I20" s="147" t="s">
        <v>726</v>
      </c>
      <c r="J20" s="22">
        <f ca="1">ROUND(M20*M21/10000,2)</f>
        <v>0</v>
      </c>
      <c r="K20" s="316" t="s">
        <v>727</v>
      </c>
      <c r="L20" s="294" t="s">
        <v>728</v>
      </c>
      <c r="M20" s="317">
        <f>'数据-取费表'!B52</f>
        <v>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4" t="s">
        <v>729</v>
      </c>
      <c r="C21" s="21" t="s">
        <v>15</v>
      </c>
      <c r="D21" s="315" t="s">
        <v>730</v>
      </c>
      <c r="E21" s="294" t="s">
        <v>731</v>
      </c>
      <c r="F21" s="314">
        <f>'数据-取费表'!B38</f>
        <v>0.02</v>
      </c>
      <c r="G21" s="1297"/>
      <c r="H21" s="318"/>
      <c r="I21" s="303"/>
      <c r="J21" s="26"/>
      <c r="K21" s="319"/>
      <c r="L21" s="294" t="s">
        <v>732</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679</v>
      </c>
      <c r="B22" s="294" t="s">
        <v>733</v>
      </c>
      <c r="C22" s="21"/>
      <c r="D22" s="123" t="str">
        <f>IF(F23&lt;=1,"单利计息。","复利计息。")&amp;"建造成本、管理费用、销售费用产生的利息。"</f>
        <v>复利计息。建造成本、管理费用、销售费用产生的利息。</v>
      </c>
      <c r="E22" s="1263"/>
      <c r="F22" s="23"/>
      <c r="G22" s="1286"/>
      <c r="H22" s="922" t="s">
        <v>402</v>
      </c>
      <c r="I22" s="294" t="s">
        <v>734</v>
      </c>
      <c r="J22" s="21">
        <f ca="1">ROUND(J14*M22,2)</f>
        <v>0</v>
      </c>
      <c r="K22" s="1250" t="s">
        <v>735</v>
      </c>
      <c r="L22" s="294" t="s">
        <v>708</v>
      </c>
      <c r="M22" s="320">
        <f ca="1">INDIRECT("'数据-取费表'!Ak"&amp;$G$1)</f>
        <v>0</v>
      </c>
    </row>
    <row r="23" spans="1:37" s="1298" customFormat="1" ht="18" customHeight="1">
      <c r="A23" s="922"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297"/>
      <c r="H23" s="922" t="s">
        <v>437</v>
      </c>
      <c r="I23" s="294" t="s">
        <v>738</v>
      </c>
      <c r="J23" s="21">
        <f ca="1">ROUND(J13*M23,2)</f>
        <v>0</v>
      </c>
      <c r="K23" s="1250" t="s">
        <v>739</v>
      </c>
      <c r="L23" s="294" t="s">
        <v>740</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0.03</v>
      </c>
      <c r="G24" s="1297"/>
      <c r="H24" s="1020" t="s">
        <v>680</v>
      </c>
      <c r="I24" s="1021" t="s">
        <v>724</v>
      </c>
      <c r="J24" s="1022">
        <f ca="1">ROUND(J5*M24,2)</f>
        <v>0</v>
      </c>
      <c r="K24" s="1023" t="s">
        <v>744</v>
      </c>
      <c r="L24" s="1021" t="s">
        <v>740</v>
      </c>
      <c r="M24" s="1017">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745</v>
      </c>
      <c r="B25" s="294" t="s">
        <v>746</v>
      </c>
      <c r="C25" s="21"/>
      <c r="D25" s="123" t="s">
        <v>747</v>
      </c>
      <c r="E25" s="1263"/>
      <c r="F25" s="23"/>
      <c r="G25" s="1286"/>
      <c r="H25" s="1010" t="s">
        <v>394</v>
      </c>
      <c r="I25" s="1025" t="s">
        <v>748</v>
      </c>
      <c r="J25" s="302">
        <f ca="1">J5-J16</f>
        <v>0</v>
      </c>
      <c r="K25" s="1026" t="s">
        <v>749</v>
      </c>
      <c r="L25" s="1027"/>
      <c r="M25" s="1028"/>
    </row>
    <row r="26" spans="1:37">
      <c r="A26" s="922" t="s">
        <v>397</v>
      </c>
      <c r="B26" s="294" t="s">
        <v>750</v>
      </c>
      <c r="C26" s="21">
        <f ca="1">ROUND((C19+C20)*F26,0)</f>
        <v>0</v>
      </c>
      <c r="D26" s="315" t="s">
        <v>751</v>
      </c>
      <c r="E26" s="305" t="s">
        <v>752</v>
      </c>
      <c r="F26" s="304">
        <f ca="1">INDIRECT("'数据-取费表'!q"&amp;$G$1)</f>
        <v>0</v>
      </c>
      <c r="G26" s="1286"/>
      <c r="H26" s="291" t="s">
        <v>395</v>
      </c>
      <c r="I26" s="292" t="s">
        <v>753</v>
      </c>
      <c r="J26" s="293">
        <f ca="1">IF(J5&lt;&gt;0,ROUND(J25*(1-((1+M28)/(1+M26))^M27)/(M26-M28),0),0)</f>
        <v>0</v>
      </c>
      <c r="K26" s="316" t="s">
        <v>754</v>
      </c>
      <c r="L26" s="294" t="s">
        <v>755</v>
      </c>
      <c r="M26" s="304">
        <f ca="1">INDIRECT("'数据-取费表'!I"&amp;$G$1)</f>
        <v>0</v>
      </c>
    </row>
    <row r="27" spans="1:37" ht="18" customHeight="1">
      <c r="A27" s="922" t="s">
        <v>399</v>
      </c>
      <c r="B27" s="294" t="s">
        <v>756</v>
      </c>
      <c r="C27" s="21">
        <f ca="1">ROUND(F21*F26,4)</f>
        <v>0</v>
      </c>
      <c r="D27" s="315" t="s">
        <v>757</v>
      </c>
      <c r="E27" s="312"/>
      <c r="F27" s="313"/>
      <c r="G27" s="1286"/>
      <c r="H27" s="296"/>
      <c r="I27" s="297"/>
      <c r="J27" s="298"/>
      <c r="K27" s="323" t="s">
        <v>758</v>
      </c>
      <c r="L27" s="294" t="s">
        <v>759</v>
      </c>
      <c r="M27" s="324">
        <f ca="1">INDIRECT("'数据-取费表'!ag"&amp;$G$1)</f>
        <v>0</v>
      </c>
    </row>
    <row r="28" spans="1:37" s="1298" customFormat="1" ht="18" customHeight="1">
      <c r="A28" s="922"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f ca="1">ROUND((C19+C20+C23+C26)/(1-F21-C24-C27-C28),0)</f>
        <v>0</v>
      </c>
      <c r="D29" s="1023"/>
      <c r="E29" s="1021"/>
      <c r="F29" s="1024"/>
      <c r="G29" s="1297"/>
      <c r="H29" s="325" t="s">
        <v>396</v>
      </c>
      <c r="I29" s="326" t="s">
        <v>764</v>
      </c>
      <c r="J29" s="327">
        <f ca="1">ROUND(J26/(1+F40)^F41,0)</f>
        <v>0</v>
      </c>
      <c r="K29" s="328" t="s">
        <v>765</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f ca="1">ROUND(C31+C36+C37+C38,0)</f>
        <v>0</v>
      </c>
      <c r="D30" s="1018" t="s">
        <v>711</v>
      </c>
      <c r="E30" s="1019"/>
      <c r="F30" s="1003"/>
      <c r="G30" s="1286"/>
      <c r="H30" s="2465"/>
      <c r="I30" s="1299"/>
      <c r="J30" s="1300"/>
      <c r="K30" s="121"/>
      <c r="L30" s="2466"/>
      <c r="M30" s="2467"/>
    </row>
    <row r="31" spans="1:37" ht="18" customHeight="1">
      <c r="A31" s="922" t="s">
        <v>398</v>
      </c>
      <c r="B31" s="294" t="s">
        <v>715</v>
      </c>
      <c r="C31" s="2134">
        <f ca="1">ROUND(IF(AND(项目基本情况!B11="自然人",项目基本情况!B10="北京市"),C6*F31/(1+'数据-取费表'!C42),C32+C33+C34),2)</f>
        <v>0</v>
      </c>
      <c r="D31" s="1251" t="s">
        <v>716</v>
      </c>
      <c r="E31" s="1250" t="s">
        <v>766</v>
      </c>
      <c r="F31" s="2133" t="str">
        <f>IF(项目基本情况!B11="企业","——",IF(M47="住宅",IF(F6*F7*F8/12/(1+'数据-取费表'!F30)&gt;100000,4%,2.5%),IF(F6*F7*F8/12/(1+'数据-取费表'!F30)&gt;100000,12%,7%)))</f>
        <v>——</v>
      </c>
      <c r="G31" s="1286"/>
      <c r="H31" s="2564" t="s">
        <v>2290</v>
      </c>
      <c r="I31" s="1299"/>
      <c r="J31" s="1300"/>
      <c r="K31" s="121"/>
      <c r="L31" s="2466"/>
      <c r="M31" s="2467"/>
    </row>
    <row r="32" spans="1:37" ht="18" customHeight="1">
      <c r="A32" s="922" t="s">
        <v>397</v>
      </c>
      <c r="B32" s="294" t="s">
        <v>719</v>
      </c>
      <c r="C32" s="21">
        <f ca="1">IF(项目基本情况!B11="自然人","——",ROUND(C6*F32/(1+'数据-取费表'!C42),2))</f>
        <v>0</v>
      </c>
      <c r="D32" s="1250" t="s">
        <v>720</v>
      </c>
      <c r="E32" s="294" t="s">
        <v>708</v>
      </c>
      <c r="F32" s="322">
        <f>'数据-取费表'!B41</f>
        <v>5.6000000000000001E-2</v>
      </c>
      <c r="G32" s="1286"/>
      <c r="H32" s="2465"/>
      <c r="I32" s="1299"/>
      <c r="J32" s="1300"/>
      <c r="K32" s="121"/>
      <c r="L32" s="2466"/>
      <c r="M32" s="2467"/>
    </row>
    <row r="33" spans="1:18" ht="18" customHeight="1">
      <c r="A33" s="922" t="s">
        <v>399</v>
      </c>
      <c r="B33" s="294" t="s">
        <v>723</v>
      </c>
      <c r="C33" s="21">
        <f ca="1">IF(项目基本情况!B11="自然人","——",IF(D33="按租金收入计税",ROUND(C6*F33/(1+'数据-取费表'!C42),2),IF(D33="按房产原值计税",ROUND(C29*F33*0.7,2),INDIRECT("'数据-取费表'!Aj"&amp;$G$1))))</f>
        <v>0</v>
      </c>
      <c r="D33" s="1272" t="s">
        <v>3319</v>
      </c>
      <c r="E33" s="294" t="s">
        <v>708</v>
      </c>
      <c r="F33" s="314">
        <f>IF(D33="按票据","——",IF(D33="按租金收入计税",'数据-取费表'!B51,'数据-取费表'!B50))</f>
        <v>0.12</v>
      </c>
      <c r="G33" s="1286"/>
      <c r="H33" s="2468"/>
      <c r="I33" s="1299"/>
      <c r="J33" s="1300"/>
      <c r="K33" s="2469"/>
      <c r="L33" s="2468"/>
      <c r="M33" s="2468"/>
    </row>
    <row r="34" spans="1:18" ht="18" customHeight="1">
      <c r="A34" s="1000" t="s">
        <v>676</v>
      </c>
      <c r="B34" s="147" t="s">
        <v>726</v>
      </c>
      <c r="C34" s="22">
        <f ca="1">IF(项目基本情况!B11="自然人","——",ROUND(F34*F35/10000,2))</f>
        <v>0</v>
      </c>
      <c r="D34" s="316" t="s">
        <v>727</v>
      </c>
      <c r="E34" s="294" t="s">
        <v>728</v>
      </c>
      <c r="F34" s="317">
        <f>'数据-取费表'!B52</f>
        <v>0</v>
      </c>
      <c r="G34" s="1286"/>
      <c r="H34" s="2465"/>
      <c r="I34" s="1299"/>
      <c r="J34" s="1300"/>
      <c r="K34" s="2470"/>
      <c r="L34" s="2471"/>
      <c r="M34" s="2471"/>
    </row>
    <row r="35" spans="1:18" ht="18" customHeight="1">
      <c r="A35" s="1034"/>
      <c r="B35" s="1032"/>
      <c r="C35" s="26"/>
      <c r="D35" s="319"/>
      <c r="E35" s="294" t="s">
        <v>732</v>
      </c>
      <c r="F35" s="295">
        <f ca="1">INDIRECT("'数据-取费表'!r"&amp;$G$1)</f>
        <v>0</v>
      </c>
      <c r="G35" s="1286"/>
      <c r="H35" s="2465"/>
      <c r="I35" s="1299"/>
      <c r="J35" s="1300"/>
      <c r="K35" s="2469"/>
      <c r="L35" s="2468"/>
      <c r="M35" s="2468"/>
    </row>
    <row r="36" spans="1:18" ht="18" customHeight="1">
      <c r="A36" s="1033" t="s">
        <v>402</v>
      </c>
      <c r="B36" s="294" t="s">
        <v>734</v>
      </c>
      <c r="C36" s="21">
        <f ca="1">ROUND(C29*F36,2)</f>
        <v>0</v>
      </c>
      <c r="D36" s="1250" t="s">
        <v>767</v>
      </c>
      <c r="E36" s="294" t="s">
        <v>708</v>
      </c>
      <c r="F36" s="320">
        <f ca="1">INDIRECT("'数据-取费表'!Ak"&amp;$G$1)</f>
        <v>0</v>
      </c>
      <c r="G36" s="1286"/>
      <c r="H36" s="2468"/>
      <c r="I36" s="1299"/>
      <c r="J36" s="1300"/>
      <c r="K36" s="2325"/>
      <c r="L36" s="2468"/>
      <c r="M36" s="2468"/>
    </row>
    <row r="37" spans="1:18" ht="18" customHeight="1">
      <c r="A37" s="922" t="s">
        <v>437</v>
      </c>
      <c r="B37" s="294" t="s">
        <v>738</v>
      </c>
      <c r="C37" s="21">
        <f ca="1">ROUND(C13*F37,2)</f>
        <v>0</v>
      </c>
      <c r="D37" s="1250" t="s">
        <v>739</v>
      </c>
      <c r="E37" s="294" t="s">
        <v>740</v>
      </c>
      <c r="F37" s="321">
        <f ca="1">INDIRECT("'数据-取费表'!Al"&amp;$G$1)</f>
        <v>0</v>
      </c>
      <c r="G37" s="1286"/>
      <c r="H37" s="2468"/>
      <c r="I37" s="1299"/>
      <c r="J37" s="1300"/>
      <c r="K37" s="2325"/>
      <c r="L37" s="2468"/>
      <c r="M37" s="2468"/>
    </row>
    <row r="38" spans="1:18" ht="18" customHeight="1" thickBot="1">
      <c r="A38" s="1020" t="s">
        <v>680</v>
      </c>
      <c r="B38" s="1021" t="s">
        <v>724</v>
      </c>
      <c r="C38" s="1022">
        <f ca="1">ROUND(C5*F38,2)</f>
        <v>0</v>
      </c>
      <c r="D38" s="1023" t="s">
        <v>744</v>
      </c>
      <c r="E38" s="1021" t="s">
        <v>740</v>
      </c>
      <c r="F38" s="1017">
        <f ca="1">INDIRECT("'数据-取费表'!Am"&amp;$G$1)</f>
        <v>0</v>
      </c>
      <c r="G38" s="1286"/>
      <c r="H38" s="2468"/>
      <c r="I38" s="1299"/>
      <c r="J38" s="1300"/>
      <c r="K38" s="2466"/>
      <c r="L38" s="2468"/>
      <c r="M38" s="2468"/>
    </row>
    <row r="39" spans="1:18" ht="24.6" customHeight="1" thickTop="1">
      <c r="A39" s="1010" t="s">
        <v>394</v>
      </c>
      <c r="B39" s="1025" t="s">
        <v>768</v>
      </c>
      <c r="C39" s="302">
        <f ca="1">C5-C30</f>
        <v>0</v>
      </c>
      <c r="D39" s="1026" t="s">
        <v>769</v>
      </c>
      <c r="E39" s="1027"/>
      <c r="F39" s="1028"/>
      <c r="G39" s="1286"/>
      <c r="H39" s="2468"/>
      <c r="I39" s="1299"/>
      <c r="J39" s="1300"/>
      <c r="K39" s="2466"/>
      <c r="L39" s="2468"/>
      <c r="M39" s="2468"/>
    </row>
    <row r="40" spans="1:18" ht="18" customHeight="1">
      <c r="A40" s="291" t="s">
        <v>395</v>
      </c>
      <c r="B40" s="292" t="s">
        <v>770</v>
      </c>
      <c r="C40" s="293" t="e">
        <f ca="1">ROUND(C39*(1-((1+F42)/(1+F40))^F41)/(F40-F42),0)</f>
        <v>#DIV/0!</v>
      </c>
      <c r="D40" s="316" t="s">
        <v>754</v>
      </c>
      <c r="E40" s="294" t="s">
        <v>755</v>
      </c>
      <c r="F40" s="304">
        <f ca="1">INDIRECT("'数据-取费表'!I"&amp;$G$1)</f>
        <v>0</v>
      </c>
      <c r="G40" s="1286"/>
      <c r="H40" s="1360"/>
      <c r="I40" s="1299"/>
      <c r="J40" s="1300"/>
      <c r="K40" s="2466"/>
      <c r="L40" s="1360"/>
      <c r="M40" s="1360"/>
    </row>
    <row r="41" spans="1:18" ht="18" customHeight="1">
      <c r="A41" s="296"/>
      <c r="B41" s="297"/>
      <c r="C41" s="298"/>
      <c r="D41" s="323" t="s">
        <v>771</v>
      </c>
      <c r="E41" s="294" t="s">
        <v>759</v>
      </c>
      <c r="F41" s="324">
        <f ca="1">IF(INDIRECT("'数据-取费表'!af"&amp;$G$1)=0,INDIRECT("'数据-取费表'!ae"&amp;$G$1),INDIRECT("'数据-取费表'!af"&amp;$G$1))</f>
        <v>0</v>
      </c>
      <c r="G41" s="1286"/>
      <c r="H41" s="121"/>
      <c r="I41" s="1299"/>
      <c r="J41" s="1300"/>
      <c r="K41" s="2325"/>
      <c r="L41" s="121"/>
      <c r="M41" s="121"/>
    </row>
    <row r="42" spans="1:18" ht="18" customHeight="1">
      <c r="A42" s="300"/>
      <c r="B42" s="301"/>
      <c r="C42" s="302"/>
      <c r="D42" s="319"/>
      <c r="E42" s="294" t="s">
        <v>762</v>
      </c>
      <c r="F42" s="304">
        <f ca="1">INDIRECT("'数据-取费表'!v"&amp;$G$1)</f>
        <v>0</v>
      </c>
      <c r="G42" s="1286"/>
      <c r="H42" s="121"/>
      <c r="I42" s="1299"/>
      <c r="J42" s="1300"/>
      <c r="K42" s="2325"/>
      <c r="L42" s="121"/>
      <c r="M42" s="121"/>
    </row>
    <row r="43" spans="1:18" ht="18" customHeight="1" thickBot="1">
      <c r="A43" s="325" t="s">
        <v>396</v>
      </c>
      <c r="B43" s="326" t="s">
        <v>772</v>
      </c>
      <c r="C43" s="327" t="e">
        <f ca="1">ROUND(C40*10000/F43,0)</f>
        <v>#DIV/0!</v>
      </c>
      <c r="D43" s="328" t="s">
        <v>773</v>
      </c>
      <c r="E43" s="329" t="s">
        <v>774</v>
      </c>
      <c r="F43" s="330">
        <f ca="1">INDIRECT("'数据-取费表'!k"&amp;$G$1)</f>
        <v>0</v>
      </c>
      <c r="G43" s="1286"/>
      <c r="H43" s="121"/>
      <c r="I43" s="121"/>
      <c r="J43" s="121"/>
      <c r="K43" s="2325"/>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5"/>
      <c r="O45" s="2472" t="s">
        <v>804</v>
      </c>
      <c r="P45" s="1360"/>
      <c r="Q45" s="1360"/>
      <c r="R45" s="1360"/>
    </row>
    <row r="46" spans="1:18" s="1286" customFormat="1" ht="13.5" thickBot="1">
      <c r="A46" s="1305" t="s">
        <v>805</v>
      </c>
      <c r="C46" s="1306" t="e">
        <f ca="1">C68-C40</f>
        <v>#DIV/0!</v>
      </c>
      <c r="D46" s="1307" t="str">
        <f>C2</f>
        <v>万元</v>
      </c>
      <c r="E46" s="1301"/>
      <c r="F46" s="1301"/>
      <c r="I46" s="1308" t="s">
        <v>806</v>
      </c>
      <c r="J46" s="1309"/>
      <c r="K46" s="1310"/>
      <c r="L46" s="1311" t="e">
        <f ca="1">IF(M47="住宅",0,IF(L48&gt;J51,L60,J60))</f>
        <v>#DIV/0!</v>
      </c>
      <c r="O46" s="1312" t="s">
        <v>807</v>
      </c>
      <c r="P46" s="1313" t="s">
        <v>808</v>
      </c>
      <c r="Q46" s="1314" t="s">
        <v>809</v>
      </c>
      <c r="R46" s="1314" t="s">
        <v>810</v>
      </c>
    </row>
    <row r="47" spans="1:18" s="1286" customFormat="1" ht="13.5" thickBot="1">
      <c r="A47" s="886" t="s">
        <v>683</v>
      </c>
      <c r="B47" s="918" t="s">
        <v>684</v>
      </c>
      <c r="C47" s="1048" t="s">
        <v>685</v>
      </c>
      <c r="D47" s="918" t="s">
        <v>686</v>
      </c>
      <c r="E47" s="989" t="s">
        <v>687</v>
      </c>
      <c r="F47" s="990"/>
      <c r="G47" s="681"/>
      <c r="I47" s="1315" t="s">
        <v>811</v>
      </c>
      <c r="J47" s="1316"/>
      <c r="K47" s="1317" t="s">
        <v>812</v>
      </c>
      <c r="L47" s="1318">
        <f ca="1">INDIRECT("'数据-取费表'!d"&amp;$G$1)</f>
        <v>0</v>
      </c>
      <c r="M47" s="1282" t="str">
        <f>IF(ISNUMBER(FIND("住宅",C1)),"住宅","非住宅")</f>
        <v>非住宅</v>
      </c>
      <c r="O47" s="1319" t="s">
        <v>403</v>
      </c>
      <c r="P47" s="1320" t="s">
        <v>813</v>
      </c>
      <c r="Q47" s="1321" t="e">
        <f ca="1">C40+J29</f>
        <v>#DIV/0!</v>
      </c>
      <c r="R47" s="1321" t="s">
        <v>814</v>
      </c>
    </row>
    <row r="48" spans="1:18" s="1286" customFormat="1" ht="28.5" thickBot="1">
      <c r="A48" s="1041" t="s">
        <v>438</v>
      </c>
      <c r="B48" s="292" t="s">
        <v>688</v>
      </c>
      <c r="C48" s="1262">
        <f ca="1">C49+C53+C55</f>
        <v>0</v>
      </c>
      <c r="D48" s="1043"/>
      <c r="E48" s="1044"/>
      <c r="F48" s="902"/>
      <c r="G48" s="681"/>
      <c r="H48" s="682"/>
      <c r="I48" s="1322" t="s">
        <v>815</v>
      </c>
      <c r="J48" s="1323"/>
      <c r="K48" s="1324" t="s">
        <v>816</v>
      </c>
      <c r="L48" s="1325">
        <f ca="1">INDIRECT("'数据-取费表'!f"&amp;$G$1)</f>
        <v>0</v>
      </c>
      <c r="O48" s="1319" t="s">
        <v>404</v>
      </c>
      <c r="P48" s="1320" t="s">
        <v>817</v>
      </c>
      <c r="Q48" s="1321" t="e">
        <f ca="1">J60</f>
        <v>#DIV/0!</v>
      </c>
      <c r="R48" s="1321" t="s">
        <v>818</v>
      </c>
    </row>
    <row r="49" spans="1:18" s="1286" customFormat="1" ht="13.5" thickBot="1">
      <c r="A49" s="915" t="s">
        <v>439</v>
      </c>
      <c r="B49" s="1273" t="s">
        <v>775</v>
      </c>
      <c r="C49" s="1045">
        <f ca="1">ROUND(F49*F51*F50*(1-F52)/10000,0)</f>
        <v>0</v>
      </c>
      <c r="D49" s="986" t="s">
        <v>2103</v>
      </c>
      <c r="E49" s="1274" t="s">
        <v>776</v>
      </c>
      <c r="F49" s="991"/>
      <c r="H49" s="682"/>
      <c r="I49" s="1322" t="s">
        <v>819</v>
      </c>
      <c r="J49" s="1326"/>
      <c r="K49" s="1324" t="s">
        <v>820</v>
      </c>
      <c r="L49" s="1327"/>
      <c r="O49" s="1328" t="s">
        <v>405</v>
      </c>
      <c r="P49" s="1320" t="s">
        <v>821</v>
      </c>
      <c r="Q49" s="1321">
        <f ca="1">C29</f>
        <v>0</v>
      </c>
      <c r="R49" s="1321" t="s">
        <v>814</v>
      </c>
    </row>
    <row r="50" spans="1:18" s="1286" customFormat="1" ht="13.5" thickBot="1">
      <c r="A50" s="916"/>
      <c r="B50" s="919"/>
      <c r="C50" s="1049"/>
      <c r="D50" s="893"/>
      <c r="E50" s="987" t="s">
        <v>693</v>
      </c>
      <c r="F50" s="988">
        <f ca="1">F7</f>
        <v>0</v>
      </c>
      <c r="H50" s="682"/>
      <c r="I50" s="1322" t="s">
        <v>822</v>
      </c>
      <c r="J50" s="1329">
        <f>SUMPRODUCT((I63:I65=J47)*(J62:L62=J48)*(J63:L65))</f>
        <v>0</v>
      </c>
      <c r="K50" s="1324" t="s">
        <v>823</v>
      </c>
      <c r="L50" s="1327"/>
      <c r="M50" s="1330"/>
      <c r="O50" s="1328" t="s">
        <v>406</v>
      </c>
      <c r="P50" s="1320" t="s">
        <v>824</v>
      </c>
      <c r="Q50" s="1331" t="e">
        <f ca="1">J58</f>
        <v>#DIV/0!</v>
      </c>
      <c r="R50" s="1321"/>
    </row>
    <row r="51" spans="1:18" s="1286" customFormat="1" ht="13.5" thickBot="1">
      <c r="A51" s="917"/>
      <c r="B51" s="919"/>
      <c r="C51" s="920"/>
      <c r="D51" s="893"/>
      <c r="E51" s="921" t="s">
        <v>694</v>
      </c>
      <c r="F51" s="295">
        <f ca="1">F8</f>
        <v>0</v>
      </c>
      <c r="I51" s="1332" t="s">
        <v>825</v>
      </c>
      <c r="J51" s="1325">
        <f>IF(J49="",J50,J49+J50-YEAR('数据-取费表'!B2))</f>
        <v>0</v>
      </c>
      <c r="K51" s="1333" t="s">
        <v>826</v>
      </c>
      <c r="L51" s="1334">
        <f ca="1">ROUND(-PV(INDIRECT("'数据-取费表'!h"&amp;$G$1),J51,(C39-C13*C76),0),0)</f>
        <v>0</v>
      </c>
      <c r="M51" s="1335"/>
      <c r="O51" s="1328" t="s">
        <v>407</v>
      </c>
      <c r="P51" s="1320" t="s">
        <v>827</v>
      </c>
      <c r="Q51" s="1331">
        <f>J52</f>
        <v>0</v>
      </c>
      <c r="R51" s="1321"/>
    </row>
    <row r="52" spans="1:18" s="1286" customFormat="1" ht="13.5" thickBot="1">
      <c r="A52" s="917"/>
      <c r="B52" s="919"/>
      <c r="C52" s="920"/>
      <c r="D52" s="893"/>
      <c r="E52" s="921" t="s">
        <v>695</v>
      </c>
      <c r="F52" s="985"/>
      <c r="I52" s="1336" t="s">
        <v>828</v>
      </c>
      <c r="J52" s="1337"/>
      <c r="K52" s="1336" t="s">
        <v>829</v>
      </c>
      <c r="L52" s="1337"/>
      <c r="O52" s="1328" t="s">
        <v>408</v>
      </c>
      <c r="P52" s="1320" t="s">
        <v>830</v>
      </c>
      <c r="Q52" s="1321">
        <f ca="1">J53</f>
        <v>0</v>
      </c>
      <c r="R52" s="1321" t="s">
        <v>831</v>
      </c>
    </row>
    <row r="53" spans="1:18" s="1286" customFormat="1" ht="24.75" thickBot="1">
      <c r="A53" s="1073" t="s">
        <v>440</v>
      </c>
      <c r="B53" s="1275" t="s">
        <v>696</v>
      </c>
      <c r="C53" s="308">
        <f ca="1">ROUND(IF(F53="押一",C49/12*F11,IF(F53="押二",C49/12*2*F11,IF(F53="押三",C49/12*3*F11,C54*F11))),0)</f>
        <v>0</v>
      </c>
      <c r="D53" s="150" t="s">
        <v>2109</v>
      </c>
      <c r="E53" s="305" t="s">
        <v>697</v>
      </c>
      <c r="F53" s="1047"/>
      <c r="I53" s="1338" t="s">
        <v>832</v>
      </c>
      <c r="J53" s="2000">
        <f ca="1">IF(M47="住宅",IF(D1="——",MAX(J51,L48),MAX(J51,L48-'数据-取费表'!B24)),IF(D1="——",MIN(J51,L48),MIN(J51,L48-'数据-取费表'!B24)))</f>
        <v>0</v>
      </c>
      <c r="K53" s="3442" t="s">
        <v>833</v>
      </c>
      <c r="L53" s="3443"/>
      <c r="O53" s="1319" t="s">
        <v>409</v>
      </c>
      <c r="P53" s="1320" t="s">
        <v>834</v>
      </c>
      <c r="Q53" s="1321" t="e">
        <f ca="1">Q47+Q48</f>
        <v>#DIV/0!</v>
      </c>
      <c r="R53" s="1321" t="s">
        <v>410</v>
      </c>
    </row>
    <row r="54" spans="1:18" s="1286" customFormat="1" ht="13.5" thickBot="1">
      <c r="A54" s="1074"/>
      <c r="B54" s="1269" t="s">
        <v>675</v>
      </c>
      <c r="C54" s="899"/>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835</v>
      </c>
      <c r="P54" s="1283"/>
      <c r="Q54" s="1283"/>
      <c r="R54" s="1283"/>
    </row>
    <row r="55" spans="1:18" s="1286" customFormat="1" ht="13.5" thickBot="1">
      <c r="A55" s="1014" t="s">
        <v>437</v>
      </c>
      <c r="B55" s="1271" t="s">
        <v>699</v>
      </c>
      <c r="C55" s="1015"/>
      <c r="D55" s="150"/>
      <c r="E55" s="1276"/>
      <c r="F55" s="1339"/>
      <c r="I55" s="1342" t="s">
        <v>836</v>
      </c>
      <c r="J55" s="1343" t="e">
        <f ca="1">ROUND(IF(J47="钢混",J57/J50,1-(1-2%)*(J50-J57)/J50),3)</f>
        <v>#DIV/0!</v>
      </c>
      <c r="K55" s="1344" t="s">
        <v>837</v>
      </c>
      <c r="L55" s="1345"/>
      <c r="O55" s="1312" t="s">
        <v>807</v>
      </c>
      <c r="P55" s="1313" t="s">
        <v>808</v>
      </c>
      <c r="Q55" s="1314" t="s">
        <v>809</v>
      </c>
      <c r="R55" s="1314" t="s">
        <v>810</v>
      </c>
    </row>
    <row r="56" spans="1:18" s="1286" customFormat="1" ht="25.5" thickTop="1" thickBot="1">
      <c r="A56" s="897">
        <v>2</v>
      </c>
      <c r="B56" s="898" t="s">
        <v>700</v>
      </c>
      <c r="C56" s="224">
        <f ca="1">C13</f>
        <v>0</v>
      </c>
      <c r="D56" s="1346"/>
      <c r="E56" s="1347"/>
      <c r="F56" s="1339"/>
      <c r="I56" s="1348" t="s">
        <v>838</v>
      </c>
      <c r="J56" s="1349"/>
      <c r="K56" s="1322" t="s">
        <v>839</v>
      </c>
      <c r="L56" s="1325">
        <f ca="1">IF(L48&lt;J51,"——",L48-J53)</f>
        <v>0</v>
      </c>
      <c r="O56" s="1319" t="s">
        <v>403</v>
      </c>
      <c r="P56" s="1320" t="s">
        <v>813</v>
      </c>
      <c r="Q56" s="1321" t="e">
        <f ca="1">C40+J29</f>
        <v>#DIV/0!</v>
      </c>
      <c r="R56" s="1321" t="s">
        <v>814</v>
      </c>
    </row>
    <row r="57" spans="1:18" s="1286" customFormat="1" ht="24.75" thickBot="1">
      <c r="A57" s="1350"/>
      <c r="B57" s="890" t="s">
        <v>763</v>
      </c>
      <c r="C57" s="230">
        <f ca="1">C29</f>
        <v>0</v>
      </c>
      <c r="D57" s="1351"/>
      <c r="E57" s="1352"/>
      <c r="F57" s="1353"/>
      <c r="I57" s="1354" t="s">
        <v>840</v>
      </c>
      <c r="J57" s="1355">
        <f ca="1">IF(OR(M47="住宅",J51&lt;L48,J56="是"),"——",J51-L48)</f>
        <v>0</v>
      </c>
      <c r="K57" s="1322" t="s">
        <v>841</v>
      </c>
      <c r="L57" s="1325">
        <f ca="1">IF(L48&lt;J51,"——",IF(L55="比较法",L49,IF(L55="基准地价",L50,L51)))</f>
        <v>0</v>
      </c>
      <c r="O57" s="1319" t="s">
        <v>404</v>
      </c>
      <c r="P57" s="1320" t="s">
        <v>842</v>
      </c>
      <c r="Q57" s="1321" t="e">
        <f ca="1">L60</f>
        <v>#DIV/0!</v>
      </c>
      <c r="R57" s="1321" t="s">
        <v>843</v>
      </c>
    </row>
    <row r="58" spans="1:18" s="1286" customFormat="1" ht="24.75" thickBot="1">
      <c r="A58" s="307" t="s">
        <v>393</v>
      </c>
      <c r="B58" s="898" t="s">
        <v>710</v>
      </c>
      <c r="C58" s="308">
        <f ca="1">ROUND(C59+C64+C65+C66,0)</f>
        <v>0</v>
      </c>
      <c r="D58" s="900" t="s">
        <v>711</v>
      </c>
      <c r="E58" s="901"/>
      <c r="F58" s="902"/>
      <c r="I58" s="1354" t="s">
        <v>844</v>
      </c>
      <c r="J58" s="1356" t="e">
        <f ca="1">IF(J55&lt;0.4,0.4,J55)</f>
        <v>#DIV/0!</v>
      </c>
      <c r="K58" s="1333" t="s">
        <v>845</v>
      </c>
      <c r="L58" s="1325" t="e">
        <f ca="1">ROUND(POWER(1+L52,L47-L48)*(POWER(1+L52,L48)-1)/(POWER(1+L52,L47)-1),4)</f>
        <v>#DIV/0!</v>
      </c>
      <c r="O58" s="1328" t="s">
        <v>405</v>
      </c>
      <c r="P58" s="1320" t="s">
        <v>846</v>
      </c>
      <c r="Q58" s="1321">
        <f>IF(L55="比较法",L49,IF(L55="基准地价",L50,0))</f>
        <v>0</v>
      </c>
      <c r="R58" s="1321" t="s">
        <v>814</v>
      </c>
    </row>
    <row r="59" spans="1:18" s="1286" customFormat="1" ht="24.75" thickBot="1">
      <c r="A59" s="922" t="s">
        <v>398</v>
      </c>
      <c r="B59" s="890" t="s">
        <v>715</v>
      </c>
      <c r="C59" s="2134">
        <f ca="1">ROUND(IF(AND(项目基本情况!B11="自然人",项目基本情况!B10="北京市"),C49*F59/(1+'数据-取费表'!C42),C60+C61+C62),0)</f>
        <v>0</v>
      </c>
      <c r="D59" s="903" t="s">
        <v>716</v>
      </c>
      <c r="E59" s="904" t="s">
        <v>717</v>
      </c>
      <c r="F59" s="2133" t="str">
        <f>IF(项目基本情况!B11="企业","——",IF('数据-取费表'!B10="住宅",IF(F49*F50*F51/12/(1+'数据-取费表'!F30)&gt;100000,4%,2.5%),IF(F49*F50*F51/12/(1+'数据-取费表'!F30)&gt;100000,12%,7%)))</f>
        <v>——</v>
      </c>
      <c r="I59" s="1354" t="s">
        <v>847</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848</v>
      </c>
      <c r="Q59" s="1331">
        <f>L52</f>
        <v>0</v>
      </c>
      <c r="R59" s="1321"/>
    </row>
    <row r="60" spans="1:18" s="1286" customFormat="1" ht="16.5" thickBot="1">
      <c r="A60" s="922" t="s">
        <v>397</v>
      </c>
      <c r="B60" s="890" t="s">
        <v>719</v>
      </c>
      <c r="C60" s="21">
        <f ca="1">IF(项目基本情况!B11="自然人","——",ROUND(C48*F60/(1+'数据-取费表'!C42),2))</f>
        <v>0</v>
      </c>
      <c r="D60" s="904" t="s">
        <v>720</v>
      </c>
      <c r="E60" s="890" t="s">
        <v>708</v>
      </c>
      <c r="F60" s="322">
        <f t="shared" ref="F60:F66" si="0">F32</f>
        <v>5.6000000000000001E-2</v>
      </c>
      <c r="I60" s="1357" t="s">
        <v>849</v>
      </c>
      <c r="J60" s="1358" t="e">
        <f ca="1">IF(OR(M47="住宅",J51&lt;L48,J56="是"),"0",ROUND(J59/(1+J52)^J53,0))</f>
        <v>#DIV/0!</v>
      </c>
      <c r="K60" s="1359" t="s">
        <v>850</v>
      </c>
      <c r="L60" s="1358" t="e">
        <f ca="1">IF(OR(M47="住宅",L48&lt;J51),0,ROUND(L57*(L58/L59-1),0))</f>
        <v>#DIV/0!</v>
      </c>
      <c r="O60" s="1328" t="s">
        <v>407</v>
      </c>
      <c r="P60" s="1320" t="s">
        <v>851</v>
      </c>
      <c r="Q60" s="1321" t="e">
        <f ca="1">L58</f>
        <v>#DIV/0!</v>
      </c>
      <c r="R60" s="1321" t="s">
        <v>852</v>
      </c>
    </row>
    <row r="61" spans="1:18" s="1286" customFormat="1" ht="13.5" thickBot="1">
      <c r="A61" s="922" t="s">
        <v>777</v>
      </c>
      <c r="B61" s="890" t="s">
        <v>778</v>
      </c>
      <c r="C61" s="21">
        <f ca="1">IF(项目基本情况!B11="自然人","——",IF(D61="按租金收入计税",ROUND(C49*F61/(1+'数据-取费表'!C42),2),IF(D61="按房产原值计税",ROUND(C57*F61*0.7,2),INDIRECT("'数据-取费表'!Aj"&amp;$G$1))))</f>
        <v>0</v>
      </c>
      <c r="D61" s="1272" t="s">
        <v>3319</v>
      </c>
      <c r="E61" s="890" t="s">
        <v>779</v>
      </c>
      <c r="F61" s="314">
        <f t="shared" si="0"/>
        <v>0.12</v>
      </c>
      <c r="I61" s="1360"/>
      <c r="J61" s="1360"/>
      <c r="K61" s="1360"/>
      <c r="L61" s="1360"/>
      <c r="O61" s="1328" t="s">
        <v>408</v>
      </c>
      <c r="P61" s="1320" t="str">
        <f>K59</f>
        <v>建筑物剩余耐用年限下的土地年期修正系数Kn</v>
      </c>
      <c r="Q61" s="1321" t="e">
        <f ca="1">L59</f>
        <v>#DIV/0!</v>
      </c>
      <c r="R61" s="1321" t="s">
        <v>853</v>
      </c>
    </row>
    <row r="62" spans="1:18" s="1286" customFormat="1" ht="13.5" thickBot="1">
      <c r="A62" s="922" t="s">
        <v>780</v>
      </c>
      <c r="B62" s="889" t="s">
        <v>781</v>
      </c>
      <c r="C62" s="22">
        <f ca="1">IF(项目基本情况!B11="自然人","——",ROUND(F62*F63/10000,2))</f>
        <v>0</v>
      </c>
      <c r="D62" s="905" t="s">
        <v>782</v>
      </c>
      <c r="E62" s="890" t="s">
        <v>783</v>
      </c>
      <c r="F62" s="317">
        <f t="shared" si="0"/>
        <v>0</v>
      </c>
      <c r="I62" s="1361" t="s">
        <v>854</v>
      </c>
      <c r="J62" s="610" t="s">
        <v>855</v>
      </c>
      <c r="K62" s="610" t="s">
        <v>856</v>
      </c>
      <c r="L62" s="610" t="s">
        <v>857</v>
      </c>
      <c r="M62" s="1362" t="s">
        <v>858</v>
      </c>
      <c r="O62" s="1319" t="s">
        <v>409</v>
      </c>
      <c r="P62" s="1320" t="s">
        <v>859</v>
      </c>
      <c r="Q62" s="1321" t="e">
        <f ca="1">Q56+Q57</f>
        <v>#DIV/0!</v>
      </c>
      <c r="R62" s="1321" t="s">
        <v>410</v>
      </c>
    </row>
    <row r="63" spans="1:18" s="1286" customFormat="1" ht="13.5" thickBot="1">
      <c r="A63" s="318"/>
      <c r="B63" s="896"/>
      <c r="C63" s="26"/>
      <c r="D63" s="906"/>
      <c r="E63" s="890" t="s">
        <v>784</v>
      </c>
      <c r="F63" s="295">
        <f t="shared" ca="1" si="0"/>
        <v>0</v>
      </c>
      <c r="I63" s="1361" t="s">
        <v>860</v>
      </c>
      <c r="J63" s="610">
        <v>70</v>
      </c>
      <c r="K63" s="610">
        <v>50</v>
      </c>
      <c r="L63" s="610">
        <v>80</v>
      </c>
      <c r="M63" s="1363">
        <v>0.02</v>
      </c>
      <c r="O63" s="1304" t="s">
        <v>861</v>
      </c>
      <c r="P63" s="1283"/>
      <c r="Q63" s="1283"/>
      <c r="R63" s="1283"/>
    </row>
    <row r="64" spans="1:18" s="1286" customFormat="1" ht="13.5" thickBot="1">
      <c r="A64" s="922" t="s">
        <v>785</v>
      </c>
      <c r="B64" s="890" t="s">
        <v>786</v>
      </c>
      <c r="C64" s="21">
        <f ca="1">ROUND(C57*F64,2)</f>
        <v>0</v>
      </c>
      <c r="D64" s="904" t="s">
        <v>787</v>
      </c>
      <c r="E64" s="890" t="s">
        <v>779</v>
      </c>
      <c r="F64" s="320">
        <f t="shared" ca="1" si="0"/>
        <v>0</v>
      </c>
      <c r="I64" s="1361" t="s">
        <v>862</v>
      </c>
      <c r="J64" s="610">
        <v>50</v>
      </c>
      <c r="K64" s="610">
        <v>35</v>
      </c>
      <c r="L64" s="610">
        <v>60</v>
      </c>
      <c r="M64" s="1362">
        <v>0</v>
      </c>
      <c r="O64" s="1312" t="s">
        <v>807</v>
      </c>
      <c r="P64" s="1313" t="s">
        <v>808</v>
      </c>
      <c r="Q64" s="1314" t="s">
        <v>809</v>
      </c>
      <c r="R64" s="1314" t="s">
        <v>810</v>
      </c>
    </row>
    <row r="65" spans="1:18" s="1286" customFormat="1" ht="13.5" thickBot="1">
      <c r="A65" s="922" t="s">
        <v>788</v>
      </c>
      <c r="B65" s="890" t="s">
        <v>738</v>
      </c>
      <c r="C65" s="21">
        <f ca="1">ROUND(C56*F65,2)</f>
        <v>0</v>
      </c>
      <c r="D65" s="904" t="s">
        <v>739</v>
      </c>
      <c r="E65" s="890" t="s">
        <v>740</v>
      </c>
      <c r="F65" s="321">
        <f t="shared" ca="1" si="0"/>
        <v>0</v>
      </c>
      <c r="I65" s="1361" t="s">
        <v>863</v>
      </c>
      <c r="J65" s="610">
        <v>40</v>
      </c>
      <c r="K65" s="610">
        <v>30</v>
      </c>
      <c r="L65" s="610">
        <v>50</v>
      </c>
      <c r="M65" s="1363">
        <v>0.02</v>
      </c>
      <c r="O65" s="1319" t="s">
        <v>403</v>
      </c>
      <c r="P65" s="1320" t="s">
        <v>864</v>
      </c>
      <c r="Q65" s="1321" t="e">
        <f ca="1">C40+J29</f>
        <v>#DIV/0!</v>
      </c>
      <c r="R65" s="1321" t="s">
        <v>814</v>
      </c>
    </row>
    <row r="66" spans="1:18" s="1286" customFormat="1" ht="16.5" thickBot="1">
      <c r="A66" s="922" t="s">
        <v>789</v>
      </c>
      <c r="B66" s="890" t="s">
        <v>724</v>
      </c>
      <c r="C66" s="21">
        <f ca="1">ROUND(C48*F66,2)</f>
        <v>0</v>
      </c>
      <c r="D66" s="904" t="s">
        <v>790</v>
      </c>
      <c r="E66" s="890" t="s">
        <v>708</v>
      </c>
      <c r="F66" s="304">
        <f t="shared" ca="1" si="0"/>
        <v>0</v>
      </c>
      <c r="O66" s="1319" t="s">
        <v>404</v>
      </c>
      <c r="P66" s="1320" t="s">
        <v>842</v>
      </c>
      <c r="Q66" s="1321" t="e">
        <f ca="1">L60</f>
        <v>#DIV/0!</v>
      </c>
      <c r="R66" s="1321" t="s">
        <v>865</v>
      </c>
    </row>
    <row r="67" spans="1:18" s="1286" customFormat="1" ht="16.5" thickBot="1">
      <c r="A67" s="897" t="s">
        <v>394</v>
      </c>
      <c r="B67" s="907" t="s">
        <v>748</v>
      </c>
      <c r="C67" s="308">
        <f ca="1">C48-C58</f>
        <v>0</v>
      </c>
      <c r="D67" s="903" t="s">
        <v>749</v>
      </c>
      <c r="E67" s="908"/>
      <c r="F67" s="909"/>
      <c r="O67" s="1328" t="s">
        <v>405</v>
      </c>
      <c r="P67" s="1320" t="s">
        <v>846</v>
      </c>
      <c r="Q67" s="1364">
        <f ca="1">L51</f>
        <v>0</v>
      </c>
      <c r="R67" s="1321" t="s">
        <v>866</v>
      </c>
    </row>
    <row r="68" spans="1:18" s="1286" customFormat="1" ht="16.5" thickBot="1">
      <c r="A68" s="887" t="s">
        <v>395</v>
      </c>
      <c r="B68" s="888" t="s">
        <v>770</v>
      </c>
      <c r="C68" s="293" t="e">
        <f ca="1">ROUND(C67*(1-((1+F70)/(1+F68))^F69)/(F68-F70),0)</f>
        <v>#DIV/0!</v>
      </c>
      <c r="D68" s="905" t="s">
        <v>754</v>
      </c>
      <c r="E68" s="890" t="s">
        <v>755</v>
      </c>
      <c r="F68" s="304">
        <f ca="1">F40</f>
        <v>0</v>
      </c>
      <c r="O68" s="1328" t="s">
        <v>406</v>
      </c>
      <c r="P68" s="1365" t="s">
        <v>867</v>
      </c>
      <c r="Q68" s="1321">
        <f ca="1">ROUND(Q69-Q70*Q71,0)</f>
        <v>0</v>
      </c>
      <c r="R68" s="1321" t="s">
        <v>414</v>
      </c>
    </row>
    <row r="69" spans="1:18" s="1286" customFormat="1" ht="13.5" thickBot="1">
      <c r="A69" s="891"/>
      <c r="B69" s="892"/>
      <c r="C69" s="298"/>
      <c r="D69" s="910" t="s">
        <v>758</v>
      </c>
      <c r="E69" s="890" t="s">
        <v>759</v>
      </c>
      <c r="F69" s="324">
        <f ca="1">F41</f>
        <v>0</v>
      </c>
      <c r="O69" s="1328" t="s">
        <v>411</v>
      </c>
      <c r="P69" s="1365" t="s">
        <v>868</v>
      </c>
      <c r="Q69" s="1321">
        <f ca="1">C39</f>
        <v>0</v>
      </c>
      <c r="R69" s="1321" t="s">
        <v>814</v>
      </c>
    </row>
    <row r="70" spans="1:18" s="1286" customFormat="1" ht="13.5" thickBot="1">
      <c r="A70" s="894"/>
      <c r="B70" s="895"/>
      <c r="C70" s="302"/>
      <c r="D70" s="906"/>
      <c r="E70" s="890" t="s">
        <v>762</v>
      </c>
      <c r="F70" s="985"/>
      <c r="O70" s="1328" t="s">
        <v>412</v>
      </c>
      <c r="P70" s="1365" t="s">
        <v>869</v>
      </c>
      <c r="Q70" s="1321">
        <f ca="1">C13</f>
        <v>0</v>
      </c>
      <c r="R70" s="1321" t="s">
        <v>814</v>
      </c>
    </row>
    <row r="71" spans="1:18" s="1286" customFormat="1" ht="13.5" thickBot="1">
      <c r="A71" s="911" t="s">
        <v>396</v>
      </c>
      <c r="B71" s="912" t="s">
        <v>772</v>
      </c>
      <c r="C71" s="327" t="e">
        <f ca="1">ROUND(C68*10000/F71,0)</f>
        <v>#DIV/0!</v>
      </c>
      <c r="D71" s="913" t="s">
        <v>773</v>
      </c>
      <c r="E71" s="914" t="s">
        <v>774</v>
      </c>
      <c r="F71" s="330">
        <f ca="1">F43</f>
        <v>0</v>
      </c>
      <c r="O71" s="1328" t="s">
        <v>413</v>
      </c>
      <c r="P71" s="1365" t="s">
        <v>870</v>
      </c>
      <c r="Q71" s="1331">
        <f ca="1">C76</f>
        <v>0</v>
      </c>
      <c r="R71" s="1321"/>
    </row>
    <row r="72" spans="1:18" s="1286" customFormat="1" ht="13.5" thickBot="1">
      <c r="B72" s="685"/>
      <c r="C72" s="685"/>
      <c r="O72" s="1328" t="s">
        <v>407</v>
      </c>
      <c r="P72" s="1320" t="s">
        <v>848</v>
      </c>
      <c r="Q72" s="1331">
        <f>L52</f>
        <v>0</v>
      </c>
      <c r="R72" s="1321"/>
    </row>
    <row r="73" spans="1:18" ht="16.5" thickBot="1">
      <c r="A73" s="1286"/>
      <c r="B73" s="685"/>
      <c r="C73" s="685"/>
      <c r="D73" s="1286"/>
      <c r="E73" s="1286"/>
      <c r="F73" s="1286"/>
      <c r="O73" s="1328" t="s">
        <v>408</v>
      </c>
      <c r="P73" s="1320" t="s">
        <v>851</v>
      </c>
      <c r="Q73" s="1321" t="e">
        <f ca="1">L58</f>
        <v>#DIV/0!</v>
      </c>
      <c r="R73" s="1321" t="s">
        <v>852</v>
      </c>
    </row>
    <row r="74" spans="1:18" ht="13.5" thickBot="1">
      <c r="A74" s="1286"/>
      <c r="B74" s="265" t="s">
        <v>871</v>
      </c>
      <c r="C74" s="1367"/>
      <c r="D74" s="1286"/>
      <c r="E74" s="1286"/>
      <c r="F74" s="1286"/>
      <c r="O74" s="1328" t="s">
        <v>415</v>
      </c>
      <c r="P74" s="1320" t="str">
        <f>K59</f>
        <v>建筑物剩余耐用年限下的土地年期修正系数Kn</v>
      </c>
      <c r="Q74" s="1321" t="e">
        <f ca="1">L59</f>
        <v>#DIV/0!</v>
      </c>
      <c r="R74" s="1321" t="s">
        <v>853</v>
      </c>
    </row>
    <row r="75" spans="1:18" ht="13.5" thickBot="1">
      <c r="A75" s="1286"/>
      <c r="B75" s="331" t="s">
        <v>791</v>
      </c>
      <c r="C75" s="332">
        <f ca="1">ROUND(C13*C76,0)</f>
        <v>0</v>
      </c>
      <c r="D75" s="1286"/>
      <c r="E75" s="1286"/>
      <c r="F75" s="1286"/>
      <c r="K75" s="1303"/>
      <c r="L75" s="1286"/>
      <c r="O75" s="1319" t="s">
        <v>409</v>
      </c>
      <c r="P75" s="1320" t="s">
        <v>834</v>
      </c>
      <c r="Q75" s="1321" t="e">
        <f ca="1">Q65+Q66</f>
        <v>#DIV/0!</v>
      </c>
      <c r="R75" s="1321" t="s">
        <v>410</v>
      </c>
    </row>
    <row r="76" spans="1:18">
      <c r="B76" s="333" t="s">
        <v>792</v>
      </c>
      <c r="C76" s="334">
        <f ca="1">INDIRECT("'数据-取费表'!j"&amp;$G$1)</f>
        <v>0</v>
      </c>
      <c r="I76" s="1286"/>
      <c r="J76" s="1286"/>
      <c r="K76" s="1303"/>
      <c r="L76" s="1286"/>
    </row>
    <row r="77" spans="1:18">
      <c r="B77" s="335" t="s">
        <v>793</v>
      </c>
      <c r="C77" s="336"/>
      <c r="I77" s="1286"/>
      <c r="J77" s="1286"/>
      <c r="K77" s="1303"/>
      <c r="L77" s="1286"/>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J11">
    <cfRule type="expression" dxfId="156" priority="2">
      <formula>$M$10="自定义"</formula>
    </cfRule>
  </conditionalFormatting>
  <conditionalFormatting sqref="K55 K60">
    <cfRule type="expression" dxfId="15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H1" zoomScaleNormal="80" zoomScaleSheetLayoutView="100" workbookViewId="0">
      <selection activeCell="V2" sqref="V2"/>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2" customWidth="1"/>
    <col min="33" max="36" width="9.375" style="1889" customWidth="1"/>
    <col min="37" max="38" width="9.375" style="1839" customWidth="1"/>
    <col min="39" max="16384" width="12" style="1839"/>
  </cols>
  <sheetData>
    <row r="1" spans="1:36" ht="28.5">
      <c r="A1" s="188" t="s">
        <v>1922</v>
      </c>
      <c r="B1" s="189"/>
      <c r="C1" s="193" t="s">
        <v>1923</v>
      </c>
      <c r="D1" s="333">
        <f>SUM(D33:D34,D37:D42)</f>
        <v>0</v>
      </c>
      <c r="E1" s="1836"/>
      <c r="F1" s="1836"/>
      <c r="G1" s="1836"/>
      <c r="H1" s="1836"/>
      <c r="I1" s="1836"/>
      <c r="J1" s="1836"/>
      <c r="K1" s="1050"/>
      <c r="L1" s="1837" t="s">
        <v>1924</v>
      </c>
      <c r="M1" s="804">
        <f>SUMPRODUCT((区片价!B5:B9=I2)*(区片价!C3:G3=E2)*(区片价!C5:G9))</f>
        <v>0</v>
      </c>
      <c r="N1" s="807">
        <f>SUMPRODUCT((因素修正幅度!B5:B9=I2)*(因素修正幅度!C3:G3=E2)*(因素修正幅度!C5:G9))</f>
        <v>0</v>
      </c>
      <c r="O1" s="1838"/>
      <c r="P1" s="1838"/>
      <c r="Q1" s="1050"/>
      <c r="R1" s="1123" t="s">
        <v>1925</v>
      </c>
      <c r="S1" s="1123" t="s">
        <v>1926</v>
      </c>
      <c r="T1" s="1123" t="s">
        <v>1927</v>
      </c>
      <c r="U1" s="1123" t="s">
        <v>1928</v>
      </c>
      <c r="V1" s="1123" t="s">
        <v>1929</v>
      </c>
      <c r="W1" s="1127"/>
      <c r="X1" s="1127"/>
      <c r="Y1" s="1127"/>
      <c r="Z1" s="1127"/>
      <c r="AA1" s="1127"/>
      <c r="AB1" s="1127"/>
      <c r="AC1" s="1128"/>
      <c r="AD1" s="1129"/>
      <c r="AE1" s="1129"/>
      <c r="AF1" s="1129"/>
      <c r="AG1" s="1129"/>
      <c r="AH1" s="1129"/>
      <c r="AI1" s="1129"/>
      <c r="AJ1" s="1130"/>
    </row>
    <row r="2" spans="1:36" ht="15.75">
      <c r="A2" s="193" t="s">
        <v>1930</v>
      </c>
      <c r="B2" s="196">
        <f>C30</f>
        <v>4807</v>
      </c>
      <c r="C2" s="1840" t="s">
        <v>1931</v>
      </c>
      <c r="D2" s="162" t="s">
        <v>1932</v>
      </c>
      <c r="E2" s="3115" t="s">
        <v>669</v>
      </c>
      <c r="F2" s="162" t="s">
        <v>1933</v>
      </c>
      <c r="G2" s="163" t="str">
        <f>IF(E2="商业",项目基本情况!B37,IF(E2="办公",项目基本情况!C37,IF(E2="住宅",项目基本情况!D37,IF(E2="工业",项目基本情况!E37,项目基本情况!F37))))</f>
        <v>五级</v>
      </c>
      <c r="H2" s="162" t="s">
        <v>1934</v>
      </c>
      <c r="I2" s="163" t="str">
        <f>IF(E2="商业",项目基本情况!B38,IF(E2="办公",项目基本情况!C38,IF(E2="住宅",项目基本情况!D38,IF(E2="工业",项目基本情况!E38,项目基本情况!F38))))</f>
        <v>Ⅴ-03</v>
      </c>
      <c r="J2" s="1836"/>
      <c r="K2" s="1050"/>
      <c r="L2" s="1841" t="s">
        <v>1935</v>
      </c>
      <c r="M2" s="805">
        <f>SUMPRODUCT((区片价!B10:B29=I2)*(区片价!C3:G3=E2)*(区片价!C10:G29))</f>
        <v>0</v>
      </c>
      <c r="N2" s="807">
        <f>SUMPRODUCT((因素修正幅度!B10:B29=I2)*(因素修正幅度!C3:G3=E2)*(因素修正幅度!C10:G29))</f>
        <v>0</v>
      </c>
      <c r="O2" s="1050"/>
      <c r="P2" s="1050"/>
      <c r="Q2" s="1050"/>
      <c r="R2" s="1123">
        <v>1</v>
      </c>
      <c r="S2" s="3058">
        <f>ROUND(SUMPRODUCT((B106:B110=R2)*(C105:N105=G2)*(C106:N110)),4)</f>
        <v>1.5019</v>
      </c>
      <c r="T2" s="3058">
        <f t="shared" ref="T2:T16" si="0">ROUND($C$5*$C$22*$C$23*$C$24*S2*$C$28,0)</f>
        <v>16258</v>
      </c>
      <c r="U2" s="1124">
        <f>'数据-汇总表'!F19</f>
        <v>617.69000000000005</v>
      </c>
      <c r="V2" s="3058">
        <f>ROUND(T2*U2/10000,0)</f>
        <v>1004</v>
      </c>
      <c r="W2" s="1127"/>
      <c r="X2" s="1127"/>
      <c r="Y2" s="1127"/>
      <c r="Z2" s="1127"/>
      <c r="AA2" s="1127"/>
      <c r="AB2" s="1127"/>
      <c r="AC2" s="1128"/>
      <c r="AD2" s="1129"/>
      <c r="AE2" s="1129"/>
      <c r="AF2" s="1129"/>
      <c r="AG2" s="1129"/>
      <c r="AH2" s="1129"/>
      <c r="AI2" s="1129"/>
      <c r="AJ2" s="1130"/>
    </row>
    <row r="3" spans="1:36" ht="15.75">
      <c r="A3" s="195" t="s">
        <v>1936</v>
      </c>
      <c r="B3" s="196" t="e">
        <f>ROUND(B2*10000/D1,0)</f>
        <v>#DIV/0!</v>
      </c>
      <c r="C3" s="1840" t="s">
        <v>1937</v>
      </c>
      <c r="D3" s="162" t="s">
        <v>1938</v>
      </c>
      <c r="E3" s="3113" t="s">
        <v>2433</v>
      </c>
      <c r="F3" s="1842" t="s">
        <v>3526</v>
      </c>
      <c r="G3" s="702">
        <f>IF(F3="宗地容积率",'数据-汇总表'!I4,IF(F3="估价对象容积率",'数据-汇总表'!I6,'数据-汇总表'!I7))</f>
        <v>2.5</v>
      </c>
      <c r="H3" s="162" t="s">
        <v>1939</v>
      </c>
      <c r="I3" s="723">
        <v>2</v>
      </c>
      <c r="J3" s="1836" t="s">
        <v>1940</v>
      </c>
      <c r="K3" s="1050"/>
      <c r="L3" s="1841" t="s">
        <v>1941</v>
      </c>
      <c r="M3" s="805">
        <f>SUMPRODUCT((区片价!B30:B54=I2)*(区片价!C3:G3=E2)*(区片价!C30:G54))</f>
        <v>0</v>
      </c>
      <c r="N3" s="807">
        <f>SUMPRODUCT((因素修正幅度!B30:B54=I2)*(因素修正幅度!C3:G3=E2)*(因素修正幅度!C30:G54))</f>
        <v>0</v>
      </c>
      <c r="O3" s="1050"/>
      <c r="P3" s="1050"/>
      <c r="Q3" s="1050"/>
      <c r="R3" s="1123">
        <v>2</v>
      </c>
      <c r="S3" s="3058">
        <f>ROUND(SUMPRODUCT((B106:B110=R3)*(C105:N105=G2)*(C106:N110)),4)</f>
        <v>1.1838</v>
      </c>
      <c r="T3" s="3058">
        <f t="shared" si="0"/>
        <v>12815</v>
      </c>
      <c r="U3" s="1124">
        <f>'数据-汇总表'!F21</f>
        <v>1608.26</v>
      </c>
      <c r="V3" s="3058">
        <f t="shared" ref="V3:V16" si="1">ROUND(T3*U3/10000,0)</f>
        <v>2061</v>
      </c>
      <c r="W3" s="1127"/>
      <c r="X3" s="1127"/>
      <c r="Y3" s="1127"/>
      <c r="Z3" s="1127"/>
      <c r="AA3" s="1127"/>
      <c r="AB3" s="1127"/>
      <c r="AC3" s="1128"/>
      <c r="AD3" s="1129"/>
      <c r="AE3" s="1129"/>
      <c r="AF3" s="1129"/>
      <c r="AG3" s="1129"/>
      <c r="AH3" s="1129"/>
      <c r="AI3" s="1129"/>
      <c r="AJ3" s="1130"/>
    </row>
    <row r="4" spans="1:36" ht="15.75">
      <c r="A4" s="3454"/>
      <c r="B4" s="3455"/>
      <c r="C4" s="3455"/>
      <c r="D4" s="3456"/>
      <c r="E4" s="3456"/>
      <c r="F4" s="3456"/>
      <c r="G4" s="3456"/>
      <c r="H4" s="3456"/>
      <c r="I4" s="3456"/>
      <c r="J4" s="3457"/>
      <c r="K4" s="1050"/>
      <c r="L4" s="1841" t="s">
        <v>1942</v>
      </c>
      <c r="M4" s="805">
        <f>SUMPRODUCT((区片价!B55:B86=I2)*(区片价!C3:G3=E2)*(区片价!C55:G86))</f>
        <v>0</v>
      </c>
      <c r="N4" s="807">
        <f>SUMPRODUCT((因素修正幅度!B55:B86=I2)*(因素修正幅度!C3:G3=E2)*(因素修正幅度!C55:G86))</f>
        <v>0</v>
      </c>
      <c r="O4" s="1050"/>
      <c r="P4" s="1050"/>
      <c r="Q4" s="1050"/>
      <c r="R4" s="1123">
        <v>3</v>
      </c>
      <c r="S4" s="3058">
        <f>ROUND(SUMPRODUCT((B106:B110=R4)*(C105:N105=G2)*(C106:N110)),4)</f>
        <v>1.0004999999999999</v>
      </c>
      <c r="T4" s="3058">
        <f t="shared" si="0"/>
        <v>10831</v>
      </c>
      <c r="U4" s="1124">
        <f>'数据-汇总表'!F22</f>
        <v>1608.26</v>
      </c>
      <c r="V4" s="3058">
        <f t="shared" si="1"/>
        <v>1742</v>
      </c>
      <c r="W4" s="1127"/>
      <c r="X4" s="1127"/>
      <c r="Y4" s="1127"/>
      <c r="Z4" s="1127"/>
      <c r="AA4" s="1127"/>
      <c r="AB4" s="1127"/>
      <c r="AC4" s="1128"/>
      <c r="AD4" s="1129"/>
      <c r="AE4" s="1129"/>
      <c r="AF4" s="1129"/>
      <c r="AG4" s="1129"/>
      <c r="AH4" s="1129"/>
      <c r="AI4" s="1129"/>
      <c r="AJ4" s="1130"/>
    </row>
    <row r="5" spans="1:36" s="1852" customFormat="1" ht="15.75" thickBot="1">
      <c r="A5" s="1843" t="s">
        <v>362</v>
      </c>
      <c r="B5" s="1844" t="s">
        <v>1943</v>
      </c>
      <c r="C5" s="703">
        <f>ROUND(IF(E2="商业",C6*C7*C17+C20,(IF(E2="住宅",C6*C13*C17+C20,IF(E2="办公",C6*C12*C17+C20,C6+C20)))),0)</f>
        <v>15600</v>
      </c>
      <c r="D5" s="1246">
        <f>ROUND(C6*C17+C20,0)</f>
        <v>15600</v>
      </c>
      <c r="E5" s="1246"/>
      <c r="F5" s="1845"/>
      <c r="G5" s="1846"/>
      <c r="H5" s="1846"/>
      <c r="I5" s="1846"/>
      <c r="J5" s="1847"/>
      <c r="K5" s="1848"/>
      <c r="L5" s="1841" t="s">
        <v>1944</v>
      </c>
      <c r="M5" s="805">
        <f>SUMPRODUCT((区片价!B87:B126=I2)*(区片价!C3:G3=E2)*(区片价!C87:G126))</f>
        <v>15600</v>
      </c>
      <c r="N5" s="807">
        <f>SUMPRODUCT((因素修正幅度!B87:B126=I2)*(因素修正幅度!C3:G3=E2)*(因素修正幅度!C87:G126))</f>
        <v>0.1</v>
      </c>
      <c r="O5" s="1050"/>
      <c r="P5" s="1050"/>
      <c r="Q5" s="1050"/>
      <c r="R5" s="1123">
        <v>4</v>
      </c>
      <c r="S5" s="3058">
        <f>ROUND(SUMPRODUCT((B106:B110=R5)*(C105:N105=G2)*(C106:N110)),4)</f>
        <v>0.88239999999999996</v>
      </c>
      <c r="T5" s="3058">
        <f t="shared" si="0"/>
        <v>9552</v>
      </c>
      <c r="U5" s="1124"/>
      <c r="V5" s="3058">
        <f t="shared" si="1"/>
        <v>0</v>
      </c>
      <c r="W5" s="1127"/>
      <c r="X5" s="1127"/>
      <c r="Y5" s="1127"/>
      <c r="Z5" s="1127"/>
      <c r="AA5" s="1127"/>
      <c r="AB5" s="1127"/>
      <c r="AC5" s="1849"/>
      <c r="AD5" s="1850"/>
      <c r="AE5" s="1850"/>
      <c r="AF5" s="1850"/>
      <c r="AG5" s="1850"/>
      <c r="AH5" s="1850"/>
      <c r="AI5" s="1850"/>
      <c r="AJ5" s="1851"/>
    </row>
    <row r="6" spans="1:36" ht="15.75" thickBot="1">
      <c r="A6" s="1853" t="s">
        <v>1945</v>
      </c>
      <c r="B6" s="1854" t="s">
        <v>1946</v>
      </c>
      <c r="C6" s="704">
        <f>SUMIF(L1:L12,G2,M1:M12)</f>
        <v>15600</v>
      </c>
      <c r="D6" s="1855"/>
      <c r="E6" s="1856"/>
      <c r="F6" s="1856"/>
      <c r="G6" s="1857"/>
      <c r="H6" s="1857"/>
      <c r="I6" s="1857"/>
      <c r="J6" s="1858"/>
      <c r="K6" s="1286"/>
      <c r="L6" s="1841" t="s">
        <v>1947</v>
      </c>
      <c r="M6" s="805">
        <f>SUMPRODUCT((区片价!B127:B189=I2)*(区片价!C3:G3=E2)*(区片价!C127:G189))</f>
        <v>0</v>
      </c>
      <c r="N6" s="807">
        <f>SUMPRODUCT((因素修正幅度!B127:B189=I2)*(因素修正幅度!C3:G3=E2)*(因素修正幅度!C127:G189))</f>
        <v>0</v>
      </c>
      <c r="O6" s="1050"/>
      <c r="P6" s="1050"/>
      <c r="Q6" s="1050"/>
      <c r="R6" s="1123">
        <v>5</v>
      </c>
      <c r="S6" s="3058">
        <f>ROUND(SUMPRODUCT((B106:B110=R6)*(C105:N105=G2)*(C106:N110)),4)</f>
        <v>0.84799999999999998</v>
      </c>
      <c r="T6" s="3058">
        <f t="shared" si="0"/>
        <v>9180</v>
      </c>
      <c r="U6" s="1124"/>
      <c r="V6" s="3058">
        <f t="shared" si="1"/>
        <v>0</v>
      </c>
      <c r="W6" s="1127"/>
      <c r="X6" s="1127"/>
      <c r="Y6" s="1127"/>
      <c r="Z6" s="1127"/>
      <c r="AA6" s="1127"/>
      <c r="AB6" s="1127"/>
      <c r="AC6" s="1849"/>
      <c r="AD6" s="1850"/>
      <c r="AE6" s="1850"/>
      <c r="AF6" s="1850"/>
      <c r="AG6" s="1850"/>
      <c r="AH6" s="1850"/>
      <c r="AI6" s="1850"/>
      <c r="AJ6" s="1851"/>
    </row>
    <row r="7" spans="1:36" ht="24.75" thickBot="1">
      <c r="A7" s="3007" t="s">
        <v>3221</v>
      </c>
      <c r="B7" s="1859" t="s">
        <v>1948</v>
      </c>
      <c r="C7" s="705">
        <f>IF(C8="不临65条商业街",1,ROUND(1+(1.6*E8+1.2*E9+0.8*E10+0.4*E11)*C9,4))</f>
        <v>1</v>
      </c>
      <c r="D7" s="1860" t="s">
        <v>1949</v>
      </c>
      <c r="E7" s="724"/>
      <c r="F7" s="1861"/>
      <c r="G7" s="1862"/>
      <c r="H7" s="1862"/>
      <c r="I7" s="1862"/>
      <c r="J7" s="1863"/>
      <c r="K7" s="1286"/>
      <c r="L7" s="1841" t="s">
        <v>1950</v>
      </c>
      <c r="M7" s="805">
        <f>SUMPRODUCT((区片价!B190:B233=I2)*(区片价!C3:G3=E2)*(区片价!C190:G233))</f>
        <v>0</v>
      </c>
      <c r="N7" s="807">
        <f>SUMPRODUCT((因素修正幅度!B190:B233=I2)*(因素修正幅度!C3:G3=E2)*(因素修正幅度!C190:G233))</f>
        <v>0</v>
      </c>
      <c r="O7" s="1050"/>
      <c r="P7" s="1050"/>
      <c r="Q7" s="1050"/>
      <c r="R7" s="1123">
        <v>6</v>
      </c>
      <c r="S7" s="3112"/>
      <c r="T7" s="3058">
        <f t="shared" si="0"/>
        <v>0</v>
      </c>
      <c r="U7" s="1124"/>
      <c r="V7" s="3058">
        <f t="shared" si="1"/>
        <v>0</v>
      </c>
      <c r="W7" s="1261" t="s">
        <v>1951</v>
      </c>
      <c r="X7" s="1125" t="str">
        <f>G2</f>
        <v>五级</v>
      </c>
      <c r="Y7" s="1125" t="s">
        <v>1952</v>
      </c>
      <c r="Z7" s="1126">
        <f>G3</f>
        <v>2.5</v>
      </c>
      <c r="AA7" s="1127"/>
      <c r="AB7" s="1127"/>
      <c r="AC7" s="1128"/>
      <c r="AD7" s="1129"/>
      <c r="AE7" s="1129"/>
      <c r="AF7" s="1129"/>
      <c r="AG7" s="1129"/>
      <c r="AH7" s="1129"/>
      <c r="AI7" s="1129"/>
      <c r="AJ7" s="1130"/>
    </row>
    <row r="8" spans="1:36" ht="25.5">
      <c r="A8" s="3004"/>
      <c r="B8" s="162" t="s">
        <v>1953</v>
      </c>
      <c r="C8" s="1864" t="s">
        <v>3527</v>
      </c>
      <c r="D8" s="706" t="s">
        <v>112</v>
      </c>
      <c r="E8" s="707" t="e">
        <f>ROUND(C11/E7,4)</f>
        <v>#DIV/0!</v>
      </c>
      <c r="F8" s="1865" t="s">
        <v>1954</v>
      </c>
      <c r="G8" s="1866"/>
      <c r="H8" s="1866"/>
      <c r="I8" s="1866"/>
      <c r="J8" s="1867"/>
      <c r="K8" s="1050"/>
      <c r="L8" s="1841" t="s">
        <v>1955</v>
      </c>
      <c r="M8" s="805">
        <f>SUMPRODUCT((区片价!B234:B276=I2)*(区片价!C3:G3=E2)*(区片价!C234:G276))</f>
        <v>0</v>
      </c>
      <c r="N8" s="807">
        <f>SUMPRODUCT((因素修正幅度!B234:B276=I2)*(因素修正幅度!C3:G3=E2)*(因素修正幅度!C234:G276))</f>
        <v>0</v>
      </c>
      <c r="O8" s="1050"/>
      <c r="P8" s="1050"/>
      <c r="Q8" s="1050"/>
      <c r="R8" s="1123">
        <v>7</v>
      </c>
      <c r="S8" s="1124"/>
      <c r="T8" s="3058">
        <f t="shared" si="0"/>
        <v>0</v>
      </c>
      <c r="U8" s="1124"/>
      <c r="V8" s="3058">
        <f t="shared" si="1"/>
        <v>0</v>
      </c>
      <c r="W8" s="3451" t="s">
        <v>1956</v>
      </c>
      <c r="X8" s="3452"/>
      <c r="Y8" s="1131" t="s">
        <v>1957</v>
      </c>
      <c r="Z8" s="1131" t="s">
        <v>1958</v>
      </c>
      <c r="AA8" s="1131" t="s">
        <v>1959</v>
      </c>
      <c r="AB8" s="1131" t="s">
        <v>1960</v>
      </c>
      <c r="AC8" s="1131" t="s">
        <v>1961</v>
      </c>
      <c r="AD8" s="1131" t="s">
        <v>1962</v>
      </c>
      <c r="AE8" s="1131" t="s">
        <v>1963</v>
      </c>
      <c r="AF8" s="1131" t="s">
        <v>1964</v>
      </c>
      <c r="AG8" s="1131" t="s">
        <v>1965</v>
      </c>
      <c r="AH8" s="1131" t="s">
        <v>1966</v>
      </c>
      <c r="AI8" s="1131" t="s">
        <v>1967</v>
      </c>
      <c r="AJ8" s="1131" t="s">
        <v>1968</v>
      </c>
    </row>
    <row r="9" spans="1:36" ht="15">
      <c r="A9" s="3004"/>
      <c r="B9" s="162" t="s">
        <v>1969</v>
      </c>
      <c r="C9" s="708">
        <f>SUMIF(修正!C73:C140,C8,修正!E73:E140)</f>
        <v>0</v>
      </c>
      <c r="D9" s="163" t="s">
        <v>113</v>
      </c>
      <c r="E9" s="163" t="e">
        <f>ROUND(C11/E7,4)</f>
        <v>#DIV/0!</v>
      </c>
      <c r="F9" s="1865" t="s">
        <v>1970</v>
      </c>
      <c r="G9" s="1866"/>
      <c r="H9" s="1866"/>
      <c r="I9" s="1866"/>
      <c r="J9" s="1867"/>
      <c r="K9" s="1050"/>
      <c r="L9" s="1841" t="s">
        <v>1971</v>
      </c>
      <c r="M9" s="805">
        <f>SUMPRODUCT((区片价!B277:B326=I2)*(区片价!C3:G3=E2)*(区片价!C277:G326))</f>
        <v>0</v>
      </c>
      <c r="N9" s="807">
        <f>SUMPRODUCT((因素修正幅度!B277:B326=I2)*(因素修正幅度!C3:G3=E2)*(因素修正幅度!C277:G326))</f>
        <v>0</v>
      </c>
      <c r="O9" s="1050"/>
      <c r="P9" s="1050"/>
      <c r="Q9" s="1050"/>
      <c r="R9" s="1123">
        <v>8</v>
      </c>
      <c r="S9" s="1124"/>
      <c r="T9" s="3058">
        <f t="shared" si="0"/>
        <v>0</v>
      </c>
      <c r="U9" s="1124"/>
      <c r="V9" s="3058">
        <f t="shared" si="1"/>
        <v>0</v>
      </c>
      <c r="W9" s="3453"/>
      <c r="X9" s="3059" t="s">
        <v>3252</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1972</v>
      </c>
      <c r="C10" s="163">
        <f>SUMIF(修正!C73:C140,C8,修正!F73:F140)</f>
        <v>0</v>
      </c>
      <c r="D10" s="163" t="s">
        <v>114</v>
      </c>
      <c r="E10" s="163" t="e">
        <f>ROUND(C11/E7,4)</f>
        <v>#DIV/0!</v>
      </c>
      <c r="F10" s="1865" t="s">
        <v>1973</v>
      </c>
      <c r="G10" s="1866"/>
      <c r="H10" s="1866"/>
      <c r="I10" s="1866"/>
      <c r="J10" s="1867"/>
      <c r="K10" s="1050"/>
      <c r="L10" s="1841" t="s">
        <v>1974</v>
      </c>
      <c r="M10" s="805">
        <f>SUMPRODUCT((区片价!B327:B357=I2)*(区片价!C3:G3=E2)*(区片价!C327:G357))</f>
        <v>0</v>
      </c>
      <c r="N10" s="807">
        <f>SUMPRODUCT((因素修正幅度!B327:B357=I2)*(因素修正幅度!C3:G3=E2)*(因素修正幅度!C327:G357))</f>
        <v>0</v>
      </c>
      <c r="O10" s="1050"/>
      <c r="P10" s="1050"/>
      <c r="Q10" s="1050"/>
      <c r="R10" s="1123">
        <v>9</v>
      </c>
      <c r="S10" s="1124"/>
      <c r="T10" s="3058">
        <f t="shared" si="0"/>
        <v>0</v>
      </c>
      <c r="U10" s="1124"/>
      <c r="V10" s="3058">
        <f t="shared" si="1"/>
        <v>0</v>
      </c>
      <c r="W10" s="3453"/>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8" t="s">
        <v>1975</v>
      </c>
      <c r="C11" s="709">
        <f>C10/4</f>
        <v>0</v>
      </c>
      <c r="D11" s="709" t="s">
        <v>115</v>
      </c>
      <c r="E11" s="709" t="e">
        <f>ROUND(C11/E7,4)</f>
        <v>#DIV/0!</v>
      </c>
      <c r="F11" s="1869" t="s">
        <v>1976</v>
      </c>
      <c r="G11" s="1870"/>
      <c r="H11" s="1870"/>
      <c r="I11" s="1870"/>
      <c r="J11" s="1871"/>
      <c r="K11" s="1050"/>
      <c r="L11" s="1841" t="s">
        <v>1977</v>
      </c>
      <c r="M11" s="805">
        <f>SUMPRODUCT((区片价!B358:B377=I2)*(区片价!C3:G3=E2)*(区片价!C358:G377))</f>
        <v>0</v>
      </c>
      <c r="N11" s="807">
        <f>SUMPRODUCT((因素修正幅度!B358:B377=I2)*(因素修正幅度!C3:G3=E2)*(因素修正幅度!C358:G377))</f>
        <v>0</v>
      </c>
      <c r="O11" s="1050"/>
      <c r="P11" s="1050"/>
      <c r="Q11" s="1050"/>
      <c r="R11" s="1123">
        <v>10</v>
      </c>
      <c r="S11" s="1124"/>
      <c r="T11" s="3058">
        <f t="shared" si="0"/>
        <v>0</v>
      </c>
      <c r="U11" s="1124"/>
      <c r="V11" s="3058">
        <f t="shared" si="1"/>
        <v>0</v>
      </c>
      <c r="W11" s="1127"/>
      <c r="X11" s="1127"/>
      <c r="Y11" s="1127"/>
      <c r="Z11" s="1127"/>
      <c r="AA11" s="1127"/>
      <c r="AB11" s="1127"/>
      <c r="AC11" s="1128"/>
      <c r="AD11" s="2548"/>
      <c r="AE11" s="2548"/>
      <c r="AF11" s="2548"/>
      <c r="AG11" s="2548"/>
      <c r="AH11" s="2548"/>
      <c r="AI11" s="2548"/>
      <c r="AJ11" s="2549"/>
    </row>
    <row r="12" spans="1:36" ht="25.5" thickBot="1">
      <c r="A12" s="3007" t="s">
        <v>3222</v>
      </c>
      <c r="B12" s="3008" t="s">
        <v>3223</v>
      </c>
      <c r="C12" s="3009"/>
      <c r="D12" s="3010" t="s">
        <v>3224</v>
      </c>
      <c r="E12" s="3011" t="s">
        <v>3225</v>
      </c>
      <c r="F12" s="3012"/>
      <c r="G12" s="3013"/>
      <c r="H12" s="3013"/>
      <c r="I12" s="3013"/>
      <c r="J12" s="3014"/>
      <c r="K12" s="1050"/>
      <c r="L12" s="1790" t="s">
        <v>1980</v>
      </c>
      <c r="M12" s="806">
        <f>SUMPRODUCT((区片价!B378:B384=I2)*(区片价!C3:G3=E2)*(区片价!C378:G384))</f>
        <v>0</v>
      </c>
      <c r="N12" s="807">
        <f>SUMPRODUCT((因素修正幅度!B378:B384=I2)*(因素修正幅度!C3:G3=E2)*(因素修正幅度!C378:G384))</f>
        <v>0</v>
      </c>
      <c r="O12" s="1050"/>
      <c r="P12" s="1050"/>
      <c r="Q12" s="1050"/>
      <c r="R12" s="1123">
        <v>11</v>
      </c>
      <c r="S12" s="1124"/>
      <c r="T12" s="3058">
        <f t="shared" si="0"/>
        <v>0</v>
      </c>
      <c r="U12" s="1124"/>
      <c r="V12" s="3058">
        <f t="shared" si="1"/>
        <v>0</v>
      </c>
      <c r="W12" s="1127"/>
      <c r="X12" s="1127"/>
      <c r="Y12" s="1127"/>
      <c r="Z12" s="1127"/>
      <c r="AA12" s="1127"/>
      <c r="AB12" s="1127"/>
      <c r="AC12" s="1128"/>
      <c r="AD12" s="2548"/>
      <c r="AE12" s="2548"/>
      <c r="AF12" s="2548"/>
      <c r="AG12" s="2548"/>
      <c r="AH12" s="2548"/>
      <c r="AI12" s="2548"/>
      <c r="AJ12" s="2549"/>
    </row>
    <row r="13" spans="1:36" ht="15.75" thickBot="1">
      <c r="A13" s="3007" t="s">
        <v>3226</v>
      </c>
      <c r="B13" s="1872" t="s">
        <v>1978</v>
      </c>
      <c r="C13" s="705">
        <f>ROUND(C16*D16*E16*F16*G16*H16*I16*J16,4)</f>
        <v>0</v>
      </c>
      <c r="D13" s="1873" t="s">
        <v>1979</v>
      </c>
      <c r="E13" s="1874"/>
      <c r="F13" s="1874"/>
      <c r="G13" s="1875"/>
      <c r="H13" s="1875"/>
      <c r="I13" s="1875"/>
      <c r="J13" s="1876"/>
      <c r="K13" s="1050"/>
      <c r="L13" s="3"/>
      <c r="M13" s="4"/>
      <c r="N13" s="3005"/>
      <c r="O13" s="1050"/>
      <c r="P13" s="1050"/>
      <c r="Q13" s="1050"/>
      <c r="R13" s="1123">
        <v>12</v>
      </c>
      <c r="S13" s="1124"/>
      <c r="T13" s="3058">
        <f t="shared" si="0"/>
        <v>0</v>
      </c>
      <c r="U13" s="1124"/>
      <c r="V13" s="3058">
        <f t="shared" si="1"/>
        <v>0</v>
      </c>
      <c r="W13" s="1127"/>
      <c r="X13" s="1127"/>
      <c r="Y13" s="1127"/>
      <c r="Z13" s="1127"/>
      <c r="AA13" s="1127"/>
      <c r="AB13" s="1127"/>
      <c r="AC13" s="1128"/>
      <c r="AD13" s="2548"/>
      <c r="AE13" s="2548"/>
      <c r="AF13" s="2548"/>
      <c r="AG13" s="2548"/>
      <c r="AH13" s="2548"/>
      <c r="AI13" s="2548"/>
      <c r="AJ13" s="2549"/>
    </row>
    <row r="14" spans="1:36" ht="15">
      <c r="A14" s="3003"/>
      <c r="B14" s="1877" t="s">
        <v>1981</v>
      </c>
      <c r="C14" s="1878" t="s">
        <v>1982</v>
      </c>
      <c r="D14" s="1255" t="s">
        <v>1983</v>
      </c>
      <c r="E14" s="27" t="s">
        <v>1984</v>
      </c>
      <c r="F14" s="3015" t="s">
        <v>3227</v>
      </c>
      <c r="G14" s="3015" t="s">
        <v>3227</v>
      </c>
      <c r="H14" s="3015" t="s">
        <v>3227</v>
      </c>
      <c r="I14" s="3015" t="s">
        <v>3227</v>
      </c>
      <c r="J14" s="3015" t="s">
        <v>3227</v>
      </c>
      <c r="K14" s="1050"/>
      <c r="L14" s="1050"/>
      <c r="M14" s="1050"/>
      <c r="N14" s="1050"/>
      <c r="O14" s="1050"/>
      <c r="P14" s="1050"/>
      <c r="Q14" s="1050"/>
      <c r="R14" s="1123">
        <v>13</v>
      </c>
      <c r="S14" s="1124"/>
      <c r="T14" s="3058">
        <f t="shared" si="0"/>
        <v>0</v>
      </c>
      <c r="U14" s="1124"/>
      <c r="V14" s="3058">
        <f t="shared" si="1"/>
        <v>0</v>
      </c>
      <c r="W14" s="1127"/>
      <c r="X14" s="1127"/>
      <c r="Y14" s="1127"/>
      <c r="Z14" s="1127"/>
      <c r="AA14" s="1127"/>
      <c r="AB14" s="1127"/>
      <c r="AC14" s="1128"/>
      <c r="AD14" s="2548"/>
      <c r="AE14" s="2548"/>
      <c r="AF14" s="2548"/>
      <c r="AG14" s="2548"/>
      <c r="AH14" s="2548"/>
      <c r="AI14" s="2548"/>
      <c r="AJ14" s="2549"/>
    </row>
    <row r="15" spans="1:36" ht="15">
      <c r="A15" s="3003"/>
      <c r="B15" s="1879"/>
      <c r="C15" s="1880"/>
      <c r="D15" s="1881"/>
      <c r="E15" s="1882"/>
      <c r="F15" s="1464" t="s">
        <v>3228</v>
      </c>
      <c r="G15" s="1922"/>
      <c r="H15" s="3016"/>
      <c r="I15" s="3017"/>
      <c r="J15" s="3018"/>
      <c r="K15" s="1050"/>
      <c r="L15" s="1050"/>
      <c r="M15" s="1050"/>
      <c r="N15" s="1050"/>
      <c r="O15" s="1050"/>
      <c r="P15" s="1050"/>
      <c r="Q15" s="1050"/>
      <c r="R15" s="1123">
        <v>14</v>
      </c>
      <c r="S15" s="1124"/>
      <c r="T15" s="3058">
        <f t="shared" si="0"/>
        <v>0</v>
      </c>
      <c r="U15" s="1124"/>
      <c r="V15" s="3058">
        <f t="shared" si="1"/>
        <v>0</v>
      </c>
      <c r="W15" s="1127"/>
      <c r="X15" s="1127"/>
      <c r="Y15" s="1127"/>
      <c r="Z15" s="1127"/>
      <c r="AA15" s="1127"/>
      <c r="AB15" s="1127"/>
      <c r="AC15" s="1128"/>
      <c r="AD15" s="2548"/>
      <c r="AE15" s="2548"/>
      <c r="AF15" s="2548"/>
      <c r="AG15" s="2548"/>
      <c r="AH15" s="2548"/>
      <c r="AI15" s="2548"/>
      <c r="AJ15" s="2549"/>
    </row>
    <row r="16" spans="1:36" ht="15.75" thickBot="1">
      <c r="A16" s="3003"/>
      <c r="B16" s="3021" t="s">
        <v>1985</v>
      </c>
      <c r="C16" s="3019"/>
      <c r="D16" s="3019"/>
      <c r="E16" s="3019"/>
      <c r="F16" s="3019">
        <v>1</v>
      </c>
      <c r="G16" s="3019">
        <v>1</v>
      </c>
      <c r="H16" s="3019">
        <v>1</v>
      </c>
      <c r="I16" s="3019">
        <v>1</v>
      </c>
      <c r="J16" s="3020">
        <v>1</v>
      </c>
      <c r="K16" s="1050"/>
      <c r="L16" s="1838"/>
      <c r="M16" s="1838"/>
      <c r="N16" s="1838"/>
      <c r="O16" s="1838"/>
      <c r="P16" s="1838"/>
      <c r="Q16" s="1050"/>
      <c r="R16" s="1123">
        <v>15</v>
      </c>
      <c r="S16" s="1124"/>
      <c r="T16" s="3058">
        <f t="shared" si="0"/>
        <v>0</v>
      </c>
      <c r="U16" s="1124"/>
      <c r="V16" s="3058">
        <f t="shared" si="1"/>
        <v>0</v>
      </c>
      <c r="W16" s="1127"/>
      <c r="X16" s="1127"/>
      <c r="Y16" s="1127"/>
      <c r="Z16" s="1127"/>
      <c r="AA16" s="1127"/>
      <c r="AB16" s="1127"/>
      <c r="AC16" s="1128"/>
      <c r="AD16" s="2548"/>
      <c r="AE16" s="2548"/>
      <c r="AF16" s="2548"/>
      <c r="AG16" s="2548"/>
      <c r="AH16" s="2548"/>
      <c r="AI16" s="2548"/>
      <c r="AJ16" s="2549"/>
    </row>
    <row r="17" spans="1:37">
      <c r="A17" s="3030" t="s">
        <v>3229</v>
      </c>
      <c r="B17" s="3022" t="s">
        <v>3230</v>
      </c>
      <c r="C17" s="3031">
        <f>ROUND(IF(OR(E2="工业",E2="公共服务"),1,IF(AND(E18=0,E19=0),1,IF(AND(E18=J24,E19=G19),0.8,IF(E19=0,1+E17*(-0.2),1+E17*G17*(-0.2))))),4)</f>
        <v>1</v>
      </c>
      <c r="D17" s="3023" t="s">
        <v>3231</v>
      </c>
      <c r="E17" s="3031">
        <f>ROUND(G18/I18,2)</f>
        <v>0</v>
      </c>
      <c r="F17" s="3023" t="s">
        <v>3234</v>
      </c>
      <c r="G17" s="3031" t="e">
        <f>ROUND(E19/G19,2)</f>
        <v>#DIV/0!</v>
      </c>
      <c r="H17" s="3031"/>
      <c r="I17" s="3031"/>
      <c r="J17" s="3032"/>
      <c r="K17" s="1050"/>
      <c r="L17" s="1838"/>
      <c r="M17" s="1838"/>
      <c r="N17" s="1838"/>
      <c r="O17" s="1838"/>
      <c r="P17" s="1838"/>
      <c r="Q17" s="1050"/>
      <c r="R17" s="1050"/>
      <c r="S17" s="1050"/>
      <c r="T17" s="1050"/>
      <c r="U17" s="1050"/>
      <c r="V17" s="1050"/>
      <c r="W17" s="1050"/>
      <c r="X17" s="1050"/>
      <c r="Y17" s="1050"/>
      <c r="Z17" s="1051"/>
      <c r="AA17" s="1051"/>
      <c r="AB17" s="1051"/>
      <c r="AC17" s="1051"/>
      <c r="AD17" s="1051"/>
      <c r="AE17" s="1050"/>
      <c r="AF17" s="1050"/>
      <c r="AG17" s="1838"/>
      <c r="AH17" s="1838"/>
      <c r="AI17" s="1838"/>
      <c r="AJ17" s="1838"/>
    </row>
    <row r="18" spans="1:37" s="1852" customFormat="1" ht="14.25">
      <c r="A18" s="3033"/>
      <c r="B18" s="2304"/>
      <c r="C18" s="3029"/>
      <c r="D18" s="3024" t="s">
        <v>3232</v>
      </c>
      <c r="E18" s="2351"/>
      <c r="F18" s="3025" t="s">
        <v>3235</v>
      </c>
      <c r="G18" s="3029">
        <f>ROUND(1-(1/(POWER(1+G24,E18))),4)</f>
        <v>0</v>
      </c>
      <c r="H18" s="3025" t="s">
        <v>3237</v>
      </c>
      <c r="I18" s="3029">
        <f>ROUND(1-(1/(POWER(1+G24,J24))),4)</f>
        <v>0.88249999999999995</v>
      </c>
      <c r="J18" s="3034"/>
      <c r="K18" s="1050"/>
      <c r="L18" s="1838"/>
      <c r="M18" s="1838"/>
      <c r="N18" s="1838"/>
      <c r="O18" s="1838"/>
      <c r="P18" s="1838"/>
      <c r="Q18" s="1050"/>
      <c r="R18" s="1054"/>
      <c r="S18" s="1054"/>
      <c r="T18" s="1051"/>
      <c r="U18" s="1051"/>
      <c r="V18" s="1051"/>
      <c r="W18" s="1050"/>
      <c r="X18" s="1050"/>
      <c r="Y18" s="1050"/>
      <c r="Z18" s="1055"/>
      <c r="AA18" s="1055"/>
      <c r="AB18" s="1055"/>
      <c r="AC18" s="1055"/>
      <c r="AD18" s="1055"/>
      <c r="AE18" s="1051"/>
      <c r="AF18" s="1051"/>
      <c r="AG18" s="1974"/>
      <c r="AH18" s="1974"/>
      <c r="AI18" s="1974"/>
      <c r="AJ18" s="2547"/>
    </row>
    <row r="19" spans="1:37" s="1852" customFormat="1" ht="15" thickBot="1">
      <c r="A19" s="3035"/>
      <c r="B19" s="3036"/>
      <c r="C19" s="3037"/>
      <c r="D19" s="3037" t="s">
        <v>3233</v>
      </c>
      <c r="E19" s="3038"/>
      <c r="F19" s="3039" t="s">
        <v>3236</v>
      </c>
      <c r="G19" s="3038"/>
      <c r="H19" s="3037"/>
      <c r="I19" s="3037"/>
      <c r="J19" s="3040"/>
      <c r="K19" s="1050"/>
      <c r="L19" s="1838"/>
      <c r="M19" s="1838"/>
      <c r="N19" s="1838"/>
      <c r="O19" s="1838"/>
      <c r="P19" s="1838"/>
      <c r="Q19" s="1054"/>
      <c r="R19" s="1054"/>
      <c r="S19" s="1054"/>
      <c r="T19" s="1051"/>
      <c r="U19" s="1051"/>
      <c r="V19" s="1051"/>
      <c r="W19" s="1050"/>
      <c r="X19" s="1050"/>
      <c r="Y19" s="1050"/>
      <c r="Z19" s="1055"/>
      <c r="AA19" s="1055"/>
      <c r="AB19" s="1055"/>
      <c r="AC19" s="1055"/>
      <c r="AD19" s="1055"/>
      <c r="AE19" s="1055"/>
      <c r="AF19" s="1054"/>
      <c r="AG19" s="2550"/>
      <c r="AH19" s="1974"/>
      <c r="AI19" s="561"/>
      <c r="AJ19" s="561"/>
      <c r="AK19" s="1893"/>
    </row>
    <row r="20" spans="1:37" s="1852" customFormat="1" ht="14.25">
      <c r="A20" s="3458" t="s">
        <v>3238</v>
      </c>
      <c r="B20" s="159" t="s">
        <v>1990</v>
      </c>
      <c r="C20" s="3026">
        <f>ROUND(IF(F21="与级别开发程度一致",0,(G21-E21)/C21),0)</f>
        <v>0</v>
      </c>
      <c r="D20" s="3041" t="s">
        <v>1994</v>
      </c>
      <c r="E20" s="3042"/>
      <c r="F20" s="3464" t="s">
        <v>1991</v>
      </c>
      <c r="G20" s="3465"/>
      <c r="H20" s="3027"/>
      <c r="I20" s="3027"/>
      <c r="J20" s="3028"/>
      <c r="K20" s="1883"/>
      <c r="L20" s="1883"/>
      <c r="M20" s="1883"/>
      <c r="N20" s="1883"/>
      <c r="O20" s="1884"/>
      <c r="P20" s="1838"/>
      <c r="Q20" s="1054"/>
      <c r="R20" s="1054"/>
      <c r="S20" s="1054"/>
      <c r="T20" s="1051"/>
      <c r="U20" s="1051"/>
      <c r="V20" s="1051"/>
      <c r="W20" s="1050"/>
      <c r="X20" s="1050"/>
      <c r="Y20" s="1050"/>
      <c r="Z20" s="1055"/>
      <c r="AA20" s="1055"/>
      <c r="AB20" s="1055"/>
      <c r="AC20" s="1055"/>
      <c r="AD20" s="1055"/>
      <c r="AE20" s="1055"/>
      <c r="AF20" s="1055"/>
      <c r="AG20" s="2547"/>
      <c r="AH20" s="2547"/>
      <c r="AI20" s="2547"/>
      <c r="AJ20" s="2547"/>
    </row>
    <row r="21" spans="1:37" s="1852" customFormat="1" ht="26.25" thickBot="1">
      <c r="A21" s="3459"/>
      <c r="B21" s="1996" t="s">
        <v>1993</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3528</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7"/>
      <c r="R21" s="1054"/>
      <c r="S21" s="1054"/>
      <c r="T21" s="1051"/>
      <c r="U21" s="1051"/>
      <c r="V21" s="1051"/>
      <c r="W21" s="1050"/>
      <c r="X21" s="1050"/>
      <c r="Y21" s="1050"/>
      <c r="Z21" s="1055"/>
      <c r="AA21" s="1055"/>
      <c r="AB21" s="1055"/>
      <c r="AC21" s="1055"/>
      <c r="AD21" s="1055"/>
      <c r="AE21" s="1055"/>
      <c r="AF21" s="1055"/>
      <c r="AG21" s="2547"/>
      <c r="AH21" s="2547"/>
      <c r="AI21" s="2547"/>
      <c r="AJ21" s="2547"/>
    </row>
    <row r="22" spans="1:37" s="1852" customFormat="1" ht="15.75" thickBot="1">
      <c r="A22" s="1990" t="s">
        <v>363</v>
      </c>
      <c r="B22" s="1991" t="s">
        <v>1996</v>
      </c>
      <c r="C22" s="1992">
        <f>SUMIF(修正!C20:C53,E3,修正!E20:E53)</f>
        <v>0.8</v>
      </c>
      <c r="D22" s="1993"/>
      <c r="E22" s="1994"/>
      <c r="F22" s="1994"/>
      <c r="G22" s="1994"/>
      <c r="H22" s="1994"/>
      <c r="I22" s="1994"/>
      <c r="J22" s="1995"/>
      <c r="K22" s="1055"/>
      <c r="L22" s="2547"/>
      <c r="M22" s="2547"/>
      <c r="N22" s="2547"/>
      <c r="O22" s="1053"/>
      <c r="P22" s="1053"/>
      <c r="Q22" s="2547"/>
      <c r="R22" s="1054"/>
      <c r="S22" s="1054"/>
      <c r="T22" s="1051"/>
      <c r="U22" s="1051"/>
      <c r="V22" s="1051"/>
      <c r="W22" s="1050"/>
      <c r="X22" s="1050"/>
      <c r="Y22" s="1050"/>
      <c r="Z22" s="1055"/>
      <c r="AA22" s="1055"/>
      <c r="AB22" s="1055"/>
      <c r="AC22" s="1055"/>
      <c r="AD22" s="1055"/>
      <c r="AE22" s="1055"/>
      <c r="AF22" s="1055"/>
      <c r="AG22" s="2547"/>
      <c r="AH22" s="2547"/>
      <c r="AI22" s="2547"/>
      <c r="AJ22" s="2547"/>
    </row>
    <row r="23" spans="1:37" ht="26.25" thickBot="1">
      <c r="A23" s="1886" t="s">
        <v>364</v>
      </c>
      <c r="B23" s="1887" t="s">
        <v>1997</v>
      </c>
      <c r="C23" s="7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0" t="s">
        <v>1998</v>
      </c>
      <c r="E23" s="711">
        <v>44197</v>
      </c>
      <c r="F23" s="1890" t="s">
        <v>1999</v>
      </c>
      <c r="G23" s="712">
        <f>'数据-取费表'!B2</f>
        <v>45873</v>
      </c>
      <c r="H23" s="3043" t="s">
        <v>3240</v>
      </c>
      <c r="I23" s="3044" t="str">
        <f>IF(H23="季度增幅（自定义）",SUMIF(N25:N28,E2,O25:O28),"")</f>
        <v/>
      </c>
      <c r="J23" s="3135" t="s">
        <v>3239</v>
      </c>
      <c r="K23" s="1055"/>
      <c r="L23" s="1891" t="s">
        <v>2000</v>
      </c>
      <c r="M23" s="1235">
        <f>ROUND(SUMIF(地价!B2:G2,E2,地价!B16:G16),0)</f>
        <v>350</v>
      </c>
      <c r="N23" s="1892" t="s">
        <v>2001</v>
      </c>
      <c r="O23" s="713">
        <f>ROUNDDOWN(DATEDIF(E23,G23,"M")/3,0)</f>
        <v>18</v>
      </c>
      <c r="P23" s="1051"/>
      <c r="Q23" s="2547"/>
      <c r="R23" s="1054"/>
      <c r="S23" s="1054"/>
      <c r="T23" s="1051"/>
      <c r="U23" s="1051"/>
      <c r="V23" s="1051"/>
      <c r="W23" s="1050"/>
      <c r="X23" s="1050"/>
      <c r="Y23" s="1050"/>
      <c r="Z23" s="1055"/>
      <c r="AA23" s="1055"/>
      <c r="AB23" s="1055"/>
      <c r="AC23" s="1055"/>
      <c r="AD23" s="1055"/>
      <c r="AE23" s="1051"/>
      <c r="AF23" s="1051"/>
      <c r="AG23" s="1974"/>
      <c r="AH23" s="1974"/>
      <c r="AI23" s="1974"/>
      <c r="AJ23" s="1974"/>
      <c r="AK23" s="1889"/>
    </row>
    <row r="24" spans="1:37" s="1852" customFormat="1" ht="24.75" thickBot="1">
      <c r="A24" s="1894" t="s">
        <v>365</v>
      </c>
      <c r="B24" s="1895" t="s">
        <v>2002</v>
      </c>
      <c r="C24" s="714">
        <f>ROUND(POWER(1+G24,J24-I24)*(POWER(1+G24,I24)-1)/(POWER(1+G24,J24)-1),4)</f>
        <v>0.8196</v>
      </c>
      <c r="D24" s="1896" t="s">
        <v>2003</v>
      </c>
      <c r="E24" s="1242">
        <f>存贷款利率!E28/100</f>
        <v>4.3499999999999997E-2</v>
      </c>
      <c r="F24" s="1896" t="s">
        <v>1995</v>
      </c>
      <c r="G24" s="718">
        <f>SUMIF(M30:Q30,E2,M33:Q33)</f>
        <v>5.5E-2</v>
      </c>
      <c r="H24" s="1896" t="s">
        <v>2004</v>
      </c>
      <c r="I24" s="719">
        <f>SUMIF('数据-取费表'!C6:C15,E2,'数据-取费表'!F6:F15)/COUNTIF('数据-取费表'!C6:C15,E2)</f>
        <v>24</v>
      </c>
      <c r="J24" s="720">
        <f>IF(E2="住宅",70,IF(E2="商业",40,50))</f>
        <v>40</v>
      </c>
      <c r="K24" s="1055"/>
      <c r="L24" s="1897" t="s">
        <v>2005</v>
      </c>
      <c r="M24" s="1236">
        <f>ROUND(SUMPRODUCT((地价!A4:A16=YEAR(G23)&amp;"-"&amp;ROUNDUP(MONTH(G23)/3,0))*(地价!B2:G2=E2)*(地价!B4:G16)),0)</f>
        <v>0</v>
      </c>
      <c r="N24" s="1898" t="s">
        <v>2006</v>
      </c>
      <c r="O24" s="1899" t="s">
        <v>2007</v>
      </c>
      <c r="P24" s="1900" t="s">
        <v>2008</v>
      </c>
      <c r="Q24" s="1838"/>
      <c r="R24" s="1054"/>
      <c r="S24" s="1054"/>
      <c r="T24" s="1051"/>
      <c r="U24" s="1051"/>
      <c r="V24" s="1051"/>
      <c r="W24" s="1050"/>
      <c r="X24" s="1050"/>
      <c r="Y24" s="1050"/>
      <c r="Z24" s="1055"/>
      <c r="AA24" s="1055"/>
      <c r="AB24" s="1055"/>
      <c r="AC24" s="1055"/>
      <c r="AD24" s="1055"/>
      <c r="AE24" s="1055"/>
      <c r="AF24" s="1055"/>
      <c r="AG24" s="2547"/>
      <c r="AH24" s="2547"/>
      <c r="AI24" s="2547"/>
      <c r="AJ24" s="2547"/>
    </row>
    <row r="25" spans="1:37" ht="15">
      <c r="A25" s="1901" t="s">
        <v>366</v>
      </c>
      <c r="B25" s="1902" t="s">
        <v>3529</v>
      </c>
      <c r="C25" s="461">
        <f>IF(B25="容积率修正",IF(G3&lt;10,D26,J26),C27)</f>
        <v>1.1838</v>
      </c>
      <c r="D25" s="1903"/>
      <c r="E25" s="1903"/>
      <c r="F25" s="1903"/>
      <c r="G25" s="1903"/>
      <c r="H25" s="1903"/>
      <c r="I25" s="1903"/>
      <c r="J25" s="1904"/>
      <c r="K25" s="1055"/>
      <c r="L25" s="2547"/>
      <c r="M25" s="2547"/>
      <c r="N25" s="1905" t="s">
        <v>2009</v>
      </c>
      <c r="O25" s="1087"/>
      <c r="P25" s="1088">
        <f>SUMPRODUCT((地价!A3:A40=YEAR(G23)&amp;"-"&amp;ROUNDUP(MONTH(G23)/3,0))*(地价!AD2:AH2=N25)*(地价!AD3:AH40))</f>
        <v>0</v>
      </c>
      <c r="Q25" s="2547"/>
      <c r="R25" s="1054"/>
      <c r="S25" s="1054"/>
      <c r="T25" s="1051"/>
      <c r="U25" s="1051"/>
      <c r="V25" s="1051"/>
      <c r="W25" s="1050"/>
      <c r="X25" s="1050"/>
      <c r="Y25" s="1050"/>
      <c r="Z25" s="1055"/>
      <c r="AA25" s="1055"/>
      <c r="AB25" s="1055"/>
      <c r="AC25" s="1055"/>
      <c r="AD25" s="1055"/>
      <c r="AE25" s="1051"/>
      <c r="AF25" s="1051"/>
      <c r="AG25" s="1974"/>
      <c r="AH25" s="1974"/>
      <c r="AI25" s="1974"/>
      <c r="AJ25" s="1974"/>
    </row>
    <row r="26" spans="1:37" ht="14.25">
      <c r="A26" s="1800" t="s">
        <v>2010</v>
      </c>
      <c r="B26" s="1906" t="s">
        <v>2011</v>
      </c>
      <c r="C26" s="1906" t="s">
        <v>3241</v>
      </c>
      <c r="D26" s="1257">
        <f>IF(E26=G26,F26,IF(G3&lt;10,ROUND(F26+(H26-F26)*(G3-E26)/(G26-E26),4),"——"))</f>
        <v>1</v>
      </c>
      <c r="E26" s="702">
        <f>ROUNDDOWN(G3,1)</f>
        <v>2.5</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2">
        <f>ROUNDUP(G3,1)</f>
        <v>2.5</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3242</v>
      </c>
      <c r="J26" s="374" t="str">
        <f>IF(G3&gt;=10,D115,"——")</f>
        <v>——</v>
      </c>
      <c r="K26" s="1055"/>
      <c r="L26" s="2547"/>
      <c r="M26" s="2547"/>
      <c r="N26" s="1905" t="s">
        <v>2012</v>
      </c>
      <c r="O26" s="1087"/>
      <c r="P26" s="1088">
        <f>SUMPRODUCT((地价!A3:A40=YEAR(G23)&amp;"-"&amp;ROUNDUP(MONTH(G23)/3,0))*(地价!AD2:AH2=N26)*(地价!AD3:AH40))</f>
        <v>0</v>
      </c>
      <c r="Q26" s="1838"/>
      <c r="R26" s="1054"/>
      <c r="S26" s="1054"/>
      <c r="T26" s="1051"/>
      <c r="U26" s="1051"/>
      <c r="V26" s="1051"/>
      <c r="W26" s="1050"/>
      <c r="X26" s="1050"/>
      <c r="Y26" s="1050"/>
      <c r="Z26" s="1055"/>
      <c r="AA26" s="1055"/>
      <c r="AB26" s="1055"/>
      <c r="AC26" s="1055"/>
      <c r="AD26" s="1055"/>
      <c r="AE26" s="1051"/>
      <c r="AF26" s="1051"/>
      <c r="AG26" s="1974"/>
      <c r="AH26" s="1974"/>
      <c r="AI26" s="1974"/>
      <c r="AJ26" s="1974"/>
    </row>
    <row r="27" spans="1:37" ht="15.75" thickBot="1">
      <c r="A27" s="1800" t="s">
        <v>2013</v>
      </c>
      <c r="B27" s="1907" t="s">
        <v>2014</v>
      </c>
      <c r="C27" s="785">
        <f>ROUND(IF(I3&lt;6,SUMPRODUCT((B106:B110=I3)*(C105:N105=G2)*(C106:N110)),SUMIF(C105:N105,G2,C112:N112)),4)</f>
        <v>1.1838</v>
      </c>
      <c r="D27" s="1836"/>
      <c r="E27" s="1836"/>
      <c r="F27" s="1908"/>
      <c r="G27" s="1909"/>
      <c r="H27" s="1910"/>
      <c r="I27" s="1911"/>
      <c r="J27" s="1912"/>
      <c r="K27" s="1050"/>
      <c r="L27" s="1838"/>
      <c r="M27" s="1838"/>
      <c r="N27" s="1905" t="s">
        <v>2015</v>
      </c>
      <c r="O27" s="1087"/>
      <c r="P27" s="1088">
        <f>SUMPRODUCT((地价!A3:A40=YEAR(G23)&amp;"-"&amp;ROUNDUP(MONTH(G23)/3,0))*(地价!AD2:AH2=N27)*(地价!AD3:AH40))</f>
        <v>0</v>
      </c>
      <c r="Q27" s="1838"/>
      <c r="R27" s="1054"/>
      <c r="S27" s="1054"/>
      <c r="T27" s="1051"/>
      <c r="U27" s="1051"/>
      <c r="V27" s="1051"/>
      <c r="W27" s="1050"/>
      <c r="X27" s="1050"/>
      <c r="Y27" s="1050"/>
      <c r="Z27" s="1055"/>
      <c r="AA27" s="1055"/>
      <c r="AB27" s="1055"/>
      <c r="AC27" s="1055"/>
      <c r="AD27" s="1055"/>
      <c r="AE27" s="1051"/>
      <c r="AF27" s="1051"/>
      <c r="AG27" s="1974"/>
      <c r="AH27" s="1974"/>
      <c r="AI27" s="1974"/>
      <c r="AJ27" s="1974"/>
    </row>
    <row r="28" spans="1:37" ht="15.75" thickBot="1">
      <c r="A28" s="1894" t="s">
        <v>367</v>
      </c>
      <c r="B28" s="1887" t="s">
        <v>2016</v>
      </c>
      <c r="C28" s="710">
        <f>SUMIF(A47:A101,E2,B47:B101)</f>
        <v>1.03</v>
      </c>
      <c r="D28" s="1888"/>
      <c r="E28" s="1913"/>
      <c r="F28" s="1913"/>
      <c r="G28" s="1913"/>
      <c r="H28" s="1913"/>
      <c r="I28" s="1913"/>
      <c r="J28" s="1914"/>
      <c r="K28" s="1055"/>
      <c r="L28" s="2547"/>
      <c r="M28" s="2547"/>
      <c r="N28" s="1915" t="s">
        <v>2017</v>
      </c>
      <c r="O28" s="1089"/>
      <c r="P28" s="1090">
        <f>SUMPRODUCT((地价!A3:A40=YEAR(G23)&amp;"-"&amp;ROUNDUP(MONTH(G23)/3,0))*(地价!AD2:AH2=N28)*(地价!AD3:AH40))</f>
        <v>0</v>
      </c>
      <c r="Q28" s="1054"/>
      <c r="R28" s="1054"/>
      <c r="S28" s="1054"/>
      <c r="T28" s="1051"/>
      <c r="U28" s="1051"/>
      <c r="V28" s="1051"/>
      <c r="W28" s="1050"/>
      <c r="X28" s="1050"/>
      <c r="Y28" s="1050"/>
      <c r="Z28" s="1055"/>
      <c r="AA28" s="1055"/>
      <c r="AB28" s="1055"/>
      <c r="AC28" s="1055"/>
      <c r="AD28" s="1055"/>
      <c r="AE28" s="1051"/>
      <c r="AF28" s="1051"/>
      <c r="AG28" s="1974"/>
      <c r="AH28" s="1974"/>
      <c r="AI28" s="1974"/>
      <c r="AJ28" s="1974"/>
    </row>
    <row r="29" spans="1:37" ht="15.75" thickBot="1">
      <c r="A29" s="1894" t="s">
        <v>368</v>
      </c>
      <c r="B29" s="1916" t="s">
        <v>2018</v>
      </c>
      <c r="C29" s="715"/>
      <c r="D29" s="1862"/>
      <c r="E29" s="1862"/>
      <c r="F29" s="1917"/>
      <c r="G29" s="1862"/>
      <c r="H29" s="1862"/>
      <c r="I29" s="1862"/>
      <c r="J29" s="1863"/>
      <c r="K29" s="1050"/>
      <c r="L29" s="1838"/>
      <c r="M29" s="1838"/>
      <c r="N29" s="2544" t="s">
        <v>2019</v>
      </c>
      <c r="O29" s="2545"/>
      <c r="P29" s="2546">
        <f>SUMPRODUCT((地价!A3:A40=YEAR(G23)&amp;"-"&amp;ROUNDUP(MONTH(G23)/3,0))*(地价!AD2:AH2=N29)*(地价!AD3:AH40))</f>
        <v>0</v>
      </c>
      <c r="Q29" s="1054"/>
      <c r="R29" s="1054"/>
      <c r="S29" s="1054"/>
      <c r="T29" s="1051"/>
      <c r="U29" s="1051"/>
      <c r="V29" s="1051"/>
      <c r="W29" s="1050"/>
      <c r="X29" s="1050"/>
      <c r="Y29" s="1050"/>
      <c r="Z29" s="1055"/>
      <c r="AA29" s="1055"/>
      <c r="AB29" s="1055"/>
      <c r="AC29" s="1055"/>
      <c r="AD29" s="1055"/>
      <c r="AE29" s="1050"/>
      <c r="AF29" s="1050"/>
      <c r="AG29" s="1838"/>
      <c r="AH29" s="1838"/>
      <c r="AI29" s="1838"/>
      <c r="AJ29" s="1838"/>
    </row>
    <row r="30" spans="1:37" ht="15">
      <c r="A30" s="1918"/>
      <c r="B30" s="1906" t="s">
        <v>2020</v>
      </c>
      <c r="C30" s="2139">
        <f>IF(B25="容积率修正",E33+SUM(E37:E42),SUM(V2:V16)+SUM(E37:E42))</f>
        <v>4807</v>
      </c>
      <c r="D30" s="1919"/>
      <c r="E30" s="1836"/>
      <c r="F30" s="1920"/>
      <c r="G30" s="1836"/>
      <c r="H30" s="1836"/>
      <c r="I30" s="1836"/>
      <c r="J30" s="1921"/>
      <c r="K30" s="1050"/>
      <c r="L30" s="3050" t="s">
        <v>1932</v>
      </c>
      <c r="M30" s="3051" t="s">
        <v>1986</v>
      </c>
      <c r="N30" s="3051" t="s">
        <v>1987</v>
      </c>
      <c r="O30" s="3051" t="s">
        <v>1988</v>
      </c>
      <c r="P30" s="3051" t="s">
        <v>1989</v>
      </c>
      <c r="Q30" s="3054" t="s">
        <v>3246</v>
      </c>
      <c r="R30" s="1054"/>
      <c r="S30" s="1054"/>
      <c r="T30" s="1051"/>
      <c r="U30" s="1051"/>
      <c r="V30" s="1051"/>
      <c r="W30" s="1050"/>
      <c r="X30" s="1050"/>
      <c r="Y30" s="1050"/>
      <c r="Z30" s="1055"/>
      <c r="AA30" s="1055"/>
      <c r="AB30" s="1055"/>
      <c r="AC30" s="1055"/>
      <c r="AD30" s="1055"/>
      <c r="AE30" s="1050"/>
      <c r="AF30" s="1050"/>
      <c r="AG30" s="1838"/>
      <c r="AH30" s="1838"/>
      <c r="AI30" s="1838"/>
      <c r="AJ30" s="1838"/>
    </row>
    <row r="31" spans="1:37" ht="15.75" thickBot="1">
      <c r="A31" s="1918"/>
      <c r="B31" s="1922" t="s">
        <v>2021</v>
      </c>
      <c r="C31" s="716">
        <f>E34+SUM(I37:I42)</f>
        <v>0</v>
      </c>
      <c r="D31" s="1923"/>
      <c r="E31" s="1924"/>
      <c r="F31" s="1925"/>
      <c r="G31" s="1924"/>
      <c r="H31" s="1924"/>
      <c r="I31" s="1924"/>
      <c r="J31" s="1926"/>
      <c r="K31" s="1050"/>
      <c r="L31" s="3052" t="s">
        <v>1992</v>
      </c>
      <c r="M31" s="162">
        <v>0.25</v>
      </c>
      <c r="N31" s="162">
        <v>0.2</v>
      </c>
      <c r="O31" s="162">
        <v>0.15</v>
      </c>
      <c r="P31" s="162">
        <v>0.1</v>
      </c>
      <c r="Q31" s="3047">
        <v>0.15</v>
      </c>
      <c r="R31" s="1054"/>
      <c r="S31" s="1054"/>
      <c r="T31" s="1051"/>
      <c r="U31" s="1051"/>
      <c r="V31" s="1051"/>
      <c r="W31" s="1050"/>
      <c r="X31" s="1050"/>
      <c r="Y31" s="1050"/>
      <c r="Z31" s="1055"/>
      <c r="AA31" s="1055"/>
      <c r="AB31" s="1055"/>
      <c r="AC31" s="1055"/>
      <c r="AD31" s="1055"/>
      <c r="AE31" s="1050"/>
      <c r="AF31" s="1050"/>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0"/>
      <c r="L32" s="3053" t="s">
        <v>1995</v>
      </c>
      <c r="M32" s="2350">
        <f>ROUND($E$24*(1+M31),3)</f>
        <v>5.3999999999999999E-2</v>
      </c>
      <c r="N32" s="2350">
        <f>ROUND($E$24*(1+N31),3)</f>
        <v>5.1999999999999998E-2</v>
      </c>
      <c r="O32" s="2350">
        <f>ROUND($E$24*(1+O31),3)</f>
        <v>0.05</v>
      </c>
      <c r="P32" s="2350">
        <f>ROUND($E$24*(1+P31),3)</f>
        <v>4.8000000000000001E-2</v>
      </c>
      <c r="Q32" s="3055">
        <f>ROUND($E$24*(1+Q31),3)</f>
        <v>0.05</v>
      </c>
      <c r="R32" s="1054"/>
      <c r="S32" s="1054"/>
      <c r="T32" s="1051"/>
      <c r="U32" s="1051"/>
      <c r="V32" s="1051"/>
      <c r="W32" s="1050"/>
      <c r="X32" s="1050"/>
      <c r="Y32" s="1050"/>
      <c r="Z32" s="1055"/>
      <c r="AA32" s="1055"/>
      <c r="AB32" s="1055"/>
      <c r="AC32" s="1055"/>
      <c r="AD32" s="1055"/>
      <c r="AE32" s="1050"/>
      <c r="AF32" s="1050"/>
      <c r="AG32" s="1838"/>
      <c r="AH32" s="1838"/>
      <c r="AI32" s="1838"/>
      <c r="AJ32" s="1838"/>
    </row>
    <row r="33" spans="1:37" ht="14.25">
      <c r="A33" s="1932"/>
      <c r="B33" s="1933" t="s">
        <v>2026</v>
      </c>
      <c r="C33" s="167">
        <f>ROUND(C5*C22*C23*C24*C25*C28,0)</f>
        <v>12815</v>
      </c>
      <c r="D33" s="1934"/>
      <c r="E33" s="721">
        <f>ROUND(C33*D33/10000,0)</f>
        <v>0</v>
      </c>
      <c r="F33" s="3045" t="s">
        <v>3244</v>
      </c>
      <c r="G33" s="1935"/>
      <c r="H33" s="1935"/>
      <c r="I33" s="1935"/>
      <c r="J33" s="1936"/>
      <c r="K33" s="1050"/>
      <c r="L33" s="3048" t="s">
        <v>3247</v>
      </c>
      <c r="M33" s="3049">
        <v>5.5E-2</v>
      </c>
      <c r="N33" s="3049">
        <v>5.5E-2</v>
      </c>
      <c r="O33" s="3049">
        <v>0.05</v>
      </c>
      <c r="P33" s="3049">
        <v>0.05</v>
      </c>
      <c r="Q33" s="3049">
        <v>0.05</v>
      </c>
      <c r="R33" s="1054"/>
      <c r="S33" s="1054"/>
      <c r="T33" s="1051"/>
      <c r="U33" s="1051"/>
      <c r="V33" s="1051"/>
      <c r="W33" s="1050"/>
      <c r="X33" s="1050"/>
      <c r="Y33" s="1050"/>
      <c r="Z33" s="1055"/>
      <c r="AA33" s="1055"/>
      <c r="AB33" s="1055"/>
      <c r="AC33" s="1055"/>
      <c r="AD33" s="1055"/>
      <c r="AE33" s="1051"/>
      <c r="AF33" s="1051"/>
      <c r="AG33" s="1974"/>
      <c r="AH33" s="1974"/>
      <c r="AI33" s="1974"/>
      <c r="AJ33" s="1974"/>
    </row>
    <row r="34" spans="1:37" ht="25.5" thickBot="1">
      <c r="A34" s="1937"/>
      <c r="B34" s="1938" t="s">
        <v>2027</v>
      </c>
      <c r="C34" s="179" t="e">
        <f>ROUND(IF(E2="工业",C33*M42,IF(B25="楼层修正",SUM(V2:V16)*M41*10000/D34,C33*M41)),0)</f>
        <v>#DIV/0!</v>
      </c>
      <c r="D34" s="1939"/>
      <c r="E34" s="721">
        <f>ROUND(IF(B25="楼层修正",SUM(V2:V16)*M40,C34*D34/10000),0)</f>
        <v>0</v>
      </c>
      <c r="F34" s="1940" t="s">
        <v>2028</v>
      </c>
      <c r="G34" s="1941"/>
      <c r="H34" s="1941"/>
      <c r="I34" s="1941"/>
      <c r="J34" s="1942"/>
      <c r="K34" s="1050"/>
      <c r="L34" s="3048" t="s">
        <v>3248</v>
      </c>
      <c r="M34" s="3049">
        <v>6.5000000000000002E-2</v>
      </c>
      <c r="N34" s="3049">
        <v>6.5000000000000002E-2</v>
      </c>
      <c r="O34" s="3049">
        <v>0.06</v>
      </c>
      <c r="P34" s="3049">
        <v>0.06</v>
      </c>
      <c r="Q34" s="3049">
        <v>0.06</v>
      </c>
      <c r="R34" s="1054"/>
      <c r="S34" s="1054"/>
      <c r="T34" s="1051"/>
      <c r="U34" s="1051"/>
      <c r="V34" s="1051"/>
      <c r="W34" s="1050"/>
      <c r="X34" s="1050"/>
      <c r="Y34" s="1050"/>
      <c r="Z34" s="1055"/>
      <c r="AA34" s="1055"/>
      <c r="AB34" s="1055"/>
      <c r="AC34" s="1055"/>
      <c r="AD34" s="1055"/>
      <c r="AE34" s="1051"/>
      <c r="AF34" s="1051"/>
      <c r="AG34" s="1974"/>
      <c r="AH34" s="1974"/>
      <c r="AI34" s="1974"/>
      <c r="AJ34" s="1974"/>
    </row>
    <row r="35" spans="1:37">
      <c r="A35" s="1943"/>
      <c r="B35" s="1944" t="s">
        <v>2029</v>
      </c>
      <c r="C35" s="3046" t="s">
        <v>3245</v>
      </c>
      <c r="D35" s="1875"/>
      <c r="E35" s="1945"/>
      <c r="F35" s="1945"/>
      <c r="G35" s="1873" t="s">
        <v>2030</v>
      </c>
      <c r="H35" s="1875"/>
      <c r="I35" s="1946"/>
      <c r="J35" s="1876"/>
      <c r="K35" s="1050"/>
      <c r="L35" s="1050"/>
      <c r="M35" s="1050"/>
      <c r="N35" s="1050"/>
      <c r="O35" s="1053"/>
      <c r="P35" s="1053"/>
      <c r="Q35" s="1054"/>
      <c r="R35" s="1050"/>
      <c r="S35" s="1050"/>
      <c r="T35" s="1050"/>
      <c r="U35" s="1050"/>
      <c r="V35" s="1050"/>
      <c r="W35" s="1050"/>
      <c r="X35" s="1050"/>
      <c r="Y35" s="1050"/>
      <c r="Z35" s="1051"/>
      <c r="AA35" s="1051"/>
      <c r="AB35" s="1051"/>
      <c r="AC35" s="1051"/>
      <c r="AD35" s="1051"/>
      <c r="AE35" s="1051"/>
      <c r="AF35" s="1051"/>
      <c r="AG35" s="1974"/>
      <c r="AH35" s="1974"/>
      <c r="AI35" s="1974"/>
      <c r="AJ35" s="1974"/>
    </row>
    <row r="36" spans="1:37" ht="24.75" thickBot="1">
      <c r="A36" s="1932"/>
      <c r="B36" s="1947"/>
      <c r="C36" s="436" t="s">
        <v>2023</v>
      </c>
      <c r="D36" s="433" t="s">
        <v>2024</v>
      </c>
      <c r="E36" s="433" t="s">
        <v>2025</v>
      </c>
      <c r="F36" s="333" t="s">
        <v>2031</v>
      </c>
      <c r="G36" s="1948" t="s">
        <v>2023</v>
      </c>
      <c r="H36" s="1948" t="s">
        <v>2024</v>
      </c>
      <c r="I36" s="1948" t="s">
        <v>2025</v>
      </c>
      <c r="J36" s="235"/>
      <c r="K36" s="1958" t="s">
        <v>3249</v>
      </c>
      <c r="L36" s="3136">
        <f ca="1">'数据-取费表'!B40</f>
        <v>0.03</v>
      </c>
      <c r="M36" s="2360">
        <f ca="1">ROUND($L$36*(1+M31),3)</f>
        <v>3.7999999999999999E-2</v>
      </c>
      <c r="N36" s="2360">
        <f ca="1">ROUND($L$36*(1+N31),3)</f>
        <v>3.5999999999999997E-2</v>
      </c>
      <c r="O36" s="2360">
        <f ca="1">ROUND($L$36*(1+O31),3)</f>
        <v>3.5000000000000003E-2</v>
      </c>
      <c r="P36" s="2360">
        <f ca="1">ROUND($L$36*(1+P31),3)</f>
        <v>3.3000000000000002E-2</v>
      </c>
      <c r="Q36" s="2360">
        <f ca="1">ROUND($L$36*(1+Q31),3)</f>
        <v>3.5000000000000003E-2</v>
      </c>
      <c r="R36" s="1050"/>
      <c r="S36" s="1050"/>
      <c r="T36" s="1050"/>
      <c r="U36" s="1050"/>
      <c r="V36" s="1050"/>
      <c r="W36" s="1050"/>
      <c r="X36" s="1050"/>
      <c r="Y36" s="1050"/>
      <c r="Z36" s="1051"/>
      <c r="AA36" s="1051"/>
      <c r="AB36" s="1051"/>
      <c r="AC36" s="1051"/>
      <c r="AD36" s="1051"/>
      <c r="AE36" s="1051"/>
      <c r="AF36" s="1051"/>
      <c r="AG36" s="1974"/>
      <c r="AH36" s="1974"/>
      <c r="AI36" s="1974"/>
      <c r="AJ36" s="1974"/>
    </row>
    <row r="37" spans="1:37" ht="24.75" thickBot="1">
      <c r="A37" s="3462"/>
      <c r="B37" s="1949" t="s">
        <v>2032</v>
      </c>
      <c r="C37" s="167">
        <f>ROUND(D5*C22*C23*C24*C28*F37,0)</f>
        <v>6495</v>
      </c>
      <c r="D37" s="1934"/>
      <c r="E37" s="163">
        <f>ROUND(C37*D37/10000,0)</f>
        <v>0</v>
      </c>
      <c r="F37" s="163">
        <f>SUMIF(修正!A59:A70,G2,修正!B59:B70)</f>
        <v>0.6</v>
      </c>
      <c r="G37" s="163">
        <f>ROUND(IF(E2="工业",C37*$M$42,C37*$M$41),0)</f>
        <v>1624</v>
      </c>
      <c r="H37" s="163">
        <f>D37</f>
        <v>0</v>
      </c>
      <c r="I37" s="163">
        <f>ROUND(G37*H37/10000,0)</f>
        <v>0</v>
      </c>
      <c r="J37" s="2749"/>
      <c r="K37" s="3056" t="s">
        <v>3250</v>
      </c>
      <c r="L37" s="1958">
        <f ca="1">L36+K38</f>
        <v>3.4999999999999996E-2</v>
      </c>
      <c r="M37" s="2360">
        <f ca="1">ROUND($L$37*(1+M31),3)</f>
        <v>4.3999999999999997E-2</v>
      </c>
      <c r="N37" s="2360">
        <f t="shared" ref="N37:Q37" ca="1" si="3">ROUND($L$37*(1+N31),3)</f>
        <v>4.2000000000000003E-2</v>
      </c>
      <c r="O37" s="2360">
        <f t="shared" ca="1" si="3"/>
        <v>0.04</v>
      </c>
      <c r="P37" s="2360">
        <f t="shared" ca="1" si="3"/>
        <v>3.9E-2</v>
      </c>
      <c r="Q37" s="2360">
        <f t="shared" ca="1" si="3"/>
        <v>0.04</v>
      </c>
      <c r="R37" s="1050"/>
      <c r="S37" s="1050"/>
      <c r="T37" s="1050"/>
      <c r="U37" s="1050"/>
      <c r="V37" s="1050"/>
      <c r="W37" s="1050"/>
      <c r="X37" s="1050"/>
      <c r="Y37" s="1050"/>
      <c r="Z37" s="1051"/>
      <c r="AA37" s="1051"/>
      <c r="AB37" s="1051"/>
      <c r="AC37" s="1051"/>
      <c r="AD37" s="1051"/>
      <c r="AE37" s="1051"/>
      <c r="AF37" s="1051"/>
      <c r="AG37" s="1974"/>
      <c r="AH37" s="1974"/>
      <c r="AI37" s="1974"/>
      <c r="AJ37" s="1974"/>
    </row>
    <row r="38" spans="1:37">
      <c r="A38" s="3463"/>
      <c r="B38" s="1878" t="s">
        <v>2033</v>
      </c>
      <c r="C38" s="167">
        <f>ROUND(D5*C22*C23*C24*C28*F38,0)</f>
        <v>3248</v>
      </c>
      <c r="D38" s="1934"/>
      <c r="E38" s="163">
        <f t="shared" ref="E38:E42" si="4">ROUND(C38*D38/10000,0)</f>
        <v>0</v>
      </c>
      <c r="F38" s="163">
        <f>SUMIF(修正!A59:A70,G2,修正!C59:C70)</f>
        <v>0.3</v>
      </c>
      <c r="G38" s="163">
        <f>ROUND(IF(E2="工业",C38*$M$42,C38*$M$41),0)</f>
        <v>812</v>
      </c>
      <c r="H38" s="163">
        <f t="shared" ref="H38:H42" si="5">D38</f>
        <v>0</v>
      </c>
      <c r="I38" s="163">
        <f t="shared" ref="I38:I42" si="6">ROUND(G38*H38/10000,0)</f>
        <v>0</v>
      </c>
      <c r="J38" s="2748"/>
      <c r="K38" s="1958">
        <v>5.0000000000000001E-3</v>
      </c>
      <c r="L38" s="1958"/>
      <c r="M38" s="1958"/>
      <c r="N38" s="1958"/>
      <c r="O38" s="1958"/>
      <c r="P38" s="1958"/>
      <c r="Q38" s="1958"/>
      <c r="R38" s="1050"/>
      <c r="S38" s="1050"/>
      <c r="T38" s="1050"/>
      <c r="U38" s="1050"/>
      <c r="V38" s="1050"/>
      <c r="W38" s="1050"/>
      <c r="X38" s="1050"/>
      <c r="Y38" s="1050"/>
      <c r="Z38" s="1051"/>
      <c r="AA38" s="1051"/>
      <c r="AB38" s="1051"/>
      <c r="AC38" s="1051"/>
      <c r="AD38" s="1051"/>
    </row>
    <row r="39" spans="1:37" ht="13.5" thickBot="1">
      <c r="A39" s="3463"/>
      <c r="B39" s="1878" t="s">
        <v>3243</v>
      </c>
      <c r="C39" s="167">
        <f>ROUND(D5*C22*C23*C24*C28*F39,0)</f>
        <v>2706</v>
      </c>
      <c r="D39" s="1934"/>
      <c r="E39" s="163">
        <f t="shared" si="4"/>
        <v>0</v>
      </c>
      <c r="F39" s="163">
        <f>SUMIF(修正!A59:A70,G2,修正!D59:D70)</f>
        <v>0.25</v>
      </c>
      <c r="G39" s="163">
        <f>ROUND(IF(E2="工业",C39*$M$42,C39*$M$41),0)</f>
        <v>677</v>
      </c>
      <c r="H39" s="163">
        <f t="shared" si="5"/>
        <v>0</v>
      </c>
      <c r="I39" s="163">
        <f t="shared" si="6"/>
        <v>0</v>
      </c>
      <c r="J39" s="2748"/>
      <c r="K39" s="1050"/>
      <c r="L39" s="1050"/>
      <c r="M39" s="1050"/>
      <c r="N39" s="1050"/>
      <c r="O39" s="1050"/>
      <c r="P39" s="1050"/>
      <c r="Q39" s="1050"/>
      <c r="R39" s="1050"/>
      <c r="S39" s="1050"/>
      <c r="T39" s="1050"/>
      <c r="U39" s="1050"/>
      <c r="V39" s="1050"/>
      <c r="W39" s="1050"/>
      <c r="X39" s="1050"/>
      <c r="Y39" s="1050"/>
      <c r="Z39" s="1051"/>
      <c r="AA39" s="1051"/>
      <c r="AB39" s="1051"/>
      <c r="AC39" s="1051"/>
      <c r="AD39" s="1051"/>
    </row>
    <row r="40" spans="1:37" s="1050" customFormat="1">
      <c r="A40" s="1950"/>
      <c r="B40" s="1878" t="s">
        <v>2034</v>
      </c>
      <c r="C40" s="163">
        <f>ROUND(D5*C22*C23*C24*C28*F40,0)</f>
        <v>2706</v>
      </c>
      <c r="D40" s="1934"/>
      <c r="E40" s="163">
        <f t="shared" si="4"/>
        <v>0</v>
      </c>
      <c r="F40" s="167">
        <f>SUMIF(修正!A59:A70,G2,修正!E59:E70)</f>
        <v>0.25</v>
      </c>
      <c r="G40" s="163">
        <f>ROUND(IF(E2="工业",C40*$M$42,C40*$M$41),0)</f>
        <v>677</v>
      </c>
      <c r="H40" s="163">
        <f t="shared" si="5"/>
        <v>0</v>
      </c>
      <c r="I40" s="163">
        <f t="shared" si="6"/>
        <v>0</v>
      </c>
      <c r="J40" s="933"/>
      <c r="L40" s="1951" t="s">
        <v>2035</v>
      </c>
      <c r="M40" s="1952"/>
      <c r="Z40" s="1051"/>
      <c r="AA40" s="1051"/>
      <c r="AB40" s="1051"/>
      <c r="AC40" s="1051"/>
      <c r="AD40" s="1051"/>
      <c r="AE40" s="1051"/>
      <c r="AF40" s="1051"/>
      <c r="AG40" s="1051"/>
      <c r="AH40" s="1051"/>
      <c r="AI40" s="1051"/>
      <c r="AJ40" s="1051"/>
    </row>
    <row r="41" spans="1:37" s="1050" customFormat="1">
      <c r="A41" s="1950"/>
      <c r="B41" s="1878" t="s">
        <v>2036</v>
      </c>
      <c r="C41" s="163">
        <f>ROUND(D5*C22*C23*C44*C28*F41,0)</f>
        <v>0</v>
      </c>
      <c r="D41" s="1934"/>
      <c r="E41" s="163">
        <f t="shared" si="4"/>
        <v>0</v>
      </c>
      <c r="F41" s="167">
        <f>SUMIF(修正!A59:A70,G2,修正!F59:F70)</f>
        <v>0.25</v>
      </c>
      <c r="G41" s="163">
        <f>ROUND(IF(E2="工业",C41*$M$42,C41*$M$41),0)</f>
        <v>0</v>
      </c>
      <c r="H41" s="163">
        <f t="shared" si="5"/>
        <v>0</v>
      </c>
      <c r="I41" s="163">
        <f t="shared" si="6"/>
        <v>0</v>
      </c>
      <c r="J41" s="933"/>
      <c r="L41" s="3057" t="s">
        <v>3251</v>
      </c>
      <c r="M41" s="1953">
        <v>0.25</v>
      </c>
      <c r="Z41" s="1051"/>
      <c r="AA41" s="1051"/>
      <c r="AB41" s="1051"/>
      <c r="AC41" s="1051"/>
      <c r="AD41" s="1051"/>
      <c r="AE41" s="1051"/>
      <c r="AF41" s="1051"/>
      <c r="AG41" s="1051"/>
      <c r="AH41" s="1051"/>
      <c r="AI41" s="1051"/>
      <c r="AJ41" s="1051"/>
    </row>
    <row r="42" spans="1:37" s="1050" customFormat="1" ht="13.5" thickBot="1">
      <c r="A42" s="1937"/>
      <c r="B42" s="1954" t="s">
        <v>2037</v>
      </c>
      <c r="C42" s="179">
        <f>ROUND(D5*C22*C23*C44*C28*F42,0)</f>
        <v>0</v>
      </c>
      <c r="D42" s="1939"/>
      <c r="E42" s="179">
        <f t="shared" si="4"/>
        <v>0</v>
      </c>
      <c r="F42" s="717">
        <f>SUMIF(修正!A59:A70,G2,修正!G59:G70)</f>
        <v>0.15</v>
      </c>
      <c r="G42" s="179">
        <f>ROUND(IF(E2="工业",C42*$M$42,C42*$M$41),0)</f>
        <v>0</v>
      </c>
      <c r="H42" s="179">
        <f t="shared" si="5"/>
        <v>0</v>
      </c>
      <c r="I42" s="179">
        <f t="shared" si="6"/>
        <v>0</v>
      </c>
      <c r="J42" s="1955"/>
      <c r="L42" s="1956" t="s">
        <v>1989</v>
      </c>
      <c r="M42" s="1957">
        <v>0.15</v>
      </c>
      <c r="Z42" s="1051"/>
      <c r="AA42" s="1051"/>
      <c r="AB42" s="1051"/>
      <c r="AC42" s="1051"/>
      <c r="AD42" s="1051"/>
      <c r="AE42" s="1051"/>
      <c r="AF42" s="1051"/>
      <c r="AG42" s="1051"/>
      <c r="AH42" s="1051"/>
      <c r="AI42" s="1051"/>
      <c r="AJ42" s="1051"/>
    </row>
    <row r="43" spans="1:37" s="1050" customFormat="1">
      <c r="Z43" s="1051"/>
      <c r="AA43" s="1051"/>
      <c r="AB43" s="1051"/>
      <c r="AC43" s="1051"/>
      <c r="AD43" s="1051"/>
      <c r="AE43" s="1051"/>
      <c r="AF43" s="1051"/>
      <c r="AG43" s="1051"/>
      <c r="AH43" s="1051"/>
      <c r="AI43" s="1051"/>
      <c r="AJ43" s="1051"/>
    </row>
    <row r="44" spans="1:37" s="1050" customFormat="1">
      <c r="A44" s="1051"/>
      <c r="B44" s="1986" t="s">
        <v>2115</v>
      </c>
      <c r="C44" s="333">
        <f>ROUND(POWER(1+E44,H44-G44)*(POWER(1+E44,G44)-1)/(POWER(1+E44,H44)-1),4)</f>
        <v>0</v>
      </c>
      <c r="D44" s="163" t="s">
        <v>1995</v>
      </c>
      <c r="E44" s="1985">
        <f>G24</f>
        <v>5.5E-2</v>
      </c>
      <c r="F44" s="163" t="s">
        <v>2004</v>
      </c>
      <c r="G44" s="175"/>
      <c r="H44" s="163">
        <v>50</v>
      </c>
      <c r="Z44" s="1051"/>
      <c r="AA44" s="1051"/>
      <c r="AB44" s="1051"/>
      <c r="AC44" s="1051"/>
      <c r="AD44" s="1051"/>
      <c r="AE44" s="1051"/>
      <c r="AF44" s="1051"/>
      <c r="AG44" s="1051"/>
      <c r="AH44" s="1051"/>
      <c r="AI44" s="1051"/>
      <c r="AJ44" s="1051"/>
    </row>
    <row r="45" spans="1:37" s="1050" customFormat="1">
      <c r="A45" s="1051"/>
      <c r="B45" s="1958"/>
      <c r="Z45" s="1051"/>
      <c r="AA45" s="1051"/>
      <c r="AB45" s="1051"/>
      <c r="AC45" s="1051"/>
      <c r="AD45" s="1051"/>
      <c r="AE45" s="1051"/>
      <c r="AF45" s="1051"/>
      <c r="AG45" s="1051"/>
      <c r="AH45" s="1051"/>
      <c r="AI45" s="1051"/>
      <c r="AJ45" s="1051"/>
    </row>
    <row r="46" spans="1:37" s="1050" customFormat="1">
      <c r="A46" s="1051"/>
      <c r="B46" s="1958"/>
      <c r="AA46" s="1051"/>
      <c r="AB46" s="1051"/>
      <c r="AC46" s="1051"/>
      <c r="AD46" s="1051"/>
      <c r="AE46" s="1051"/>
      <c r="AF46" s="1051"/>
      <c r="AG46" s="1051"/>
      <c r="AH46" s="1051"/>
      <c r="AI46" s="1051"/>
      <c r="AJ46" s="1051"/>
      <c r="AK46" s="1051"/>
    </row>
    <row r="47" spans="1:37" s="1050" customFormat="1" ht="15.75" thickBot="1">
      <c r="A47" s="1959" t="s">
        <v>2038</v>
      </c>
      <c r="B47" s="1960"/>
      <c r="C47" s="4"/>
      <c r="D47" s="4"/>
      <c r="E47" s="4"/>
      <c r="F47" s="3"/>
      <c r="G47" s="3"/>
      <c r="H47" s="3"/>
      <c r="I47" s="1675"/>
      <c r="J47" s="1675"/>
      <c r="K47" s="1675"/>
      <c r="L47" s="1675"/>
      <c r="M47" s="1675"/>
      <c r="AA47" s="1051"/>
      <c r="AB47" s="1051"/>
      <c r="AC47" s="1051"/>
      <c r="AD47" s="1051"/>
      <c r="AE47" s="1051"/>
      <c r="AF47" s="1051"/>
      <c r="AG47" s="1051"/>
      <c r="AH47" s="1051"/>
      <c r="AI47" s="1051"/>
      <c r="AJ47" s="1051"/>
      <c r="AK47" s="1051"/>
    </row>
    <row r="48" spans="1:37" s="1050" customFormat="1" ht="15">
      <c r="A48" s="1961" t="s">
        <v>2039</v>
      </c>
      <c r="B48" s="1962">
        <f>1+E50</f>
        <v>1.03</v>
      </c>
      <c r="C48" s="1720"/>
      <c r="D48" s="693"/>
      <c r="E48" s="694"/>
      <c r="F48" s="1963"/>
      <c r="G48" s="3"/>
      <c r="H48" s="4"/>
      <c r="I48" s="1675"/>
      <c r="J48" s="1675"/>
      <c r="K48" s="1675"/>
      <c r="L48" s="1675"/>
      <c r="M48" s="1675"/>
      <c r="AA48" s="1051"/>
      <c r="AB48" s="1051"/>
      <c r="AC48" s="1051"/>
      <c r="AD48" s="1051"/>
      <c r="AE48" s="1051"/>
      <c r="AF48" s="1051"/>
      <c r="AG48" s="1051"/>
      <c r="AH48" s="1051"/>
      <c r="AI48" s="1051"/>
      <c r="AJ48" s="1051"/>
      <c r="AK48" s="1051"/>
    </row>
    <row r="49" spans="1:37" s="1050" customFormat="1" ht="24.75">
      <c r="A49" s="1964" t="s">
        <v>2040</v>
      </c>
      <c r="B49" s="1256" t="s">
        <v>2041</v>
      </c>
      <c r="C49" s="1256" t="s">
        <v>2042</v>
      </c>
      <c r="D49" s="1256" t="s">
        <v>2043</v>
      </c>
      <c r="E49" s="695" t="s">
        <v>2044</v>
      </c>
      <c r="F49" s="1965" t="s">
        <v>2045</v>
      </c>
      <c r="G49" s="1256" t="s">
        <v>310</v>
      </c>
      <c r="H49" s="1966" t="s">
        <v>2046</v>
      </c>
      <c r="I49" s="1256" t="s">
        <v>2047</v>
      </c>
      <c r="J49" s="530" t="s">
        <v>1717</v>
      </c>
      <c r="K49" s="530" t="s">
        <v>1718</v>
      </c>
      <c r="L49" s="530" t="s">
        <v>1719</v>
      </c>
      <c r="M49" s="530" t="s">
        <v>1720</v>
      </c>
      <c r="N49" s="530" t="s">
        <v>1721</v>
      </c>
      <c r="AA49" s="1051"/>
      <c r="AB49" s="1051"/>
      <c r="AC49" s="1051"/>
      <c r="AD49" s="1051"/>
      <c r="AE49" s="1051"/>
      <c r="AF49" s="1051"/>
      <c r="AG49" s="1051"/>
      <c r="AH49" s="1051"/>
      <c r="AI49" s="1051"/>
      <c r="AJ49" s="1051"/>
      <c r="AK49" s="1051"/>
    </row>
    <row r="50" spans="1:37" s="1050" customFormat="1" ht="24.75">
      <c r="A50" s="1964" t="s">
        <v>2048</v>
      </c>
      <c r="B50" s="1967">
        <f>估价对象房地状况!C4</f>
        <v>0</v>
      </c>
      <c r="C50" s="1881" t="s">
        <v>3540</v>
      </c>
      <c r="D50" s="996">
        <f t="shared" ref="D50:D58" si="7">SUMIF($J$49:$N$49,C50,J50:N50)</f>
        <v>0</v>
      </c>
      <c r="E50" s="696">
        <f>ROUND(SUM(D50:D58),4)</f>
        <v>0.03</v>
      </c>
      <c r="F50" s="1669">
        <f>IF(E2="商业",SUMIF(L1:L12,G2,N1:N12),"——")</f>
        <v>0.1</v>
      </c>
      <c r="G50" s="994">
        <f>H50</f>
        <v>1.4999999999999999E-2</v>
      </c>
      <c r="H50" s="997">
        <f t="shared" ref="H50:H58" si="8">IFERROR(ROUNDDOWN($F$50*I50/2,4),"——")</f>
        <v>1.4999999999999999E-2</v>
      </c>
      <c r="I50" s="3063">
        <v>0.3</v>
      </c>
      <c r="J50" s="995">
        <f t="shared" ref="J50:J58" si="9">K50+$G50</f>
        <v>0.03</v>
      </c>
      <c r="K50" s="995">
        <f t="shared" ref="K50:K58" si="10">$L50+$G50</f>
        <v>1.4999999999999999E-2</v>
      </c>
      <c r="L50" s="995">
        <v>0</v>
      </c>
      <c r="M50" s="995">
        <f t="shared" ref="M50:N58" si="11">L50-$G50</f>
        <v>-1.4999999999999999E-2</v>
      </c>
      <c r="N50" s="995">
        <f t="shared" si="11"/>
        <v>-0.03</v>
      </c>
      <c r="AA50" s="1051"/>
      <c r="AB50" s="1051"/>
      <c r="AC50" s="1051"/>
      <c r="AD50" s="1051"/>
      <c r="AE50" s="1051"/>
      <c r="AF50" s="1051"/>
      <c r="AG50" s="1051"/>
      <c r="AH50" s="1051"/>
      <c r="AI50" s="1051"/>
      <c r="AJ50" s="1051"/>
      <c r="AK50" s="1051"/>
    </row>
    <row r="51" spans="1:37" s="1050" customFormat="1" ht="14.25">
      <c r="A51" s="1964" t="s">
        <v>2049</v>
      </c>
      <c r="B51" s="1256">
        <f>估价对象房地状况!C18</f>
        <v>0</v>
      </c>
      <c r="C51" s="1881" t="s">
        <v>3539</v>
      </c>
      <c r="D51" s="996">
        <f t="shared" si="7"/>
        <v>1.0999999999999999E-2</v>
      </c>
      <c r="E51" s="697"/>
      <c r="F51" s="1669"/>
      <c r="G51" s="994">
        <f t="shared" ref="G51:G58" si="12">H51</f>
        <v>1.0999999999999999E-2</v>
      </c>
      <c r="H51" s="997">
        <f t="shared" si="8"/>
        <v>1.0999999999999999E-2</v>
      </c>
      <c r="I51" s="3063">
        <v>0.22</v>
      </c>
      <c r="J51" s="995">
        <f t="shared" si="9"/>
        <v>2.1999999999999999E-2</v>
      </c>
      <c r="K51" s="995">
        <f t="shared" si="10"/>
        <v>1.0999999999999999E-2</v>
      </c>
      <c r="L51" s="995">
        <v>0</v>
      </c>
      <c r="M51" s="995">
        <f t="shared" si="11"/>
        <v>-1.0999999999999999E-2</v>
      </c>
      <c r="N51" s="995">
        <f t="shared" si="11"/>
        <v>-2.1999999999999999E-2</v>
      </c>
      <c r="AA51" s="1051"/>
      <c r="AB51" s="1051"/>
      <c r="AC51" s="1051"/>
      <c r="AD51" s="1051"/>
      <c r="AE51" s="1051"/>
      <c r="AF51" s="1051"/>
      <c r="AG51" s="1051"/>
      <c r="AH51" s="1051"/>
      <c r="AI51" s="1051"/>
      <c r="AJ51" s="1051"/>
      <c r="AK51" s="1051"/>
    </row>
    <row r="52" spans="1:37" s="1050" customFormat="1" ht="36">
      <c r="A52" s="3065" t="s">
        <v>3253</v>
      </c>
      <c r="B52" s="1256">
        <f>估价对象房地状况!C19</f>
        <v>0</v>
      </c>
      <c r="C52" s="1881" t="s">
        <v>3539</v>
      </c>
      <c r="D52" s="996">
        <f t="shared" si="7"/>
        <v>6.0000000000000001E-3</v>
      </c>
      <c r="E52" s="697"/>
      <c r="F52" s="1669"/>
      <c r="G52" s="994">
        <f t="shared" si="12"/>
        <v>6.0000000000000001E-3</v>
      </c>
      <c r="H52" s="997">
        <f t="shared" si="8"/>
        <v>6.0000000000000001E-3</v>
      </c>
      <c r="I52" s="3063">
        <v>0.12</v>
      </c>
      <c r="J52" s="995">
        <f t="shared" si="9"/>
        <v>1.2E-2</v>
      </c>
      <c r="K52" s="995">
        <f t="shared" si="10"/>
        <v>6.0000000000000001E-3</v>
      </c>
      <c r="L52" s="995">
        <v>0</v>
      </c>
      <c r="M52" s="995">
        <f t="shared" si="11"/>
        <v>-6.0000000000000001E-3</v>
      </c>
      <c r="N52" s="995">
        <f t="shared" si="11"/>
        <v>-1.2E-2</v>
      </c>
      <c r="AA52" s="1051"/>
      <c r="AB52" s="1051"/>
      <c r="AC52" s="1051"/>
      <c r="AD52" s="1051"/>
      <c r="AE52" s="1051"/>
      <c r="AF52" s="1051"/>
      <c r="AG52" s="1051"/>
      <c r="AH52" s="1051"/>
      <c r="AI52" s="1051"/>
      <c r="AJ52" s="1051"/>
      <c r="AK52" s="1051"/>
    </row>
    <row r="53" spans="1:37" s="1050" customFormat="1" ht="36.75">
      <c r="A53" s="1964" t="s">
        <v>2050</v>
      </c>
      <c r="B53" s="1968" t="s">
        <v>2051</v>
      </c>
      <c r="C53" s="1881" t="s">
        <v>3539</v>
      </c>
      <c r="D53" s="996">
        <f t="shared" si="7"/>
        <v>2.5000000000000001E-3</v>
      </c>
      <c r="E53" s="697"/>
      <c r="F53" s="1669"/>
      <c r="G53" s="994">
        <f t="shared" si="12"/>
        <v>2.5000000000000001E-3</v>
      </c>
      <c r="H53" s="997">
        <f t="shared" si="8"/>
        <v>2.5000000000000001E-3</v>
      </c>
      <c r="I53" s="3063">
        <v>0.05</v>
      </c>
      <c r="J53" s="995">
        <f t="shared" si="9"/>
        <v>5.0000000000000001E-3</v>
      </c>
      <c r="K53" s="995">
        <f t="shared" si="10"/>
        <v>2.5000000000000001E-3</v>
      </c>
      <c r="L53" s="995">
        <v>0</v>
      </c>
      <c r="M53" s="995">
        <f t="shared" si="11"/>
        <v>-2.5000000000000001E-3</v>
      </c>
      <c r="N53" s="995">
        <f t="shared" si="11"/>
        <v>-5.0000000000000001E-3</v>
      </c>
      <c r="AA53" s="1051"/>
      <c r="AB53" s="1051"/>
      <c r="AC53" s="1051"/>
      <c r="AD53" s="1051"/>
      <c r="AE53" s="1051"/>
      <c r="AF53" s="1051"/>
      <c r="AG53" s="1051"/>
      <c r="AH53" s="1051"/>
      <c r="AI53" s="1051"/>
      <c r="AJ53" s="1051"/>
      <c r="AK53" s="1051"/>
    </row>
    <row r="54" spans="1:37" s="1050" customFormat="1" ht="24">
      <c r="A54" s="1964" t="s">
        <v>2052</v>
      </c>
      <c r="B54" s="1256">
        <f>估价对象房地状况!C24</f>
        <v>0</v>
      </c>
      <c r="C54" s="1881" t="s">
        <v>3540</v>
      </c>
      <c r="D54" s="996">
        <f t="shared" si="7"/>
        <v>0</v>
      </c>
      <c r="E54" s="697"/>
      <c r="F54" s="1669"/>
      <c r="G54" s="994">
        <f t="shared" si="12"/>
        <v>4.0000000000000001E-3</v>
      </c>
      <c r="H54" s="997">
        <f t="shared" si="8"/>
        <v>4.0000000000000001E-3</v>
      </c>
      <c r="I54" s="3063">
        <v>0.08</v>
      </c>
      <c r="J54" s="995">
        <f t="shared" si="9"/>
        <v>8.0000000000000002E-3</v>
      </c>
      <c r="K54" s="995">
        <f t="shared" si="10"/>
        <v>4.0000000000000001E-3</v>
      </c>
      <c r="L54" s="995">
        <v>0</v>
      </c>
      <c r="M54" s="995">
        <f t="shared" si="11"/>
        <v>-4.0000000000000001E-3</v>
      </c>
      <c r="N54" s="995">
        <f t="shared" si="11"/>
        <v>-8.0000000000000002E-3</v>
      </c>
      <c r="AA54" s="1051"/>
      <c r="AB54" s="1051"/>
      <c r="AC54" s="1051"/>
      <c r="AD54" s="1051"/>
      <c r="AE54" s="1051"/>
      <c r="AF54" s="1051"/>
      <c r="AG54" s="1051"/>
      <c r="AH54" s="1051"/>
      <c r="AI54" s="1051"/>
      <c r="AJ54" s="1051"/>
      <c r="AK54" s="1051"/>
    </row>
    <row r="55" spans="1:37" s="1050" customFormat="1" ht="24">
      <c r="A55" s="1964" t="s">
        <v>2053</v>
      </c>
      <c r="B55" s="1969" t="s">
        <v>2054</v>
      </c>
      <c r="C55" s="1881" t="s">
        <v>3539</v>
      </c>
      <c r="D55" s="996">
        <f t="shared" si="7"/>
        <v>2.5000000000000001E-3</v>
      </c>
      <c r="E55" s="697"/>
      <c r="F55" s="1669"/>
      <c r="G55" s="994">
        <f t="shared" si="12"/>
        <v>2.5000000000000001E-3</v>
      </c>
      <c r="H55" s="997">
        <f t="shared" si="8"/>
        <v>2.5000000000000001E-3</v>
      </c>
      <c r="I55" s="3063">
        <v>0.05</v>
      </c>
      <c r="J55" s="995">
        <f t="shared" si="9"/>
        <v>5.0000000000000001E-3</v>
      </c>
      <c r="K55" s="995">
        <f t="shared" si="10"/>
        <v>2.5000000000000001E-3</v>
      </c>
      <c r="L55" s="995">
        <v>0</v>
      </c>
      <c r="M55" s="995">
        <f t="shared" si="11"/>
        <v>-2.5000000000000001E-3</v>
      </c>
      <c r="N55" s="995">
        <f t="shared" si="11"/>
        <v>-5.0000000000000001E-3</v>
      </c>
      <c r="AA55" s="1051"/>
      <c r="AB55" s="1051"/>
      <c r="AC55" s="1051"/>
      <c r="AD55" s="1051"/>
      <c r="AE55" s="1051"/>
      <c r="AF55" s="1051"/>
      <c r="AG55" s="1051"/>
      <c r="AH55" s="1051"/>
      <c r="AI55" s="1051"/>
      <c r="AJ55" s="1051"/>
      <c r="AK55" s="1051"/>
    </row>
    <row r="56" spans="1:37" s="1050" customFormat="1" ht="24">
      <c r="A56" s="1970" t="s">
        <v>2055</v>
      </c>
      <c r="B56" s="1234">
        <f>估价对象房地状况!C21</f>
        <v>0</v>
      </c>
      <c r="C56" s="1881" t="s">
        <v>3540</v>
      </c>
      <c r="D56" s="996">
        <f t="shared" si="7"/>
        <v>0</v>
      </c>
      <c r="E56" s="697"/>
      <c r="F56" s="1669"/>
      <c r="G56" s="994">
        <f t="shared" si="12"/>
        <v>2.5000000000000001E-3</v>
      </c>
      <c r="H56" s="997">
        <f t="shared" si="8"/>
        <v>2.5000000000000001E-3</v>
      </c>
      <c r="I56" s="3063">
        <v>0.05</v>
      </c>
      <c r="J56" s="995">
        <f t="shared" si="9"/>
        <v>5.0000000000000001E-3</v>
      </c>
      <c r="K56" s="995">
        <f t="shared" si="10"/>
        <v>2.5000000000000001E-3</v>
      </c>
      <c r="L56" s="995">
        <v>0</v>
      </c>
      <c r="M56" s="995">
        <f t="shared" si="11"/>
        <v>-2.5000000000000001E-3</v>
      </c>
      <c r="N56" s="995">
        <f t="shared" si="11"/>
        <v>-5.0000000000000001E-3</v>
      </c>
      <c r="AA56" s="1051"/>
      <c r="AB56" s="1051"/>
      <c r="AC56" s="1051"/>
      <c r="AD56" s="1051"/>
      <c r="AE56" s="1051"/>
      <c r="AF56" s="1051"/>
      <c r="AG56" s="1051"/>
      <c r="AH56" s="1051"/>
      <c r="AI56" s="1051"/>
      <c r="AJ56" s="1051"/>
      <c r="AK56" s="1051"/>
    </row>
    <row r="57" spans="1:37" s="1050" customFormat="1" ht="24">
      <c r="A57" s="1970" t="s">
        <v>2056</v>
      </c>
      <c r="B57" s="1256">
        <f>估价对象房地状况!C22</f>
        <v>0</v>
      </c>
      <c r="C57" s="1881" t="s">
        <v>3542</v>
      </c>
      <c r="D57" s="996">
        <f t="shared" si="7"/>
        <v>8.0000000000000002E-3</v>
      </c>
      <c r="E57" s="697"/>
      <c r="F57" s="1669"/>
      <c r="G57" s="994">
        <f t="shared" si="12"/>
        <v>4.0000000000000001E-3</v>
      </c>
      <c r="H57" s="997">
        <f t="shared" si="8"/>
        <v>4.0000000000000001E-3</v>
      </c>
      <c r="I57" s="3063">
        <v>0.08</v>
      </c>
      <c r="J57" s="995">
        <f t="shared" si="9"/>
        <v>8.0000000000000002E-3</v>
      </c>
      <c r="K57" s="995">
        <f t="shared" si="10"/>
        <v>4.0000000000000001E-3</v>
      </c>
      <c r="L57" s="995">
        <v>0</v>
      </c>
      <c r="M57" s="995">
        <f t="shared" si="11"/>
        <v>-4.0000000000000001E-3</v>
      </c>
      <c r="N57" s="995">
        <f t="shared" si="11"/>
        <v>-8.0000000000000002E-3</v>
      </c>
      <c r="AA57" s="1051"/>
      <c r="AB57" s="1051"/>
      <c r="AC57" s="1051"/>
      <c r="AD57" s="1051"/>
      <c r="AE57" s="1051"/>
      <c r="AF57" s="1051"/>
      <c r="AG57" s="1051"/>
      <c r="AH57" s="1051"/>
      <c r="AI57" s="1051"/>
      <c r="AJ57" s="1051"/>
      <c r="AK57" s="1051"/>
    </row>
    <row r="58" spans="1:37" s="1050" customFormat="1" ht="24.75" thickBot="1">
      <c r="A58" s="1971" t="s">
        <v>2057</v>
      </c>
      <c r="B58" s="1972">
        <f>估价对象房地状况!C20</f>
        <v>0</v>
      </c>
      <c r="C58" s="1881" t="s">
        <v>3540</v>
      </c>
      <c r="D58" s="996">
        <f t="shared" si="7"/>
        <v>0</v>
      </c>
      <c r="E58" s="698"/>
      <c r="F58" s="1669"/>
      <c r="G58" s="994">
        <f t="shared" si="12"/>
        <v>2.5000000000000001E-3</v>
      </c>
      <c r="H58" s="997">
        <f t="shared" si="8"/>
        <v>2.5000000000000001E-3</v>
      </c>
      <c r="I58" s="3064">
        <v>0.05</v>
      </c>
      <c r="J58" s="995">
        <f t="shared" si="9"/>
        <v>5.0000000000000001E-3</v>
      </c>
      <c r="K58" s="995">
        <f t="shared" si="10"/>
        <v>2.5000000000000001E-3</v>
      </c>
      <c r="L58" s="995">
        <v>0</v>
      </c>
      <c r="M58" s="995">
        <f t="shared" si="11"/>
        <v>-2.5000000000000001E-3</v>
      </c>
      <c r="N58" s="995">
        <f t="shared" si="11"/>
        <v>-5.0000000000000001E-3</v>
      </c>
      <c r="AA58" s="1051"/>
      <c r="AB58" s="1051"/>
      <c r="AC58" s="1051"/>
      <c r="AD58" s="1051"/>
      <c r="AE58" s="1051"/>
      <c r="AF58" s="1051"/>
      <c r="AG58" s="1051"/>
      <c r="AH58" s="1051"/>
      <c r="AI58" s="1051"/>
      <c r="AJ58" s="1051"/>
      <c r="AK58" s="1051"/>
    </row>
    <row r="59" spans="1:37" s="1050" customFormat="1" ht="15">
      <c r="A59" s="1961" t="s">
        <v>2058</v>
      </c>
      <c r="B59" s="1962">
        <f>1+E61</f>
        <v>1</v>
      </c>
      <c r="C59" s="693"/>
      <c r="D59" s="693"/>
      <c r="E59" s="694"/>
      <c r="F59" s="1963"/>
      <c r="G59" s="3"/>
      <c r="H59" s="3"/>
      <c r="I59" s="3"/>
      <c r="J59" s="4"/>
      <c r="K59" s="4"/>
      <c r="L59" s="4"/>
      <c r="M59" s="4"/>
      <c r="N59" s="4"/>
      <c r="AA59" s="1051"/>
      <c r="AB59" s="1051"/>
      <c r="AC59" s="1051"/>
      <c r="AD59" s="1051"/>
      <c r="AE59" s="1051"/>
      <c r="AF59" s="1051"/>
      <c r="AG59" s="1051"/>
      <c r="AH59" s="1051"/>
      <c r="AI59" s="1051"/>
      <c r="AJ59" s="1051"/>
      <c r="AK59" s="1051"/>
    </row>
    <row r="60" spans="1:37" s="1050" customFormat="1" ht="24.75">
      <c r="A60" s="1964" t="s">
        <v>2040</v>
      </c>
      <c r="B60" s="1256"/>
      <c r="C60" s="1256" t="s">
        <v>2042</v>
      </c>
      <c r="D60" s="1256" t="s">
        <v>2043</v>
      </c>
      <c r="E60" s="695" t="s">
        <v>2044</v>
      </c>
      <c r="F60" s="1965" t="s">
        <v>2059</v>
      </c>
      <c r="G60" s="1256" t="s">
        <v>310</v>
      </c>
      <c r="H60" s="1966" t="s">
        <v>2046</v>
      </c>
      <c r="I60" s="1256" t="s">
        <v>2047</v>
      </c>
      <c r="J60" s="530" t="s">
        <v>1717</v>
      </c>
      <c r="K60" s="530" t="s">
        <v>1718</v>
      </c>
      <c r="L60" s="530" t="s">
        <v>1719</v>
      </c>
      <c r="M60" s="530" t="s">
        <v>1720</v>
      </c>
      <c r="N60" s="530" t="s">
        <v>1721</v>
      </c>
      <c r="AA60" s="1051"/>
      <c r="AB60" s="1051"/>
      <c r="AC60" s="1051"/>
      <c r="AD60" s="1051"/>
      <c r="AE60" s="1051"/>
      <c r="AF60" s="1051"/>
      <c r="AG60" s="1051"/>
      <c r="AH60" s="1051"/>
      <c r="AI60" s="1051"/>
      <c r="AJ60" s="1051"/>
      <c r="AK60" s="1051"/>
    </row>
    <row r="61" spans="1:37" s="1050" customFormat="1" ht="24">
      <c r="A61" s="1964" t="s">
        <v>2060</v>
      </c>
      <c r="B61" s="1967">
        <f>估价对象房地状况!C17</f>
        <v>0</v>
      </c>
      <c r="C61" s="1881"/>
      <c r="D61" s="996">
        <f t="shared" ref="D61:D69" si="13">SUMIF($J$60:$N$60,C61,J61:N61)</f>
        <v>0</v>
      </c>
      <c r="E61" s="696">
        <f>ROUND(SUM(D61:D69),4)</f>
        <v>0</v>
      </c>
      <c r="F61" s="1669" t="str">
        <f>IF(E2="办公",SUMIF(L1:L12,G2,N1:N12),"——")</f>
        <v>——</v>
      </c>
      <c r="G61" s="994"/>
      <c r="H61" s="997" t="str">
        <f t="shared" ref="H61:H69" si="14">IFERROR(ROUNDDOWN($F$61*I61/2,4),"——")</f>
        <v>——</v>
      </c>
      <c r="I61" s="3063">
        <v>0.25</v>
      </c>
      <c r="J61" s="995">
        <f t="shared" ref="J61:J69" si="15">K61+$G61</f>
        <v>0</v>
      </c>
      <c r="K61" s="995">
        <f t="shared" ref="K61:K69" si="16">$L61+$G61</f>
        <v>0</v>
      </c>
      <c r="L61" s="995">
        <v>0</v>
      </c>
      <c r="M61" s="995">
        <f t="shared" ref="M61:N69" si="17">L61-$G61</f>
        <v>0</v>
      </c>
      <c r="N61" s="995">
        <f t="shared" si="17"/>
        <v>0</v>
      </c>
      <c r="AA61" s="1051"/>
      <c r="AB61" s="1051"/>
      <c r="AC61" s="1051"/>
      <c r="AD61" s="1051"/>
      <c r="AE61" s="1051"/>
      <c r="AF61" s="1051"/>
      <c r="AG61" s="1051"/>
      <c r="AH61" s="1051"/>
      <c r="AI61" s="1051"/>
      <c r="AJ61" s="1051"/>
      <c r="AK61" s="1051"/>
    </row>
    <row r="62" spans="1:37" s="1050" customFormat="1" ht="14.25">
      <c r="A62" s="1964" t="s">
        <v>2049</v>
      </c>
      <c r="B62" s="1256">
        <f>估价对象房地状况!C18</f>
        <v>0</v>
      </c>
      <c r="C62" s="1881"/>
      <c r="D62" s="996">
        <f t="shared" si="13"/>
        <v>0</v>
      </c>
      <c r="E62" s="697"/>
      <c r="F62" s="1669"/>
      <c r="G62" s="994"/>
      <c r="H62" s="997" t="str">
        <f t="shared" si="14"/>
        <v>——</v>
      </c>
      <c r="I62" s="3063">
        <v>0.26</v>
      </c>
      <c r="J62" s="995">
        <f t="shared" si="15"/>
        <v>0</v>
      </c>
      <c r="K62" s="995">
        <f t="shared" si="16"/>
        <v>0</v>
      </c>
      <c r="L62" s="995">
        <v>0</v>
      </c>
      <c r="M62" s="995">
        <f t="shared" si="17"/>
        <v>0</v>
      </c>
      <c r="N62" s="995">
        <f t="shared" si="17"/>
        <v>0</v>
      </c>
      <c r="AA62" s="1051"/>
      <c r="AB62" s="1051"/>
      <c r="AC62" s="1051"/>
      <c r="AD62" s="1051"/>
      <c r="AE62" s="1051"/>
      <c r="AF62" s="1051"/>
      <c r="AG62" s="1051"/>
      <c r="AH62" s="1051"/>
      <c r="AI62" s="1051"/>
      <c r="AJ62" s="1051"/>
      <c r="AK62" s="1051"/>
    </row>
    <row r="63" spans="1:37" s="1050" customFormat="1" ht="36">
      <c r="A63" s="3065" t="s">
        <v>3253</v>
      </c>
      <c r="B63" s="1256">
        <f>估价对象房地状况!C19</f>
        <v>0</v>
      </c>
      <c r="C63" s="1881"/>
      <c r="D63" s="996">
        <f t="shared" si="13"/>
        <v>0</v>
      </c>
      <c r="E63" s="697"/>
      <c r="F63" s="1669"/>
      <c r="G63" s="994"/>
      <c r="H63" s="997" t="str">
        <f t="shared" si="14"/>
        <v>——</v>
      </c>
      <c r="I63" s="3063">
        <v>0.11</v>
      </c>
      <c r="J63" s="995">
        <f t="shared" si="15"/>
        <v>0</v>
      </c>
      <c r="K63" s="995">
        <f t="shared" si="16"/>
        <v>0</v>
      </c>
      <c r="L63" s="995">
        <v>0</v>
      </c>
      <c r="M63" s="995">
        <f t="shared" si="17"/>
        <v>0</v>
      </c>
      <c r="N63" s="995">
        <f t="shared" si="17"/>
        <v>0</v>
      </c>
      <c r="AA63" s="1051"/>
      <c r="AB63" s="1051"/>
      <c r="AC63" s="1051"/>
      <c r="AD63" s="1051"/>
      <c r="AE63" s="1051"/>
      <c r="AF63" s="1051"/>
      <c r="AG63" s="1051"/>
      <c r="AH63" s="1051"/>
      <c r="AI63" s="1051"/>
      <c r="AJ63" s="1051"/>
      <c r="AK63" s="1051"/>
    </row>
    <row r="64" spans="1:37" s="1050" customFormat="1" ht="36.75">
      <c r="A64" s="1964" t="s">
        <v>2050</v>
      </c>
      <c r="B64" s="1968" t="s">
        <v>2051</v>
      </c>
      <c r="C64" s="1881"/>
      <c r="D64" s="996">
        <f t="shared" si="13"/>
        <v>0</v>
      </c>
      <c r="E64" s="697"/>
      <c r="F64" s="1669"/>
      <c r="G64" s="994"/>
      <c r="H64" s="997" t="str">
        <f t="shared" si="14"/>
        <v>——</v>
      </c>
      <c r="I64" s="3063">
        <v>0.05</v>
      </c>
      <c r="J64" s="995">
        <f t="shared" si="15"/>
        <v>0</v>
      </c>
      <c r="K64" s="995">
        <f t="shared" si="16"/>
        <v>0</v>
      </c>
      <c r="L64" s="995">
        <v>0</v>
      </c>
      <c r="M64" s="995">
        <f t="shared" si="17"/>
        <v>0</v>
      </c>
      <c r="N64" s="995">
        <f t="shared" si="17"/>
        <v>0</v>
      </c>
      <c r="AA64" s="1051"/>
      <c r="AB64" s="1051"/>
      <c r="AC64" s="1051"/>
      <c r="AD64" s="1051"/>
      <c r="AE64" s="1051"/>
      <c r="AF64" s="1051"/>
      <c r="AG64" s="1051"/>
      <c r="AH64" s="1051"/>
      <c r="AI64" s="1051"/>
      <c r="AJ64" s="1051"/>
      <c r="AK64" s="1051"/>
    </row>
    <row r="65" spans="1:37" s="1050" customFormat="1" ht="24">
      <c r="A65" s="1964" t="s">
        <v>2052</v>
      </c>
      <c r="B65" s="1256">
        <f>估价对象房地状况!C24</f>
        <v>0</v>
      </c>
      <c r="C65" s="1881"/>
      <c r="D65" s="996">
        <f t="shared" si="13"/>
        <v>0</v>
      </c>
      <c r="E65" s="697"/>
      <c r="F65" s="1669"/>
      <c r="G65" s="994"/>
      <c r="H65" s="997" t="str">
        <f t="shared" si="14"/>
        <v>——</v>
      </c>
      <c r="I65" s="3063">
        <v>0.05</v>
      </c>
      <c r="J65" s="995">
        <f t="shared" si="15"/>
        <v>0</v>
      </c>
      <c r="K65" s="995">
        <f t="shared" si="16"/>
        <v>0</v>
      </c>
      <c r="L65" s="995">
        <v>0</v>
      </c>
      <c r="M65" s="995">
        <f t="shared" si="17"/>
        <v>0</v>
      </c>
      <c r="N65" s="995">
        <f t="shared" si="17"/>
        <v>0</v>
      </c>
      <c r="AA65" s="1051"/>
      <c r="AB65" s="1051"/>
      <c r="AC65" s="1051"/>
      <c r="AD65" s="1051"/>
      <c r="AE65" s="1051"/>
      <c r="AF65" s="1051"/>
      <c r="AG65" s="1051"/>
      <c r="AH65" s="1051"/>
      <c r="AI65" s="1051"/>
      <c r="AJ65" s="1051"/>
      <c r="AK65" s="1051"/>
    </row>
    <row r="66" spans="1:37" s="1050" customFormat="1" ht="24">
      <c r="A66" s="1964" t="s">
        <v>2053</v>
      </c>
      <c r="B66" s="1969" t="s">
        <v>2054</v>
      </c>
      <c r="C66" s="1881"/>
      <c r="D66" s="996">
        <f t="shared" si="13"/>
        <v>0</v>
      </c>
      <c r="E66" s="697"/>
      <c r="F66" s="1669"/>
      <c r="G66" s="994"/>
      <c r="H66" s="997" t="str">
        <f t="shared" si="14"/>
        <v>——</v>
      </c>
      <c r="I66" s="3063">
        <v>0.06</v>
      </c>
      <c r="J66" s="995">
        <f t="shared" si="15"/>
        <v>0</v>
      </c>
      <c r="K66" s="995">
        <f t="shared" si="16"/>
        <v>0</v>
      </c>
      <c r="L66" s="995">
        <v>0</v>
      </c>
      <c r="M66" s="995">
        <f t="shared" si="17"/>
        <v>0</v>
      </c>
      <c r="N66" s="995">
        <f t="shared" si="17"/>
        <v>0</v>
      </c>
      <c r="AA66" s="1051"/>
      <c r="AB66" s="1051"/>
      <c r="AC66" s="1051"/>
      <c r="AD66" s="1051"/>
      <c r="AE66" s="1051"/>
      <c r="AF66" s="1051"/>
      <c r="AG66" s="1051"/>
      <c r="AH66" s="1051"/>
      <c r="AI66" s="1051"/>
      <c r="AJ66" s="1051"/>
      <c r="AK66" s="1051"/>
    </row>
    <row r="67" spans="1:37" s="1050" customFormat="1" ht="24">
      <c r="A67" s="1964" t="s">
        <v>2055</v>
      </c>
      <c r="B67" s="1234">
        <f>估价对象房地状况!C21</f>
        <v>0</v>
      </c>
      <c r="C67" s="1881"/>
      <c r="D67" s="996">
        <f t="shared" si="13"/>
        <v>0</v>
      </c>
      <c r="E67" s="697"/>
      <c r="F67" s="1669"/>
      <c r="G67" s="994"/>
      <c r="H67" s="997" t="str">
        <f t="shared" si="14"/>
        <v>——</v>
      </c>
      <c r="I67" s="3063">
        <v>0.06</v>
      </c>
      <c r="J67" s="995">
        <f t="shared" si="15"/>
        <v>0</v>
      </c>
      <c r="K67" s="995">
        <f t="shared" si="16"/>
        <v>0</v>
      </c>
      <c r="L67" s="995">
        <v>0</v>
      </c>
      <c r="M67" s="995">
        <f t="shared" si="17"/>
        <v>0</v>
      </c>
      <c r="N67" s="995">
        <f t="shared" si="17"/>
        <v>0</v>
      </c>
      <c r="AA67" s="1051"/>
      <c r="AB67" s="1051"/>
      <c r="AC67" s="1051"/>
      <c r="AD67" s="1051"/>
      <c r="AE67" s="1051"/>
      <c r="AF67" s="1051"/>
      <c r="AG67" s="1051"/>
      <c r="AH67" s="1051"/>
      <c r="AI67" s="1051"/>
      <c r="AJ67" s="1051"/>
      <c r="AK67" s="1051"/>
    </row>
    <row r="68" spans="1:37" s="1050" customFormat="1" ht="24">
      <c r="A68" s="1964" t="s">
        <v>2056</v>
      </c>
      <c r="B68" s="1234">
        <f>估价对象房地状况!C22</f>
        <v>0</v>
      </c>
      <c r="C68" s="1881"/>
      <c r="D68" s="996">
        <f t="shared" si="13"/>
        <v>0</v>
      </c>
      <c r="E68" s="697"/>
      <c r="F68" s="1669"/>
      <c r="G68" s="994"/>
      <c r="H68" s="997" t="str">
        <f t="shared" si="14"/>
        <v>——</v>
      </c>
      <c r="I68" s="3063">
        <v>0.09</v>
      </c>
      <c r="J68" s="995">
        <f t="shared" si="15"/>
        <v>0</v>
      </c>
      <c r="K68" s="995">
        <f t="shared" si="16"/>
        <v>0</v>
      </c>
      <c r="L68" s="995">
        <v>0</v>
      </c>
      <c r="M68" s="995">
        <f t="shared" si="17"/>
        <v>0</v>
      </c>
      <c r="N68" s="995">
        <f t="shared" si="17"/>
        <v>0</v>
      </c>
      <c r="AA68" s="1051"/>
      <c r="AB68" s="1051"/>
      <c r="AC68" s="1051"/>
      <c r="AD68" s="1051"/>
      <c r="AE68" s="1051"/>
      <c r="AF68" s="1051"/>
      <c r="AG68" s="1051"/>
      <c r="AH68" s="1051"/>
      <c r="AI68" s="1051"/>
      <c r="AJ68" s="1051"/>
      <c r="AK68" s="1051"/>
    </row>
    <row r="69" spans="1:37" s="1050" customFormat="1" ht="24.75" thickBot="1">
      <c r="A69" s="1971" t="s">
        <v>2057</v>
      </c>
      <c r="B69" s="1973">
        <f>估价对象房地状况!C20</f>
        <v>0</v>
      </c>
      <c r="C69" s="1881"/>
      <c r="D69" s="996">
        <f t="shared" si="13"/>
        <v>0</v>
      </c>
      <c r="E69" s="698"/>
      <c r="F69" s="1669"/>
      <c r="G69" s="994"/>
      <c r="H69" s="997" t="str">
        <f t="shared" si="14"/>
        <v>——</v>
      </c>
      <c r="I69" s="3064">
        <v>7.0000000000000007E-2</v>
      </c>
      <c r="J69" s="995">
        <f t="shared" si="15"/>
        <v>0</v>
      </c>
      <c r="K69" s="995">
        <f t="shared" si="16"/>
        <v>0</v>
      </c>
      <c r="L69" s="995">
        <v>0</v>
      </c>
      <c r="M69" s="995">
        <f t="shared" si="17"/>
        <v>0</v>
      </c>
      <c r="N69" s="995">
        <f t="shared" si="17"/>
        <v>0</v>
      </c>
      <c r="AA69" s="1051"/>
      <c r="AB69" s="1051"/>
      <c r="AC69" s="1051"/>
      <c r="AD69" s="1051"/>
      <c r="AE69" s="1051"/>
      <c r="AF69" s="1051"/>
      <c r="AG69" s="1051"/>
      <c r="AH69" s="1051"/>
      <c r="AI69" s="1051"/>
      <c r="AJ69" s="1051"/>
      <c r="AK69" s="1051"/>
    </row>
    <row r="70" spans="1:37" s="1050" customFormat="1" ht="15">
      <c r="A70" s="1961" t="s">
        <v>2061</v>
      </c>
      <c r="B70" s="1962">
        <f>1+E72</f>
        <v>1</v>
      </c>
      <c r="C70" s="693"/>
      <c r="D70" s="693"/>
      <c r="E70" s="694"/>
      <c r="F70" s="1963"/>
      <c r="G70" s="3"/>
      <c r="H70" s="3"/>
      <c r="I70" s="3"/>
      <c r="J70" s="4"/>
      <c r="K70" s="4"/>
      <c r="L70" s="4"/>
      <c r="M70" s="4"/>
      <c r="N70" s="4"/>
      <c r="AA70" s="1051"/>
      <c r="AB70" s="1051"/>
      <c r="AC70" s="1051"/>
      <c r="AD70" s="1051"/>
      <c r="AE70" s="1051"/>
      <c r="AF70" s="1051"/>
      <c r="AG70" s="1051"/>
      <c r="AH70" s="1051"/>
      <c r="AI70" s="1051"/>
      <c r="AJ70" s="1051"/>
      <c r="AK70" s="1051"/>
    </row>
    <row r="71" spans="1:37" s="1050" customFormat="1" ht="24.75">
      <c r="A71" s="1964" t="s">
        <v>2040</v>
      </c>
      <c r="B71" s="1256"/>
      <c r="C71" s="1256" t="s">
        <v>2042</v>
      </c>
      <c r="D71" s="1256" t="s">
        <v>2043</v>
      </c>
      <c r="E71" s="695" t="s">
        <v>2044</v>
      </c>
      <c r="F71" s="1965" t="s">
        <v>2059</v>
      </c>
      <c r="G71" s="1256" t="s">
        <v>310</v>
      </c>
      <c r="H71" s="1966" t="s">
        <v>2046</v>
      </c>
      <c r="I71" s="1256" t="s">
        <v>2047</v>
      </c>
      <c r="J71" s="530" t="s">
        <v>1717</v>
      </c>
      <c r="K71" s="530" t="s">
        <v>1718</v>
      </c>
      <c r="L71" s="530" t="s">
        <v>1719</v>
      </c>
      <c r="M71" s="530" t="s">
        <v>1720</v>
      </c>
      <c r="N71" s="530" t="s">
        <v>1721</v>
      </c>
      <c r="AA71" s="1051"/>
      <c r="AB71" s="1051"/>
      <c r="AC71" s="1051"/>
      <c r="AD71" s="1051"/>
      <c r="AE71" s="1051"/>
      <c r="AF71" s="1051"/>
      <c r="AG71" s="1051"/>
      <c r="AH71" s="1051"/>
      <c r="AI71" s="1051"/>
      <c r="AJ71" s="1051"/>
      <c r="AK71" s="1051"/>
    </row>
    <row r="72" spans="1:37" s="1050" customFormat="1" ht="24">
      <c r="A72" s="1964" t="s">
        <v>2062</v>
      </c>
      <c r="B72" s="1967">
        <f>估价对象房地状况!C15</f>
        <v>0</v>
      </c>
      <c r="C72" s="1881"/>
      <c r="D72" s="996">
        <f t="shared" ref="D72:D80" si="18">SUMIF($J$71:$N$71,C72,J72:N72)</f>
        <v>0</v>
      </c>
      <c r="E72" s="696">
        <f>ROUND(SUM(D72:D80),4)</f>
        <v>0</v>
      </c>
      <c r="F72" s="1669" t="str">
        <f>IF(E2="住宅",SUMIF(L1:L12,G2,N1:N12),"——")</f>
        <v>——</v>
      </c>
      <c r="G72" s="994"/>
      <c r="H72" s="997" t="str">
        <f t="shared" ref="H72:H80" si="19">IFERROR(ROUNDDOWN($F$72*I72/2,4),"——")</f>
        <v>——</v>
      </c>
      <c r="I72" s="3063">
        <v>0.2</v>
      </c>
      <c r="J72" s="995">
        <f t="shared" ref="J72:J80" si="20">K72+$G72</f>
        <v>0</v>
      </c>
      <c r="K72" s="995">
        <f t="shared" ref="K72:K80" si="21">$L72+$G72</f>
        <v>0</v>
      </c>
      <c r="L72" s="995">
        <v>0</v>
      </c>
      <c r="M72" s="995">
        <f t="shared" ref="M72:N80" si="22">L72-$G72</f>
        <v>0</v>
      </c>
      <c r="N72" s="995">
        <f t="shared" si="22"/>
        <v>0</v>
      </c>
      <c r="AA72" s="1051"/>
      <c r="AB72" s="1051"/>
      <c r="AC72" s="1051"/>
      <c r="AD72" s="1051"/>
      <c r="AE72" s="1051"/>
      <c r="AF72" s="1051"/>
      <c r="AG72" s="1051"/>
      <c r="AH72" s="1051"/>
      <c r="AI72" s="1051"/>
      <c r="AJ72" s="1051"/>
      <c r="AK72" s="1051"/>
    </row>
    <row r="73" spans="1:37" s="1050" customFormat="1" ht="14.25">
      <c r="A73" s="1964" t="s">
        <v>2049</v>
      </c>
      <c r="B73" s="1256">
        <f>估价对象房地状况!C18</f>
        <v>0</v>
      </c>
      <c r="C73" s="1881"/>
      <c r="D73" s="996">
        <f t="shared" si="18"/>
        <v>0</v>
      </c>
      <c r="E73" s="699"/>
      <c r="F73" s="1669"/>
      <c r="G73" s="994"/>
      <c r="H73" s="997" t="str">
        <f t="shared" si="19"/>
        <v>——</v>
      </c>
      <c r="I73" s="3063">
        <v>0.26</v>
      </c>
      <c r="J73" s="995">
        <f t="shared" si="20"/>
        <v>0</v>
      </c>
      <c r="K73" s="995">
        <f t="shared" si="21"/>
        <v>0</v>
      </c>
      <c r="L73" s="995">
        <v>0</v>
      </c>
      <c r="M73" s="995">
        <f t="shared" si="22"/>
        <v>0</v>
      </c>
      <c r="N73" s="995">
        <f t="shared" si="22"/>
        <v>0</v>
      </c>
      <c r="AA73" s="1051"/>
      <c r="AB73" s="1051"/>
      <c r="AC73" s="1051"/>
      <c r="AD73" s="1051"/>
      <c r="AE73" s="1051"/>
      <c r="AF73" s="1051"/>
      <c r="AG73" s="1051"/>
      <c r="AH73" s="1051"/>
      <c r="AI73" s="1051"/>
      <c r="AJ73" s="1051"/>
      <c r="AK73" s="1051"/>
    </row>
    <row r="74" spans="1:37" s="1838" customFormat="1" ht="36">
      <c r="A74" s="3065" t="s">
        <v>3253</v>
      </c>
      <c r="B74" s="1256">
        <f>估价对象房地状况!C19</f>
        <v>0</v>
      </c>
      <c r="C74" s="1881"/>
      <c r="D74" s="996">
        <f t="shared" si="18"/>
        <v>0</v>
      </c>
      <c r="E74" s="699"/>
      <c r="F74" s="1669"/>
      <c r="G74" s="994"/>
      <c r="H74" s="997" t="str">
        <f t="shared" si="19"/>
        <v>——</v>
      </c>
      <c r="I74" s="3063">
        <v>0.1</v>
      </c>
      <c r="J74" s="995">
        <f t="shared" si="20"/>
        <v>0</v>
      </c>
      <c r="K74" s="995">
        <f t="shared" si="21"/>
        <v>0</v>
      </c>
      <c r="L74" s="995">
        <v>0</v>
      </c>
      <c r="M74" s="995">
        <f t="shared" si="22"/>
        <v>0</v>
      </c>
      <c r="N74" s="995">
        <f t="shared" si="22"/>
        <v>0</v>
      </c>
      <c r="O74" s="1050"/>
      <c r="P74" s="1050"/>
      <c r="Q74" s="1050"/>
      <c r="AA74" s="1974"/>
      <c r="AB74" s="1051"/>
      <c r="AC74" s="1051"/>
      <c r="AD74" s="1051"/>
      <c r="AE74" s="1051"/>
      <c r="AF74" s="1051"/>
      <c r="AG74" s="1051"/>
      <c r="AH74" s="1974"/>
      <c r="AI74" s="1974"/>
      <c r="AJ74" s="1974"/>
      <c r="AK74" s="1974"/>
    </row>
    <row r="75" spans="1:37" ht="14.25">
      <c r="A75" s="1964" t="s">
        <v>2063</v>
      </c>
      <c r="B75" s="1256">
        <f>估价对象房地状况!C24</f>
        <v>0</v>
      </c>
      <c r="C75" s="1881"/>
      <c r="D75" s="996">
        <f t="shared" si="18"/>
        <v>0</v>
      </c>
      <c r="E75" s="699"/>
      <c r="F75" s="1669"/>
      <c r="G75" s="994"/>
      <c r="H75" s="997" t="str">
        <f t="shared" si="19"/>
        <v>——</v>
      </c>
      <c r="I75" s="3063">
        <v>0.05</v>
      </c>
      <c r="J75" s="995">
        <f t="shared" si="20"/>
        <v>0</v>
      </c>
      <c r="K75" s="995">
        <f t="shared" si="21"/>
        <v>0</v>
      </c>
      <c r="L75" s="995">
        <v>0</v>
      </c>
      <c r="M75" s="995">
        <f t="shared" si="22"/>
        <v>0</v>
      </c>
      <c r="N75" s="995">
        <f t="shared" si="22"/>
        <v>0</v>
      </c>
      <c r="O75" s="1050"/>
      <c r="P75" s="1050"/>
      <c r="Q75" s="1838"/>
      <c r="Z75" s="1839"/>
      <c r="AA75" s="1889"/>
      <c r="AG75" s="1052"/>
      <c r="AK75" s="1889"/>
    </row>
    <row r="76" spans="1:37" ht="24">
      <c r="A76" s="1964" t="s">
        <v>2055</v>
      </c>
      <c r="B76" s="1234">
        <f>估价对象房地状况!C21</f>
        <v>0</v>
      </c>
      <c r="C76" s="1881"/>
      <c r="D76" s="996">
        <f t="shared" si="18"/>
        <v>0</v>
      </c>
      <c r="E76" s="699"/>
      <c r="F76" s="1669"/>
      <c r="G76" s="994"/>
      <c r="H76" s="997" t="str">
        <f t="shared" si="19"/>
        <v>——</v>
      </c>
      <c r="I76" s="3063">
        <v>0.08</v>
      </c>
      <c r="J76" s="995">
        <f t="shared" si="20"/>
        <v>0</v>
      </c>
      <c r="K76" s="995">
        <f t="shared" si="21"/>
        <v>0</v>
      </c>
      <c r="L76" s="995">
        <v>0</v>
      </c>
      <c r="M76" s="995">
        <f t="shared" si="22"/>
        <v>0</v>
      </c>
      <c r="N76" s="995">
        <f t="shared" si="22"/>
        <v>0</v>
      </c>
      <c r="O76" s="1050"/>
      <c r="P76" s="1050"/>
      <c r="Z76" s="1839"/>
      <c r="AA76" s="1889"/>
      <c r="AG76" s="1052"/>
      <c r="AK76" s="1889"/>
    </row>
    <row r="77" spans="1:37" ht="24">
      <c r="A77" s="1964" t="s">
        <v>2056</v>
      </c>
      <c r="B77" s="1234">
        <f>估价对象房地状况!C22</f>
        <v>0</v>
      </c>
      <c r="C77" s="1881"/>
      <c r="D77" s="996">
        <f t="shared" si="18"/>
        <v>0</v>
      </c>
      <c r="E77" s="699"/>
      <c r="F77" s="1669"/>
      <c r="G77" s="994"/>
      <c r="H77" s="997" t="str">
        <f t="shared" si="19"/>
        <v>——</v>
      </c>
      <c r="I77" s="3063">
        <v>0.09</v>
      </c>
      <c r="J77" s="995">
        <f t="shared" si="20"/>
        <v>0</v>
      </c>
      <c r="K77" s="995">
        <f t="shared" si="21"/>
        <v>0</v>
      </c>
      <c r="L77" s="995">
        <v>0</v>
      </c>
      <c r="M77" s="995">
        <f t="shared" si="22"/>
        <v>0</v>
      </c>
      <c r="N77" s="995">
        <f t="shared" si="22"/>
        <v>0</v>
      </c>
      <c r="O77" s="1050"/>
      <c r="P77" s="1050"/>
      <c r="Z77" s="1839"/>
      <c r="AA77" s="1889"/>
      <c r="AG77" s="1052"/>
      <c r="AK77" s="1889"/>
    </row>
    <row r="78" spans="1:37" ht="24">
      <c r="A78" s="1964" t="s">
        <v>2053</v>
      </c>
      <c r="B78" s="1969" t="s">
        <v>2054</v>
      </c>
      <c r="C78" s="1881"/>
      <c r="D78" s="996">
        <f t="shared" si="18"/>
        <v>0</v>
      </c>
      <c r="E78" s="699"/>
      <c r="F78" s="1669"/>
      <c r="G78" s="994"/>
      <c r="H78" s="997" t="str">
        <f t="shared" si="19"/>
        <v>——</v>
      </c>
      <c r="I78" s="3063">
        <v>0.05</v>
      </c>
      <c r="J78" s="995">
        <f t="shared" si="20"/>
        <v>0</v>
      </c>
      <c r="K78" s="995">
        <f t="shared" si="21"/>
        <v>0</v>
      </c>
      <c r="L78" s="995">
        <v>0</v>
      </c>
      <c r="M78" s="995">
        <f t="shared" si="22"/>
        <v>0</v>
      </c>
      <c r="N78" s="995">
        <f t="shared" si="22"/>
        <v>0</v>
      </c>
      <c r="O78" s="1838"/>
      <c r="P78" s="1838"/>
      <c r="Z78" s="1839"/>
      <c r="AA78" s="1889"/>
      <c r="AG78" s="1052"/>
      <c r="AK78" s="1889"/>
    </row>
    <row r="79" spans="1:37" ht="24">
      <c r="A79" s="1964" t="s">
        <v>2057</v>
      </c>
      <c r="B79" s="1967">
        <f>估价对象房地状况!C20</f>
        <v>0</v>
      </c>
      <c r="C79" s="1881"/>
      <c r="D79" s="996">
        <f t="shared" si="18"/>
        <v>0</v>
      </c>
      <c r="E79" s="699"/>
      <c r="F79" s="1669"/>
      <c r="G79" s="994"/>
      <c r="H79" s="997" t="str">
        <f t="shared" si="19"/>
        <v>——</v>
      </c>
      <c r="I79" s="3063">
        <v>0.12</v>
      </c>
      <c r="J79" s="995">
        <f t="shared" si="20"/>
        <v>0</v>
      </c>
      <c r="K79" s="995">
        <f t="shared" si="21"/>
        <v>0</v>
      </c>
      <c r="L79" s="995">
        <v>0</v>
      </c>
      <c r="M79" s="995">
        <f t="shared" si="22"/>
        <v>0</v>
      </c>
      <c r="N79" s="995">
        <f t="shared" si="22"/>
        <v>0</v>
      </c>
      <c r="Z79" s="1839"/>
      <c r="AA79" s="1889"/>
      <c r="AG79" s="1052"/>
      <c r="AK79" s="1889"/>
    </row>
    <row r="80" spans="1:37" ht="24.75" thickBot="1">
      <c r="A80" s="1971" t="s">
        <v>2064</v>
      </c>
      <c r="B80" s="1975"/>
      <c r="C80" s="1881"/>
      <c r="D80" s="996">
        <f t="shared" si="18"/>
        <v>0</v>
      </c>
      <c r="E80" s="700"/>
      <c r="F80" s="1669"/>
      <c r="G80" s="994"/>
      <c r="H80" s="997" t="str">
        <f t="shared" si="19"/>
        <v>——</v>
      </c>
      <c r="I80" s="3064">
        <v>0.05</v>
      </c>
      <c r="J80" s="995">
        <f t="shared" si="20"/>
        <v>0</v>
      </c>
      <c r="K80" s="995">
        <f t="shared" si="21"/>
        <v>0</v>
      </c>
      <c r="L80" s="995">
        <v>0</v>
      </c>
      <c r="M80" s="995">
        <f t="shared" si="22"/>
        <v>0</v>
      </c>
      <c r="N80" s="995">
        <f t="shared" si="22"/>
        <v>0</v>
      </c>
      <c r="Z80" s="1839"/>
      <c r="AA80" s="1889"/>
      <c r="AG80" s="1052"/>
      <c r="AK80" s="1889"/>
    </row>
    <row r="81" spans="1:37" ht="15">
      <c r="A81" s="1961" t="s">
        <v>2065</v>
      </c>
      <c r="B81" s="1962">
        <f>1+E83</f>
        <v>1</v>
      </c>
      <c r="C81" s="693"/>
      <c r="D81" s="693"/>
      <c r="E81" s="694"/>
      <c r="F81" s="1963"/>
      <c r="G81" s="3"/>
      <c r="H81" s="3"/>
      <c r="I81" s="3"/>
      <c r="J81" s="4"/>
      <c r="K81" s="4"/>
      <c r="L81" s="4"/>
      <c r="M81" s="4"/>
      <c r="N81" s="4"/>
      <c r="Z81" s="1839"/>
      <c r="AA81" s="1889"/>
      <c r="AG81" s="1052"/>
      <c r="AK81" s="1889"/>
    </row>
    <row r="82" spans="1:37" ht="24.75">
      <c r="A82" s="1964" t="s">
        <v>2040</v>
      </c>
      <c r="B82" s="1256"/>
      <c r="C82" s="1256" t="s">
        <v>2042</v>
      </c>
      <c r="D82" s="1256" t="s">
        <v>2043</v>
      </c>
      <c r="E82" s="695" t="s">
        <v>2044</v>
      </c>
      <c r="F82" s="1965" t="s">
        <v>2059</v>
      </c>
      <c r="G82" s="1256" t="s">
        <v>310</v>
      </c>
      <c r="H82" s="1966" t="s">
        <v>2046</v>
      </c>
      <c r="I82" s="1256" t="s">
        <v>2047</v>
      </c>
      <c r="J82" s="530" t="s">
        <v>1717</v>
      </c>
      <c r="K82" s="530" t="s">
        <v>1718</v>
      </c>
      <c r="L82" s="530" t="s">
        <v>1719</v>
      </c>
      <c r="M82" s="530" t="s">
        <v>1720</v>
      </c>
      <c r="N82" s="530" t="s">
        <v>1721</v>
      </c>
      <c r="Z82" s="1839"/>
      <c r="AA82" s="1889"/>
      <c r="AG82" s="1052"/>
      <c r="AK82" s="1889"/>
    </row>
    <row r="83" spans="1:37" ht="24">
      <c r="A83" s="1964" t="s">
        <v>2066</v>
      </c>
      <c r="B83" s="1256">
        <f>估价对象房地状况!G15</f>
        <v>0</v>
      </c>
      <c r="C83" s="1881"/>
      <c r="D83" s="996">
        <f t="shared" ref="D83:D90" si="23">SUMIF($J$82:$N$82,C83,J83:N83)</f>
        <v>0</v>
      </c>
      <c r="E83" s="696">
        <f>ROUND(SUM(D83:D90),4)</f>
        <v>0</v>
      </c>
      <c r="F83" s="1669" t="str">
        <f>IF(E2="工业",SUMIF(L1:L12,G2,N1:N12),"——")</f>
        <v>——</v>
      </c>
      <c r="G83" s="994"/>
      <c r="H83" s="997" t="str">
        <f t="shared" ref="H83:H90" si="24">IFERROR(ROUNDDOWN($F$83*I83/2,4),"——")</f>
        <v>——</v>
      </c>
      <c r="I83" s="3063">
        <v>0.26</v>
      </c>
      <c r="J83" s="995">
        <f t="shared" ref="J83:J90" si="25">K83+$G83</f>
        <v>0</v>
      </c>
      <c r="K83" s="995">
        <f t="shared" ref="K83:K90" si="26">$L83+$G83</f>
        <v>0</v>
      </c>
      <c r="L83" s="995">
        <v>0</v>
      </c>
      <c r="M83" s="995">
        <f t="shared" ref="M83:N90" si="27">L83-$G83</f>
        <v>0</v>
      </c>
      <c r="N83" s="995">
        <f t="shared" si="27"/>
        <v>0</v>
      </c>
      <c r="Z83" s="1839"/>
      <c r="AA83" s="1889"/>
      <c r="AG83" s="1052"/>
      <c r="AK83" s="1889"/>
    </row>
    <row r="84" spans="1:37" ht="14.25">
      <c r="A84" s="1964" t="s">
        <v>2049</v>
      </c>
      <c r="B84" s="1256">
        <f>估价对象房地状况!G16</f>
        <v>0</v>
      </c>
      <c r="C84" s="1881"/>
      <c r="D84" s="996">
        <f t="shared" si="23"/>
        <v>0</v>
      </c>
      <c r="E84" s="699"/>
      <c r="F84" s="1669"/>
      <c r="G84" s="994"/>
      <c r="H84" s="997" t="str">
        <f t="shared" si="24"/>
        <v>——</v>
      </c>
      <c r="I84" s="3063">
        <v>0.3</v>
      </c>
      <c r="J84" s="995">
        <f t="shared" si="25"/>
        <v>0</v>
      </c>
      <c r="K84" s="995">
        <f t="shared" si="26"/>
        <v>0</v>
      </c>
      <c r="L84" s="995">
        <v>0</v>
      </c>
      <c r="M84" s="995">
        <f t="shared" si="27"/>
        <v>0</v>
      </c>
      <c r="N84" s="995">
        <f t="shared" si="27"/>
        <v>0</v>
      </c>
      <c r="Z84" s="1839"/>
      <c r="AA84" s="1889"/>
      <c r="AG84" s="1052"/>
      <c r="AK84" s="1889"/>
    </row>
    <row r="85" spans="1:37" ht="36">
      <c r="A85" s="3065" t="s">
        <v>3254</v>
      </c>
      <c r="B85" s="1256">
        <f>估价对象房地状况!G17</f>
        <v>0</v>
      </c>
      <c r="C85" s="1881"/>
      <c r="D85" s="996">
        <f t="shared" si="23"/>
        <v>0</v>
      </c>
      <c r="E85" s="699"/>
      <c r="F85" s="1669"/>
      <c r="G85" s="994"/>
      <c r="H85" s="997" t="str">
        <f t="shared" si="24"/>
        <v>——</v>
      </c>
      <c r="I85" s="3063">
        <v>0.1</v>
      </c>
      <c r="J85" s="995">
        <f t="shared" si="25"/>
        <v>0</v>
      </c>
      <c r="K85" s="995">
        <f t="shared" si="26"/>
        <v>0</v>
      </c>
      <c r="L85" s="995">
        <v>0</v>
      </c>
      <c r="M85" s="995">
        <f t="shared" si="27"/>
        <v>0</v>
      </c>
      <c r="N85" s="995">
        <f t="shared" si="27"/>
        <v>0</v>
      </c>
      <c r="Z85" s="1839"/>
      <c r="AA85" s="1889"/>
      <c r="AG85" s="1052"/>
      <c r="AK85" s="1889"/>
    </row>
    <row r="86" spans="1:37" ht="14.25">
      <c r="A86" s="1964" t="s">
        <v>2063</v>
      </c>
      <c r="B86" s="1256">
        <f>估价对象房地状况!G22</f>
        <v>0</v>
      </c>
      <c r="C86" s="1881"/>
      <c r="D86" s="996">
        <f t="shared" si="23"/>
        <v>0</v>
      </c>
      <c r="E86" s="699"/>
      <c r="F86" s="1669"/>
      <c r="G86" s="994"/>
      <c r="H86" s="997" t="str">
        <f t="shared" si="24"/>
        <v>——</v>
      </c>
      <c r="I86" s="3063">
        <v>0.05</v>
      </c>
      <c r="J86" s="995">
        <f t="shared" si="25"/>
        <v>0</v>
      </c>
      <c r="K86" s="995">
        <f t="shared" si="26"/>
        <v>0</v>
      </c>
      <c r="L86" s="995">
        <v>0</v>
      </c>
      <c r="M86" s="995">
        <f t="shared" si="27"/>
        <v>0</v>
      </c>
      <c r="N86" s="995">
        <f t="shared" si="27"/>
        <v>0</v>
      </c>
      <c r="Z86" s="1839"/>
      <c r="AA86" s="1889"/>
      <c r="AG86" s="1052"/>
      <c r="AK86" s="1889"/>
    </row>
    <row r="87" spans="1:37" ht="24">
      <c r="A87" s="1964" t="s">
        <v>2055</v>
      </c>
      <c r="B87" s="1234">
        <f>估价对象房地状况!G19</f>
        <v>0</v>
      </c>
      <c r="C87" s="1881"/>
      <c r="D87" s="996">
        <f t="shared" si="23"/>
        <v>0</v>
      </c>
      <c r="E87" s="699"/>
      <c r="F87" s="1669"/>
      <c r="G87" s="994"/>
      <c r="H87" s="997" t="str">
        <f t="shared" si="24"/>
        <v>——</v>
      </c>
      <c r="I87" s="3063">
        <v>0.06</v>
      </c>
      <c r="J87" s="995">
        <f t="shared" si="25"/>
        <v>0</v>
      </c>
      <c r="K87" s="995">
        <f t="shared" si="26"/>
        <v>0</v>
      </c>
      <c r="L87" s="995">
        <v>0</v>
      </c>
      <c r="M87" s="995">
        <f t="shared" si="27"/>
        <v>0</v>
      </c>
      <c r="N87" s="995">
        <f t="shared" si="27"/>
        <v>0</v>
      </c>
    </row>
    <row r="88" spans="1:37" ht="24">
      <c r="A88" s="1964" t="s">
        <v>2056</v>
      </c>
      <c r="B88" s="1234">
        <f>估价对象房地状况!G20</f>
        <v>0</v>
      </c>
      <c r="C88" s="1881"/>
      <c r="D88" s="996">
        <f t="shared" si="23"/>
        <v>0</v>
      </c>
      <c r="E88" s="699"/>
      <c r="F88" s="1669"/>
      <c r="G88" s="994"/>
      <c r="H88" s="997" t="str">
        <f t="shared" si="24"/>
        <v>——</v>
      </c>
      <c r="I88" s="3063">
        <v>0.12</v>
      </c>
      <c r="J88" s="995">
        <f t="shared" si="25"/>
        <v>0</v>
      </c>
      <c r="K88" s="995">
        <f t="shared" si="26"/>
        <v>0</v>
      </c>
      <c r="L88" s="995">
        <v>0</v>
      </c>
      <c r="M88" s="995">
        <f t="shared" si="27"/>
        <v>0</v>
      </c>
      <c r="N88" s="995">
        <f t="shared" si="27"/>
        <v>0</v>
      </c>
    </row>
    <row r="89" spans="1:37" ht="24">
      <c r="A89" s="1964" t="s">
        <v>2053</v>
      </c>
      <c r="B89" s="1969" t="s">
        <v>2067</v>
      </c>
      <c r="C89" s="1881"/>
      <c r="D89" s="996">
        <f t="shared" si="23"/>
        <v>0</v>
      </c>
      <c r="E89" s="699"/>
      <c r="F89" s="1669"/>
      <c r="G89" s="994"/>
      <c r="H89" s="997" t="str">
        <f t="shared" si="24"/>
        <v>——</v>
      </c>
      <c r="I89" s="3063">
        <v>0.06</v>
      </c>
      <c r="J89" s="995">
        <f t="shared" si="25"/>
        <v>0</v>
      </c>
      <c r="K89" s="995">
        <f t="shared" si="26"/>
        <v>0</v>
      </c>
      <c r="L89" s="995">
        <v>0</v>
      </c>
      <c r="M89" s="995">
        <f t="shared" si="27"/>
        <v>0</v>
      </c>
      <c r="N89" s="995">
        <f t="shared" si="27"/>
        <v>0</v>
      </c>
    </row>
    <row r="90" spans="1:37" ht="15" thickBot="1">
      <c r="A90" s="1971" t="s">
        <v>2068</v>
      </c>
      <c r="B90" s="1976">
        <f>估价对象房地状况!G18</f>
        <v>0</v>
      </c>
      <c r="C90" s="1881"/>
      <c r="D90" s="996">
        <f t="shared" si="23"/>
        <v>0</v>
      </c>
      <c r="E90" s="700"/>
      <c r="F90" s="1669"/>
      <c r="G90" s="994"/>
      <c r="H90" s="997" t="str">
        <f t="shared" si="24"/>
        <v>——</v>
      </c>
      <c r="I90" s="3064">
        <v>0.05</v>
      </c>
      <c r="J90" s="995">
        <f t="shared" si="25"/>
        <v>0</v>
      </c>
      <c r="K90" s="995">
        <f t="shared" si="26"/>
        <v>0</v>
      </c>
      <c r="L90" s="995">
        <v>0</v>
      </c>
      <c r="M90" s="995">
        <f t="shared" si="27"/>
        <v>0</v>
      </c>
      <c r="N90" s="995">
        <f t="shared" si="27"/>
        <v>0</v>
      </c>
    </row>
    <row r="91" spans="1:37" ht="15">
      <c r="A91" s="3073" t="s">
        <v>2596</v>
      </c>
      <c r="B91" s="3074">
        <f>1+E93</f>
        <v>1</v>
      </c>
      <c r="C91" s="3067"/>
      <c r="D91" s="3068"/>
      <c r="E91" s="1669"/>
      <c r="F91" s="1669"/>
      <c r="G91" s="3069"/>
      <c r="H91" s="3070"/>
      <c r="I91" s="3071"/>
      <c r="J91" s="3072"/>
      <c r="K91" s="3072"/>
      <c r="L91" s="3072"/>
      <c r="M91" s="3072"/>
      <c r="N91" s="3072"/>
    </row>
    <row r="92" spans="1:37" ht="24.75">
      <c r="A92" s="3075" t="s">
        <v>3255</v>
      </c>
      <c r="B92" s="2304"/>
      <c r="C92" s="2304" t="s">
        <v>3264</v>
      </c>
      <c r="D92" s="2304" t="s">
        <v>3265</v>
      </c>
      <c r="E92" s="3047" t="s">
        <v>3266</v>
      </c>
      <c r="F92" s="3077" t="s">
        <v>3267</v>
      </c>
      <c r="G92" s="2304" t="s">
        <v>3268</v>
      </c>
      <c r="H92" s="3084" t="s">
        <v>3271</v>
      </c>
      <c r="I92" s="2304" t="s">
        <v>3272</v>
      </c>
      <c r="J92" s="2144" t="s">
        <v>3273</v>
      </c>
      <c r="K92" s="2144" t="s">
        <v>3274</v>
      </c>
      <c r="L92" s="2144" t="s">
        <v>3275</v>
      </c>
      <c r="M92" s="2144" t="s">
        <v>3276</v>
      </c>
      <c r="N92" s="2144" t="s">
        <v>3277</v>
      </c>
    </row>
    <row r="93" spans="1:37" ht="24">
      <c r="A93" s="3065" t="s">
        <v>3256</v>
      </c>
      <c r="B93" s="1215"/>
      <c r="C93" s="1881"/>
      <c r="D93" s="2304">
        <f>SUMIF($J$92:$N$92,C93,J93:N93)</f>
        <v>0</v>
      </c>
      <c r="E93" s="3078">
        <f>ROUND(SUM(D93:D101),4)</f>
        <v>0</v>
      </c>
      <c r="F93" s="1669" t="str">
        <f>IF(E2="公共服务",SUMIF(L1:L12,G2,N1:N12),"——")</f>
        <v>——</v>
      </c>
      <c r="G93" s="3069"/>
      <c r="H93" s="3114" t="str">
        <f>IFERROR(ROUNDDOWN($F$93*I93/2,4),"——")</f>
        <v>——</v>
      </c>
      <c r="I93" s="3063">
        <v>0.25</v>
      </c>
      <c r="J93" s="1906">
        <f t="shared" ref="J93:J101" si="28">K93+$G93</f>
        <v>0</v>
      </c>
      <c r="K93" s="1906">
        <f t="shared" ref="K93:K101" si="29">$L93+$G93</f>
        <v>0</v>
      </c>
      <c r="L93" s="1906">
        <v>0</v>
      </c>
      <c r="M93" s="1906">
        <f t="shared" ref="M93:N101" si="30">L93-$G93</f>
        <v>0</v>
      </c>
      <c r="N93" s="1906">
        <f t="shared" si="30"/>
        <v>0</v>
      </c>
    </row>
    <row r="94" spans="1:37" ht="14.25">
      <c r="A94" s="3075" t="s">
        <v>3257</v>
      </c>
      <c r="B94" s="3066">
        <f>估价对象房地状况!C18</f>
        <v>0</v>
      </c>
      <c r="C94" s="1881"/>
      <c r="D94" s="2304">
        <f t="shared" ref="D94:D101" si="31">SUMIF($J$60:$N$60,C94,J94:N94)</f>
        <v>0</v>
      </c>
      <c r="E94" s="3079"/>
      <c r="F94" s="1669"/>
      <c r="G94" s="3069"/>
      <c r="H94" s="3114" t="str">
        <f>IFERROR(ROUNDDOWN($F$93*I94/2,4),"——")</f>
        <v>——</v>
      </c>
      <c r="I94" s="3063">
        <v>0.26</v>
      </c>
      <c r="J94" s="1906">
        <f t="shared" si="28"/>
        <v>0</v>
      </c>
      <c r="K94" s="1906">
        <f t="shared" si="29"/>
        <v>0</v>
      </c>
      <c r="L94" s="1906">
        <v>0</v>
      </c>
      <c r="M94" s="1906">
        <f t="shared" si="30"/>
        <v>0</v>
      </c>
      <c r="N94" s="1906">
        <f t="shared" si="30"/>
        <v>0</v>
      </c>
    </row>
    <row r="95" spans="1:37" ht="36">
      <c r="A95" s="3065" t="s">
        <v>3253</v>
      </c>
      <c r="B95" s="3066">
        <f>估价对象房地状况!C19</f>
        <v>0</v>
      </c>
      <c r="C95" s="1881"/>
      <c r="D95" s="2304">
        <f t="shared" si="31"/>
        <v>0</v>
      </c>
      <c r="E95" s="3079"/>
      <c r="F95" s="1669"/>
      <c r="G95" s="3069"/>
      <c r="H95" s="3114" t="str">
        <f t="shared" ref="H95:H101" si="32">IFERROR(ROUNDDOWN($F$93*I95/2,4),"——")</f>
        <v>——</v>
      </c>
      <c r="I95" s="3063">
        <v>0.11</v>
      </c>
      <c r="J95" s="1906">
        <f t="shared" si="28"/>
        <v>0</v>
      </c>
      <c r="K95" s="1906">
        <f t="shared" si="29"/>
        <v>0</v>
      </c>
      <c r="L95" s="1906">
        <v>0</v>
      </c>
      <c r="M95" s="1906">
        <f t="shared" si="30"/>
        <v>0</v>
      </c>
      <c r="N95" s="1906">
        <f t="shared" si="30"/>
        <v>0</v>
      </c>
    </row>
    <row r="96" spans="1:37" ht="36.75">
      <c r="A96" s="3075" t="s">
        <v>3258</v>
      </c>
      <c r="B96" s="3081" t="s">
        <v>3269</v>
      </c>
      <c r="C96" s="1881"/>
      <c r="D96" s="2304">
        <f t="shared" si="31"/>
        <v>0</v>
      </c>
      <c r="E96" s="3079"/>
      <c r="F96" s="1669"/>
      <c r="G96" s="3069"/>
      <c r="H96" s="3114" t="str">
        <f t="shared" si="32"/>
        <v>——</v>
      </c>
      <c r="I96" s="3063">
        <v>0.05</v>
      </c>
      <c r="J96" s="1906">
        <f t="shared" si="28"/>
        <v>0</v>
      </c>
      <c r="K96" s="1906">
        <f t="shared" si="29"/>
        <v>0</v>
      </c>
      <c r="L96" s="1906">
        <v>0</v>
      </c>
      <c r="M96" s="1906">
        <f t="shared" si="30"/>
        <v>0</v>
      </c>
      <c r="N96" s="1906">
        <f t="shared" si="30"/>
        <v>0</v>
      </c>
    </row>
    <row r="97" spans="1:14" ht="24">
      <c r="A97" s="3075" t="s">
        <v>3259</v>
      </c>
      <c r="B97" s="3066">
        <f>估价对象房地状况!C24</f>
        <v>0</v>
      </c>
      <c r="C97" s="1881"/>
      <c r="D97" s="2304">
        <f t="shared" si="31"/>
        <v>0</v>
      </c>
      <c r="E97" s="3079"/>
      <c r="F97" s="1669"/>
      <c r="G97" s="3069"/>
      <c r="H97" s="3114" t="str">
        <f t="shared" si="32"/>
        <v>——</v>
      </c>
      <c r="I97" s="3063">
        <v>0.05</v>
      </c>
      <c r="J97" s="1906">
        <f t="shared" si="28"/>
        <v>0</v>
      </c>
      <c r="K97" s="1906">
        <f t="shared" si="29"/>
        <v>0</v>
      </c>
      <c r="L97" s="1906">
        <v>0</v>
      </c>
      <c r="M97" s="1906">
        <f t="shared" si="30"/>
        <v>0</v>
      </c>
      <c r="N97" s="1906">
        <f t="shared" si="30"/>
        <v>0</v>
      </c>
    </row>
    <row r="98" spans="1:14" ht="24">
      <c r="A98" s="3075" t="s">
        <v>3260</v>
      </c>
      <c r="B98" s="3082" t="s">
        <v>3270</v>
      </c>
      <c r="C98" s="1881"/>
      <c r="D98" s="2304">
        <f t="shared" si="31"/>
        <v>0</v>
      </c>
      <c r="E98" s="3079"/>
      <c r="F98" s="1669"/>
      <c r="G98" s="3069"/>
      <c r="H98" s="3114" t="str">
        <f t="shared" si="32"/>
        <v>——</v>
      </c>
      <c r="I98" s="3063">
        <v>0.06</v>
      </c>
      <c r="J98" s="1906">
        <f t="shared" si="28"/>
        <v>0</v>
      </c>
      <c r="K98" s="1906">
        <f t="shared" si="29"/>
        <v>0</v>
      </c>
      <c r="L98" s="1906">
        <v>0</v>
      </c>
      <c r="M98" s="1906">
        <f t="shared" si="30"/>
        <v>0</v>
      </c>
      <c r="N98" s="1906">
        <f t="shared" si="30"/>
        <v>0</v>
      </c>
    </row>
    <row r="99" spans="1:14" ht="24">
      <c r="A99" s="3075" t="s">
        <v>3261</v>
      </c>
      <c r="B99" s="3066">
        <f>估价对象房地状况!C21</f>
        <v>0</v>
      </c>
      <c r="C99" s="1881"/>
      <c r="D99" s="2304">
        <f t="shared" si="31"/>
        <v>0</v>
      </c>
      <c r="E99" s="3079"/>
      <c r="F99" s="1669"/>
      <c r="G99" s="3069"/>
      <c r="H99" s="3114" t="str">
        <f t="shared" si="32"/>
        <v>——</v>
      </c>
      <c r="I99" s="3063">
        <v>0.06</v>
      </c>
      <c r="J99" s="1906">
        <f t="shared" si="28"/>
        <v>0</v>
      </c>
      <c r="K99" s="1906">
        <f t="shared" si="29"/>
        <v>0</v>
      </c>
      <c r="L99" s="1906">
        <v>0</v>
      </c>
      <c r="M99" s="1906">
        <f t="shared" si="30"/>
        <v>0</v>
      </c>
      <c r="N99" s="1906">
        <f t="shared" si="30"/>
        <v>0</v>
      </c>
    </row>
    <row r="100" spans="1:14" ht="24">
      <c r="A100" s="3075" t="s">
        <v>3262</v>
      </c>
      <c r="B100" s="3066">
        <f>估价对象房地状况!C22</f>
        <v>0</v>
      </c>
      <c r="C100" s="1881"/>
      <c r="D100" s="2304">
        <f t="shared" si="31"/>
        <v>0</v>
      </c>
      <c r="E100" s="3079"/>
      <c r="F100" s="1669"/>
      <c r="G100" s="3069"/>
      <c r="H100" s="3114" t="str">
        <f t="shared" si="32"/>
        <v>——</v>
      </c>
      <c r="I100" s="3063">
        <v>0.09</v>
      </c>
      <c r="J100" s="1906">
        <f t="shared" si="28"/>
        <v>0</v>
      </c>
      <c r="K100" s="1906">
        <f t="shared" si="29"/>
        <v>0</v>
      </c>
      <c r="L100" s="1906">
        <v>0</v>
      </c>
      <c r="M100" s="1906">
        <f t="shared" si="30"/>
        <v>0</v>
      </c>
      <c r="N100" s="1906">
        <f t="shared" si="30"/>
        <v>0</v>
      </c>
    </row>
    <row r="101" spans="1:14" ht="24.75" thickBot="1">
      <c r="A101" s="3076" t="s">
        <v>3263</v>
      </c>
      <c r="B101" s="3083">
        <f>估价对象房地状况!C20</f>
        <v>0</v>
      </c>
      <c r="C101" s="1881"/>
      <c r="D101" s="2304">
        <f t="shared" si="31"/>
        <v>0</v>
      </c>
      <c r="E101" s="3080"/>
      <c r="F101" s="1669"/>
      <c r="G101" s="3069"/>
      <c r="H101" s="3114" t="str">
        <f t="shared" si="32"/>
        <v>——</v>
      </c>
      <c r="I101" s="3064">
        <v>7.0000000000000007E-2</v>
      </c>
      <c r="J101" s="1906">
        <f t="shared" si="28"/>
        <v>0</v>
      </c>
      <c r="K101" s="1906">
        <f t="shared" si="29"/>
        <v>0</v>
      </c>
      <c r="L101" s="1906">
        <v>0</v>
      </c>
      <c r="M101" s="1906">
        <f t="shared" si="30"/>
        <v>0</v>
      </c>
      <c r="N101" s="1906">
        <f t="shared" si="30"/>
        <v>0</v>
      </c>
    </row>
    <row r="103" spans="1:14">
      <c r="A103" s="3460" t="s">
        <v>3278</v>
      </c>
      <c r="B103" s="3460"/>
      <c r="C103" s="3460"/>
      <c r="D103" s="3460"/>
      <c r="E103" s="3460"/>
      <c r="F103" s="3460"/>
      <c r="G103" s="3460"/>
      <c r="H103" s="3460"/>
      <c r="I103" s="3460"/>
      <c r="J103" s="3460"/>
      <c r="K103" s="1661"/>
      <c r="L103" s="1661"/>
      <c r="M103" s="1661"/>
      <c r="N103" s="1661"/>
    </row>
    <row r="104" spans="1:14">
      <c r="A104" s="3461" t="s">
        <v>3279</v>
      </c>
      <c r="B104" s="3461" t="s">
        <v>3280</v>
      </c>
      <c r="C104" s="3085" t="s">
        <v>3281</v>
      </c>
      <c r="D104" s="3086"/>
      <c r="E104" s="3086"/>
      <c r="F104" s="3086"/>
      <c r="G104" s="3086"/>
      <c r="H104" s="3086"/>
      <c r="I104" s="3086"/>
      <c r="J104" s="3087"/>
      <c r="K104" s="3088"/>
      <c r="L104" s="3088"/>
      <c r="M104" s="3088"/>
      <c r="N104" s="3088"/>
    </row>
    <row r="105" spans="1:14">
      <c r="A105" s="3461"/>
      <c r="B105" s="3461"/>
      <c r="C105" s="3089" t="s">
        <v>3282</v>
      </c>
      <c r="D105" s="3089" t="s">
        <v>3283</v>
      </c>
      <c r="E105" s="3089" t="s">
        <v>3284</v>
      </c>
      <c r="F105" s="3089" t="s">
        <v>3285</v>
      </c>
      <c r="G105" s="3089" t="s">
        <v>3286</v>
      </c>
      <c r="H105" s="3089" t="s">
        <v>3287</v>
      </c>
      <c r="I105" s="3089" t="s">
        <v>3288</v>
      </c>
      <c r="J105" s="3089" t="s">
        <v>3289</v>
      </c>
      <c r="K105" s="3089" t="s">
        <v>3290</v>
      </c>
      <c r="L105" s="3089" t="s">
        <v>3291</v>
      </c>
      <c r="M105" s="3089" t="s">
        <v>3292</v>
      </c>
      <c r="N105" s="3089" t="s">
        <v>3293</v>
      </c>
    </row>
    <row r="106" spans="1:14">
      <c r="A106" s="3447" t="s">
        <v>3294</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48"/>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48"/>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48"/>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48"/>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48"/>
      <c r="B111" s="3089" t="s">
        <v>3252</v>
      </c>
      <c r="C111" s="3090">
        <f>$I$3</f>
        <v>2</v>
      </c>
      <c r="D111" s="3090">
        <f t="shared" ref="D111:M111" si="33">$I$3</f>
        <v>2</v>
      </c>
      <c r="E111" s="3090">
        <f t="shared" si="33"/>
        <v>2</v>
      </c>
      <c r="F111" s="3090">
        <f t="shared" si="33"/>
        <v>2</v>
      </c>
      <c r="G111" s="3090">
        <f t="shared" si="33"/>
        <v>2</v>
      </c>
      <c r="H111" s="3090">
        <f t="shared" si="33"/>
        <v>2</v>
      </c>
      <c r="I111" s="3090">
        <f t="shared" si="33"/>
        <v>2</v>
      </c>
      <c r="J111" s="3090">
        <f t="shared" si="33"/>
        <v>2</v>
      </c>
      <c r="K111" s="3090">
        <f t="shared" si="33"/>
        <v>2</v>
      </c>
      <c r="L111" s="3090">
        <f t="shared" si="33"/>
        <v>2</v>
      </c>
      <c r="M111" s="3090">
        <f t="shared" si="33"/>
        <v>2</v>
      </c>
      <c r="N111" s="3090">
        <f>$I$3</f>
        <v>2</v>
      </c>
    </row>
    <row r="112" spans="1:14">
      <c r="A112" s="3449"/>
      <c r="B112" s="3089">
        <v>6</v>
      </c>
      <c r="C112" s="3084">
        <f>(-0.5556*(C111^2)-0.2719*C111+8944)*(10^(-4))</f>
        <v>0.89412338000000002</v>
      </c>
      <c r="D112" s="3084">
        <f>(-0.5556*(D111^2)-0.2719*D111+8944)*(10^(-4))</f>
        <v>0.89412338000000002</v>
      </c>
      <c r="E112" s="3084">
        <f>(-0.7912*(E111^2)-11.3794*E111+8482)*(10^(-4))</f>
        <v>0.84560763999999999</v>
      </c>
      <c r="F112" s="3084">
        <f t="shared" ref="F112:I112" si="34">(-0.7912*(F111^2)-11.3794*F111+8482)*(10^(-4))</f>
        <v>0.84560763999999999</v>
      </c>
      <c r="G112" s="3084">
        <f t="shared" si="34"/>
        <v>0.84560763999999999</v>
      </c>
      <c r="H112" s="3084">
        <f t="shared" si="34"/>
        <v>0.84560763999999999</v>
      </c>
      <c r="I112" s="3084">
        <f t="shared" si="34"/>
        <v>0.84560763999999999</v>
      </c>
      <c r="J112" s="3084">
        <f>(-0.989*(J111^2)-63.78*J111+7771)*(10^(-4))</f>
        <v>0.76394840000000008</v>
      </c>
      <c r="K112" s="3084">
        <f t="shared" ref="K112:N112" si="35">(-0.989*(K111^2)-63.78*K111+7771)*(10^(-4))</f>
        <v>0.76394840000000008</v>
      </c>
      <c r="L112" s="3084">
        <f t="shared" si="35"/>
        <v>0.76394840000000008</v>
      </c>
      <c r="M112" s="3084">
        <f t="shared" si="35"/>
        <v>0.76394840000000008</v>
      </c>
      <c r="N112" s="3084">
        <f t="shared" si="35"/>
        <v>0.76394840000000008</v>
      </c>
    </row>
    <row r="113" spans="1:14">
      <c r="A113" s="3450" t="s">
        <v>3295</v>
      </c>
      <c r="B113" s="3450"/>
      <c r="C113" s="3450"/>
      <c r="D113" s="3450"/>
      <c r="E113" s="3450"/>
      <c r="F113" s="3450"/>
      <c r="G113" s="3450"/>
      <c r="H113" s="3450"/>
      <c r="I113" s="3450"/>
      <c r="J113" s="3450"/>
      <c r="K113" s="3091"/>
      <c r="L113" s="3091"/>
      <c r="M113" s="3091"/>
      <c r="N113" s="3091"/>
    </row>
    <row r="114" spans="1:14">
      <c r="A114" s="3092"/>
      <c r="B114" s="3092"/>
      <c r="C114" s="3092"/>
      <c r="D114" s="3092"/>
      <c r="E114" s="3092"/>
      <c r="F114" s="3092"/>
      <c r="G114" s="3092"/>
      <c r="H114" s="3092"/>
      <c r="I114" s="3092"/>
      <c r="J114" s="3092"/>
      <c r="K114" s="1958"/>
      <c r="L114" s="3092"/>
      <c r="M114" s="3092"/>
      <c r="N114" s="3092"/>
    </row>
    <row r="115" spans="1:14" ht="13.5" thickBot="1">
      <c r="A115" s="3092"/>
      <c r="B115" s="3092"/>
      <c r="C115" s="3092"/>
      <c r="D115" s="3092"/>
      <c r="E115" s="3092"/>
      <c r="F115" s="3092"/>
      <c r="G115" s="3092"/>
      <c r="H115" s="3092"/>
      <c r="I115" s="3092"/>
      <c r="J115" s="3092"/>
      <c r="K115" s="1958"/>
      <c r="L115" s="3092"/>
      <c r="M115" s="3092"/>
      <c r="N115" s="3092"/>
    </row>
    <row r="116" spans="1:14" ht="25.5" thickBot="1">
      <c r="A116" s="3093" t="s">
        <v>3296</v>
      </c>
      <c r="B116" s="3109">
        <f>G3</f>
        <v>2.5</v>
      </c>
      <c r="C116" s="3094" t="s">
        <v>3297</v>
      </c>
      <c r="D116" s="3095">
        <f>SUMPRODUCT((A118:A122=F116)*(B117:M117=H116)*B118:M122)</f>
        <v>0.91400000000000003</v>
      </c>
      <c r="E116" s="162" t="s">
        <v>3298</v>
      </c>
      <c r="F116" s="3096" t="str">
        <f>E2</f>
        <v>商业</v>
      </c>
      <c r="G116" s="162" t="s">
        <v>3299</v>
      </c>
      <c r="H116" s="3096" t="str">
        <f>G2</f>
        <v>五级</v>
      </c>
      <c r="I116" s="162"/>
      <c r="J116" s="3097"/>
      <c r="K116" s="3097"/>
      <c r="L116" s="3097"/>
      <c r="M116" s="3097"/>
      <c r="N116" s="3092"/>
    </row>
    <row r="117" spans="1:14">
      <c r="A117" s="3098"/>
      <c r="B117" s="3099" t="s">
        <v>3300</v>
      </c>
      <c r="C117" s="3099" t="s">
        <v>3301</v>
      </c>
      <c r="D117" s="3099" t="s">
        <v>3302</v>
      </c>
      <c r="E117" s="3100" t="s">
        <v>3303</v>
      </c>
      <c r="F117" s="3100" t="s">
        <v>3304</v>
      </c>
      <c r="G117" s="3100" t="s">
        <v>3305</v>
      </c>
      <c r="H117" s="3101" t="s">
        <v>3306</v>
      </c>
      <c r="I117" s="3101" t="s">
        <v>3307</v>
      </c>
      <c r="J117" s="3102" t="s">
        <v>3308</v>
      </c>
      <c r="K117" s="3102" t="s">
        <v>3309</v>
      </c>
      <c r="L117" s="3102" t="s">
        <v>3310</v>
      </c>
      <c r="M117" s="3103" t="s">
        <v>3311</v>
      </c>
      <c r="N117" s="3092"/>
    </row>
    <row r="118" spans="1:14">
      <c r="A118" s="3052" t="s">
        <v>3312</v>
      </c>
      <c r="B118" s="3084">
        <f>ROUND(0.9968-0.011*B116,4)</f>
        <v>0.96930000000000005</v>
      </c>
      <c r="C118" s="3084">
        <f>B118</f>
        <v>0.96930000000000005</v>
      </c>
      <c r="D118" s="3084">
        <f>ROUND(0.949-0.014*B116,4)</f>
        <v>0.91400000000000003</v>
      </c>
      <c r="E118" s="3084">
        <f>D118</f>
        <v>0.91400000000000003</v>
      </c>
      <c r="F118" s="3084">
        <f>E118</f>
        <v>0.91400000000000003</v>
      </c>
      <c r="G118" s="3084">
        <f>F118</f>
        <v>0.91400000000000003</v>
      </c>
      <c r="H118" s="3084">
        <f>G118</f>
        <v>0.91400000000000003</v>
      </c>
      <c r="I118" s="3084">
        <f>ROUND(0.8486-0.018*B116,4)</f>
        <v>0.80359999999999998</v>
      </c>
      <c r="J118" s="3084">
        <f t="shared" ref="J118:M122" si="36">I118</f>
        <v>0.80359999999999998</v>
      </c>
      <c r="K118" s="3084">
        <f t="shared" si="36"/>
        <v>0.80359999999999998</v>
      </c>
      <c r="L118" s="3084">
        <f t="shared" si="36"/>
        <v>0.80359999999999998</v>
      </c>
      <c r="M118" s="3104">
        <f t="shared" si="36"/>
        <v>0.80359999999999998</v>
      </c>
      <c r="N118" s="3092"/>
    </row>
    <row r="119" spans="1:14">
      <c r="A119" s="3052" t="s">
        <v>3313</v>
      </c>
      <c r="B119" s="3084">
        <f>ROUND(0.993-0.0112*B116,4)</f>
        <v>0.96499999999999997</v>
      </c>
      <c r="C119" s="3084">
        <f>B119</f>
        <v>0.96499999999999997</v>
      </c>
      <c r="D119" s="3084">
        <f>ROUND(0.9415-0.0142*B116,4)</f>
        <v>0.90600000000000003</v>
      </c>
      <c r="E119" s="3084">
        <f t="shared" ref="E119:H120" si="37">D119</f>
        <v>0.90600000000000003</v>
      </c>
      <c r="F119" s="3084">
        <f t="shared" si="37"/>
        <v>0.90600000000000003</v>
      </c>
      <c r="G119" s="3084">
        <f t="shared" si="37"/>
        <v>0.90600000000000003</v>
      </c>
      <c r="H119" s="3084">
        <f t="shared" si="37"/>
        <v>0.90600000000000003</v>
      </c>
      <c r="I119" s="3084">
        <f>ROUND(0.838-0.0182*B116,4)</f>
        <v>0.79249999999999998</v>
      </c>
      <c r="J119" s="3084">
        <f t="shared" si="36"/>
        <v>0.79249999999999998</v>
      </c>
      <c r="K119" s="3084">
        <f t="shared" si="36"/>
        <v>0.79249999999999998</v>
      </c>
      <c r="L119" s="3084">
        <f t="shared" si="36"/>
        <v>0.79249999999999998</v>
      </c>
      <c r="M119" s="3104">
        <f t="shared" si="36"/>
        <v>0.79249999999999998</v>
      </c>
      <c r="N119" s="3092"/>
    </row>
    <row r="120" spans="1:14">
      <c r="A120" s="3052" t="s">
        <v>3314</v>
      </c>
      <c r="B120" s="3084">
        <f>ROUND(0.9448-0.0115*B116,4)</f>
        <v>0.91610000000000003</v>
      </c>
      <c r="C120" s="3084">
        <f>B120</f>
        <v>0.91610000000000003</v>
      </c>
      <c r="D120" s="3084">
        <f>ROUND(0.937-0.0145*B116,4)</f>
        <v>0.90080000000000005</v>
      </c>
      <c r="E120" s="3084">
        <f t="shared" si="37"/>
        <v>0.90080000000000005</v>
      </c>
      <c r="F120" s="3084">
        <f t="shared" si="37"/>
        <v>0.90080000000000005</v>
      </c>
      <c r="G120" s="3084">
        <f t="shared" si="37"/>
        <v>0.90080000000000005</v>
      </c>
      <c r="H120" s="3084">
        <f t="shared" si="37"/>
        <v>0.90080000000000005</v>
      </c>
      <c r="I120" s="3084">
        <f>ROUND(0.7965-0.0185*B116,4)</f>
        <v>0.75029999999999997</v>
      </c>
      <c r="J120" s="3084">
        <f t="shared" si="36"/>
        <v>0.75029999999999997</v>
      </c>
      <c r="K120" s="3084">
        <f t="shared" si="36"/>
        <v>0.75029999999999997</v>
      </c>
      <c r="L120" s="3084">
        <f t="shared" si="36"/>
        <v>0.75029999999999997</v>
      </c>
      <c r="M120" s="3104">
        <f t="shared" si="36"/>
        <v>0.75029999999999997</v>
      </c>
      <c r="N120" s="3092"/>
    </row>
    <row r="121" spans="1:14" ht="13.5" thickBot="1">
      <c r="A121" s="3105" t="s">
        <v>3315</v>
      </c>
      <c r="B121" s="3106">
        <f>ROUND(0.7836-0.012*B116,4)</f>
        <v>0.75360000000000005</v>
      </c>
      <c r="C121" s="3106">
        <f>B121</f>
        <v>0.75360000000000005</v>
      </c>
      <c r="D121" s="3106">
        <f>ROUND(0.753-0.015*B116,4)</f>
        <v>0.71550000000000002</v>
      </c>
      <c r="E121" s="3106">
        <f>D121</f>
        <v>0.71550000000000002</v>
      </c>
      <c r="F121" s="3106">
        <f>E121</f>
        <v>0.71550000000000002</v>
      </c>
      <c r="G121" s="3106">
        <f>ROUND(0.6612-0.018*B116,4)</f>
        <v>0.61619999999999997</v>
      </c>
      <c r="H121" s="3106">
        <f>G121</f>
        <v>0.61619999999999997</v>
      </c>
      <c r="I121" s="3106">
        <f>ROUND(0.5905-0.019*B116,4)</f>
        <v>0.54300000000000004</v>
      </c>
      <c r="J121" s="3106">
        <f t="shared" si="36"/>
        <v>0.54300000000000004</v>
      </c>
      <c r="K121" s="3106">
        <f t="shared" si="36"/>
        <v>0.54300000000000004</v>
      </c>
      <c r="L121" s="3106">
        <f t="shared" si="36"/>
        <v>0.54300000000000004</v>
      </c>
      <c r="M121" s="3107">
        <f t="shared" si="36"/>
        <v>0.54300000000000004</v>
      </c>
      <c r="N121" s="3092"/>
    </row>
    <row r="122" spans="1:14">
      <c r="A122" s="3108" t="s">
        <v>2596</v>
      </c>
      <c r="B122" s="3084">
        <f>ROUND(0.9404-0.0106*B116,4)</f>
        <v>0.91390000000000005</v>
      </c>
      <c r="C122" s="3084">
        <f>B122</f>
        <v>0.91390000000000005</v>
      </c>
      <c r="D122" s="3084">
        <f>ROUND(0.8955-0.0135*B116,4)</f>
        <v>0.86180000000000001</v>
      </c>
      <c r="E122" s="3084">
        <f t="shared" ref="E122:H122" si="38">D122</f>
        <v>0.86180000000000001</v>
      </c>
      <c r="F122" s="3084">
        <f t="shared" si="38"/>
        <v>0.86180000000000001</v>
      </c>
      <c r="G122" s="3084">
        <f t="shared" si="38"/>
        <v>0.86180000000000001</v>
      </c>
      <c r="H122" s="3084">
        <f t="shared" si="38"/>
        <v>0.86180000000000001</v>
      </c>
      <c r="I122" s="3084">
        <f>ROUND(0.7632-0.0166*B116,4)</f>
        <v>0.72170000000000001</v>
      </c>
      <c r="J122" s="3084">
        <f t="shared" si="36"/>
        <v>0.72170000000000001</v>
      </c>
      <c r="K122" s="3084">
        <f t="shared" si="36"/>
        <v>0.72170000000000001</v>
      </c>
      <c r="L122" s="3084">
        <f t="shared" si="36"/>
        <v>0.72170000000000001</v>
      </c>
      <c r="M122" s="3104">
        <f t="shared" si="36"/>
        <v>0.72170000000000001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4" priority="6" stopIfTrue="1" operator="notEqual">
      <formula>"——"</formula>
    </cfRule>
  </conditionalFormatting>
  <conditionalFormatting sqref="F61">
    <cfRule type="cellIs" dxfId="153" priority="5" stopIfTrue="1" operator="notEqual">
      <formula>"——"</formula>
    </cfRule>
  </conditionalFormatting>
  <conditionalFormatting sqref="F72">
    <cfRule type="cellIs" dxfId="152" priority="4" stopIfTrue="1" operator="notEqual">
      <formula>"——"</formula>
    </cfRule>
  </conditionalFormatting>
  <conditionalFormatting sqref="F83">
    <cfRule type="cellIs" dxfId="151" priority="3" stopIfTrue="1" operator="notEqual">
      <formula>"——"</formula>
    </cfRule>
  </conditionalFormatting>
  <conditionalFormatting sqref="H50:H58 H61:H69 H72:H80 H83:H91">
    <cfRule type="cellIs" dxfId="150" priority="2" operator="notEqual">
      <formula>"——"</formula>
    </cfRule>
  </conditionalFormatting>
  <conditionalFormatting sqref="H93:H101">
    <cfRule type="cellIs" dxfId="149"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26BB0-34D2-422D-828F-76A43DC4C8AA}">
  <sheetPr>
    <tabColor rgb="FF92D050"/>
  </sheetPr>
  <dimension ref="A1:AK83"/>
  <sheetViews>
    <sheetView view="pageBreakPreview" topLeftCell="A37" zoomScaleNormal="70" zoomScaleSheetLayoutView="10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3"/>
      <c r="C1" s="1281">
        <v>203</v>
      </c>
      <c r="D1" s="1265" t="s">
        <v>43</v>
      </c>
      <c r="E1" s="1266" t="s">
        <v>674</v>
      </c>
      <c r="F1" s="993">
        <f ca="1">J53</f>
        <v>24</v>
      </c>
      <c r="G1" s="1280">
        <f>MATCH(C1,'数据-取费表'!A6:A16,0)+5</f>
        <v>8</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7" t="s">
        <v>800</v>
      </c>
      <c r="B2" s="3118">
        <f ca="1">ROUND(D2/10000,4)</f>
        <v>3201.9983999999999</v>
      </c>
      <c r="C2" s="1283" t="s">
        <v>801</v>
      </c>
      <c r="D2" s="1369">
        <f ca="1">C40+J29+L46</f>
        <v>32019984</v>
      </c>
      <c r="E2" s="1289" t="s">
        <v>876</v>
      </c>
      <c r="F2" s="1290"/>
      <c r="G2" s="2473"/>
      <c r="H2" s="2463"/>
      <c r="I2" s="2463"/>
      <c r="J2" s="2463"/>
      <c r="K2" s="2464"/>
      <c r="L2" s="2463"/>
      <c r="M2" s="2463"/>
    </row>
    <row r="3" spans="1:37" ht="18" customHeight="1" thickBot="1">
      <c r="A3" s="1291" t="s">
        <v>802</v>
      </c>
      <c r="B3" s="1292">
        <f ca="1">IF(ISERROR(D2/F43),0,ROUND(D2/F43,0))</f>
        <v>19910</v>
      </c>
      <c r="C3" s="1283" t="s">
        <v>803</v>
      </c>
      <c r="D3" s="1283"/>
      <c r="E3" s="1289"/>
      <c r="F3" s="1290"/>
      <c r="G3" s="2473"/>
      <c r="H3" s="649" t="s">
        <v>872</v>
      </c>
      <c r="I3" s="1284"/>
      <c r="J3" s="1284"/>
      <c r="K3" s="1285"/>
      <c r="L3" s="1284"/>
      <c r="M3" s="1284"/>
    </row>
    <row r="4" spans="1:37" ht="18" customHeight="1">
      <c r="A4" s="287" t="s">
        <v>683</v>
      </c>
      <c r="B4" s="288" t="s">
        <v>684</v>
      </c>
      <c r="C4" s="288" t="s">
        <v>685</v>
      </c>
      <c r="D4" s="288" t="s">
        <v>686</v>
      </c>
      <c r="E4" s="289" t="s">
        <v>687</v>
      </c>
      <c r="F4" s="290"/>
      <c r="G4" s="1286"/>
      <c r="H4" s="287" t="s">
        <v>683</v>
      </c>
      <c r="I4" s="288" t="s">
        <v>684</v>
      </c>
      <c r="J4" s="288" t="s">
        <v>685</v>
      </c>
      <c r="K4" s="288" t="s">
        <v>686</v>
      </c>
      <c r="L4" s="289" t="s">
        <v>687</v>
      </c>
      <c r="M4" s="290"/>
    </row>
    <row r="5" spans="1:37" ht="18" customHeight="1">
      <c r="A5" s="291">
        <v>1</v>
      </c>
      <c r="B5" s="292" t="s">
        <v>688</v>
      </c>
      <c r="C5" s="1001">
        <f ca="1">C6+C10+C12</f>
        <v>2433280</v>
      </c>
      <c r="D5" s="1267" t="s">
        <v>689</v>
      </c>
      <c r="E5" s="1002"/>
      <c r="F5" s="1003"/>
      <c r="G5" s="1286"/>
      <c r="H5" s="291">
        <v>1</v>
      </c>
      <c r="I5" s="292" t="s">
        <v>688</v>
      </c>
      <c r="J5" s="1001">
        <f ca="1">J6+J10+J12</f>
        <v>0</v>
      </c>
      <c r="K5" s="1267" t="s">
        <v>689</v>
      </c>
      <c r="L5" s="1002"/>
      <c r="M5" s="1003"/>
    </row>
    <row r="6" spans="1:37" ht="18" customHeight="1">
      <c r="A6" s="1000" t="s">
        <v>398</v>
      </c>
      <c r="B6" s="3444" t="s">
        <v>690</v>
      </c>
      <c r="C6" s="1005">
        <f ca="1">ROUND(F6*F8*F7*(1-F9),0)</f>
        <v>2430242</v>
      </c>
      <c r="D6" s="147" t="s">
        <v>2099</v>
      </c>
      <c r="E6" s="294" t="s">
        <v>692</v>
      </c>
      <c r="F6" s="295">
        <f ca="1">INDIRECT("'数据-取费表'!u"&amp;$G$1)</f>
        <v>4.5999999999999996</v>
      </c>
      <c r="G6" s="1286"/>
      <c r="H6" s="1000" t="s">
        <v>398</v>
      </c>
      <c r="I6" s="3444" t="s">
        <v>690</v>
      </c>
      <c r="J6" s="293">
        <f ca="1">ROUND(M6*M8*M7*(1-M9),0)</f>
        <v>0</v>
      </c>
      <c r="K6" s="1278" t="s">
        <v>2100</v>
      </c>
      <c r="L6" s="294" t="s">
        <v>692</v>
      </c>
      <c r="M6" s="295">
        <f ca="1">INDIRECT("'数据-取费表'!z"&amp;$G$1)</f>
        <v>0</v>
      </c>
    </row>
    <row r="7" spans="1:37" ht="18" customHeight="1">
      <c r="A7" s="1004"/>
      <c r="B7" s="3445"/>
      <c r="C7" s="1006"/>
      <c r="D7" s="299"/>
      <c r="E7" s="1007" t="s">
        <v>693</v>
      </c>
      <c r="F7" s="295">
        <f ca="1">IF(INDIRECT("'数据-取费表'!ah"&amp;$G$1)="",INDIRECT("'数据-取费表'!k"&amp;$G$1),INDIRECT("'数据-取费表'!ah"&amp;$G$1))</f>
        <v>1608.26</v>
      </c>
      <c r="G7" s="1286"/>
      <c r="H7" s="296"/>
      <c r="I7" s="3445"/>
      <c r="J7" s="298"/>
      <c r="K7" s="299"/>
      <c r="L7" s="294" t="s">
        <v>693</v>
      </c>
      <c r="M7" s="295">
        <f ca="1">F7</f>
        <v>1608.26</v>
      </c>
    </row>
    <row r="8" spans="1:37" ht="18" customHeight="1">
      <c r="A8" s="296"/>
      <c r="B8" s="3445"/>
      <c r="C8" s="298"/>
      <c r="D8" s="299"/>
      <c r="E8" s="294" t="s">
        <v>694</v>
      </c>
      <c r="F8" s="295">
        <f ca="1">INDIRECT("'数据-取费表'!ai"&amp;$G$1)</f>
        <v>365</v>
      </c>
      <c r="G8" s="1286"/>
      <c r="H8" s="296"/>
      <c r="I8" s="3445"/>
      <c r="J8" s="298"/>
      <c r="K8" s="299"/>
      <c r="L8" s="294" t="s">
        <v>694</v>
      </c>
      <c r="M8" s="295">
        <f ca="1">INDIRECT("'数据-取费表'!ai"&amp;$G$1)</f>
        <v>365</v>
      </c>
    </row>
    <row r="9" spans="1:37" ht="18" customHeight="1">
      <c r="A9" s="296"/>
      <c r="B9" s="3446"/>
      <c r="C9" s="298"/>
      <c r="D9" s="299"/>
      <c r="E9" s="294" t="s">
        <v>695</v>
      </c>
      <c r="F9" s="304">
        <f ca="1">INDIRECT("'数据-取费表'!w"&amp;$G$1)</f>
        <v>0.1</v>
      </c>
      <c r="G9" s="1286"/>
      <c r="H9" s="296"/>
      <c r="I9" s="3446"/>
      <c r="J9" s="298"/>
      <c r="K9" s="299"/>
      <c r="L9" s="305" t="s">
        <v>695</v>
      </c>
      <c r="M9" s="306">
        <f ca="1">INDIRECT("'数据-取费表'!ab"&amp;$G$1)</f>
        <v>0</v>
      </c>
    </row>
    <row r="10" spans="1:37" ht="18" customHeight="1">
      <c r="A10" s="1000" t="s">
        <v>402</v>
      </c>
      <c r="B10" s="1268" t="s">
        <v>696</v>
      </c>
      <c r="C10" s="308">
        <f ca="1">ROUND(IF(F10="押一",C6/12*F11,IF(F10="押二",C6/12*2*F11,IF(F10="押三",C6/12*3*F11,C11*F11))),0)</f>
        <v>3038</v>
      </c>
      <c r="D10" s="150" t="s">
        <v>2109</v>
      </c>
      <c r="E10" s="305" t="s">
        <v>697</v>
      </c>
      <c r="F10" s="1047" t="s">
        <v>3534</v>
      </c>
      <c r="G10" s="1286"/>
      <c r="H10" s="1000" t="s">
        <v>402</v>
      </c>
      <c r="I10" s="1268" t="s">
        <v>696</v>
      </c>
      <c r="J10" s="293">
        <f ca="1">ROUND(IF(M10="押一",J6/12*M11,IF(M10="押二",J6/12*2*M11,IF(M10="押三",J6/12*3*M11,J11*M11))),0)</f>
        <v>0</v>
      </c>
      <c r="K10" s="1279" t="s">
        <v>2111</v>
      </c>
      <c r="L10" s="305" t="s">
        <v>697</v>
      </c>
      <c r="M10" s="1047"/>
    </row>
    <row r="11" spans="1:37" ht="18" customHeight="1">
      <c r="A11" s="300"/>
      <c r="B11" s="1269" t="s">
        <v>886</v>
      </c>
      <c r="C11" s="899"/>
      <c r="D11" s="299"/>
      <c r="E11" s="305" t="s">
        <v>698</v>
      </c>
      <c r="F11" s="306">
        <f ca="1">'数据-取费表'!B39</f>
        <v>1.4999999999999999E-2</v>
      </c>
      <c r="G11" s="1286"/>
      <c r="H11" s="1008"/>
      <c r="I11" s="1269" t="s">
        <v>887</v>
      </c>
      <c r="J11" s="899"/>
      <c r="K11" s="646"/>
      <c r="L11" s="305" t="s">
        <v>698</v>
      </c>
      <c r="M11" s="803">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f ca="1">ROUND(C29*F13,0)</f>
        <v>8097507</v>
      </c>
      <c r="D13" s="1012" t="s">
        <v>701</v>
      </c>
      <c r="E13" s="1012" t="s">
        <v>702</v>
      </c>
      <c r="F13" s="1013">
        <f ca="1">INDIRECT("'数据-取费表'!y"&amp;$G$1)</f>
        <v>0.77</v>
      </c>
      <c r="G13" s="1286"/>
      <c r="H13" s="1010">
        <v>2</v>
      </c>
      <c r="I13" s="1011" t="s">
        <v>700</v>
      </c>
      <c r="J13" s="999">
        <f ca="1">ROUND(J14*J15,0)</f>
        <v>0</v>
      </c>
      <c r="K13" s="1018" t="s">
        <v>701</v>
      </c>
      <c r="L13" s="1293"/>
      <c r="M13" s="1294"/>
    </row>
    <row r="14" spans="1:37" ht="18" customHeight="1">
      <c r="A14" s="922" t="s">
        <v>397</v>
      </c>
      <c r="B14" s="294" t="s">
        <v>703</v>
      </c>
      <c r="C14" s="310">
        <f ca="1">ROUND(INDIRECT("'数据-取费表'!l"&amp;$G$1)*F43+'数据-取费表'!L14*INDIRECT("'数据-取费表'!S"&amp;$G$1),0)</f>
        <v>7237170</v>
      </c>
      <c r="D14" s="1251" t="s">
        <v>704</v>
      </c>
      <c r="E14" s="1249"/>
      <c r="F14" s="311"/>
      <c r="G14" s="1286"/>
      <c r="H14" s="922" t="s">
        <v>398</v>
      </c>
      <c r="I14" s="294" t="s">
        <v>705</v>
      </c>
      <c r="J14" s="21">
        <f ca="1">C29</f>
        <v>10516243</v>
      </c>
      <c r="K14" s="12"/>
      <c r="L14" s="753"/>
      <c r="M14" s="754"/>
    </row>
    <row r="15" spans="1:37" s="1298" customFormat="1" ht="18" customHeight="1" thickBot="1">
      <c r="A15" s="922" t="s">
        <v>399</v>
      </c>
      <c r="B15" s="294" t="s">
        <v>706</v>
      </c>
      <c r="C15" s="21">
        <f ca="1">ROUND(C14*F15,0)</f>
        <v>361859</v>
      </c>
      <c r="D15" s="312" t="s">
        <v>707</v>
      </c>
      <c r="E15" s="312" t="s">
        <v>708</v>
      </c>
      <c r="F15" s="313">
        <f>'数据-取费表'!B33</f>
        <v>0.05</v>
      </c>
      <c r="G15" s="1297"/>
      <c r="H15" s="1020" t="s">
        <v>402</v>
      </c>
      <c r="I15" s="1021" t="s">
        <v>702</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676</v>
      </c>
      <c r="B16" s="294" t="s">
        <v>709</v>
      </c>
      <c r="C16" s="21">
        <f ca="1">ROUND(INDIRECT("'数据-取费表'!l"&amp;$G$1)*F43*F16,0)</f>
        <v>0</v>
      </c>
      <c r="D16" s="294" t="s">
        <v>707</v>
      </c>
      <c r="E16" s="294" t="s">
        <v>708</v>
      </c>
      <c r="F16" s="314">
        <f ca="1">IF(INDIRECT("'数据-取费表'!c"&amp;$G$1)="住宅",'数据-取费表'!B34,0)</f>
        <v>0</v>
      </c>
      <c r="G16" s="1286"/>
      <c r="H16" s="1010" t="s">
        <v>393</v>
      </c>
      <c r="I16" s="1011" t="s">
        <v>710</v>
      </c>
      <c r="J16" s="302">
        <f ca="1">ROUND(J17+J22+J23+J24,0)</f>
        <v>21032</v>
      </c>
      <c r="K16" s="1018" t="s">
        <v>711</v>
      </c>
      <c r="L16" s="1019"/>
      <c r="M16" s="1003"/>
    </row>
    <row r="17" spans="1:37" s="1298" customFormat="1" ht="18" customHeight="1">
      <c r="A17" s="922" t="s">
        <v>677</v>
      </c>
      <c r="B17" s="294" t="s">
        <v>712</v>
      </c>
      <c r="C17" s="21">
        <f ca="1">ROUND(F17*(F43+INDIRECT("'数据-取费表'!S"&amp;$G$1)),0)</f>
        <v>321652</v>
      </c>
      <c r="D17" s="294" t="s">
        <v>713</v>
      </c>
      <c r="E17" s="294" t="s">
        <v>714</v>
      </c>
      <c r="F17" s="23">
        <f>'数据-取费表'!B35</f>
        <v>200</v>
      </c>
      <c r="G17" s="1297"/>
      <c r="H17" s="922" t="s">
        <v>398</v>
      </c>
      <c r="I17" s="294" t="s">
        <v>715</v>
      </c>
      <c r="J17" s="2134">
        <f ca="1">ROUND(IF(AND(项目基本情况!B11="自然人",项目基本情况!B10="北京市"),J6*M17/(1+'数据-取费表'!C42),J18+J19+J20),0)</f>
        <v>0</v>
      </c>
      <c r="K17" s="1251" t="s">
        <v>716</v>
      </c>
      <c r="L17" s="1250" t="s">
        <v>717</v>
      </c>
      <c r="M17" s="2133"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678</v>
      </c>
      <c r="B18" s="294" t="s">
        <v>718</v>
      </c>
      <c r="C18" s="21">
        <f ca="1">ROUND(C14*F18,0)</f>
        <v>144743</v>
      </c>
      <c r="D18" s="294" t="s">
        <v>707</v>
      </c>
      <c r="E18" s="294" t="s">
        <v>708</v>
      </c>
      <c r="F18" s="314">
        <f>'数据-取费表'!B36</f>
        <v>0.02</v>
      </c>
      <c r="G18" s="1297"/>
      <c r="H18" s="922" t="s">
        <v>397</v>
      </c>
      <c r="I18" s="294" t="s">
        <v>719</v>
      </c>
      <c r="J18" s="21">
        <f ca="1">ROUND(J6*M18/(1+'数据-取费表'!C42),0)</f>
        <v>0</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4" t="s">
        <v>721</v>
      </c>
      <c r="C19" s="21">
        <f ca="1">SUM(C14:C18)</f>
        <v>8065424</v>
      </c>
      <c r="D19" s="123" t="s">
        <v>722</v>
      </c>
      <c r="E19" s="1263"/>
      <c r="F19" s="23"/>
      <c r="G19" s="1286"/>
      <c r="H19" s="922" t="s">
        <v>399</v>
      </c>
      <c r="I19" s="294" t="s">
        <v>723</v>
      </c>
      <c r="J19" s="21">
        <f ca="1">IF(K19="按租金收入计税",ROUND(J6*M19/(1+'数据-取费表'!C42),0),ROUND(C29*M19*0.7,0))</f>
        <v>0</v>
      </c>
      <c r="K19" s="1272" t="s">
        <v>3319</v>
      </c>
      <c r="L19" s="294" t="s">
        <v>708</v>
      </c>
      <c r="M19" s="314">
        <f>IF(K19="按租金收入计税",'数据-取费表'!B51,'数据-取费表'!B50)</f>
        <v>0.12</v>
      </c>
    </row>
    <row r="20" spans="1:37" s="1298" customFormat="1" ht="18" customHeight="1">
      <c r="A20" s="922" t="s">
        <v>402</v>
      </c>
      <c r="B20" s="294" t="s">
        <v>724</v>
      </c>
      <c r="C20" s="21">
        <f ca="1">ROUND(C19*F20,0)</f>
        <v>161308</v>
      </c>
      <c r="D20" s="315" t="s">
        <v>725</v>
      </c>
      <c r="E20" s="294" t="s">
        <v>708</v>
      </c>
      <c r="F20" s="314">
        <f>'数据-取费表'!B37</f>
        <v>0.02</v>
      </c>
      <c r="G20" s="1297"/>
      <c r="H20" s="922" t="s">
        <v>676</v>
      </c>
      <c r="I20" s="147" t="s">
        <v>726</v>
      </c>
      <c r="J20" s="22">
        <f ca="1">ROUND(M20*M21,0)</f>
        <v>0</v>
      </c>
      <c r="K20" s="316" t="s">
        <v>727</v>
      </c>
      <c r="L20" s="294" t="s">
        <v>728</v>
      </c>
      <c r="M20" s="317">
        <f>'数据-取费表'!B52</f>
        <v>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4" t="s">
        <v>729</v>
      </c>
      <c r="C21" s="21" t="s">
        <v>0</v>
      </c>
      <c r="D21" s="315" t="s">
        <v>730</v>
      </c>
      <c r="E21" s="294" t="s">
        <v>731</v>
      </c>
      <c r="F21" s="314">
        <f>'数据-取费表'!B38</f>
        <v>0.02</v>
      </c>
      <c r="G21" s="1297"/>
      <c r="H21" s="318"/>
      <c r="I21" s="303"/>
      <c r="J21" s="26"/>
      <c r="K21" s="319"/>
      <c r="L21" s="294" t="s">
        <v>732</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679</v>
      </c>
      <c r="B22" s="294" t="s">
        <v>733</v>
      </c>
      <c r="C22" s="21"/>
      <c r="D22" s="123" t="str">
        <f>IF(F23&lt;=1,"单利计息。","复利计息。")&amp;"建造成本、管理费用、销售费用产生的利息。"</f>
        <v>复利计息。建造成本、管理费用、销售费用产生的利息。</v>
      </c>
      <c r="E22" s="1263"/>
      <c r="F22" s="23"/>
      <c r="G22" s="1286"/>
      <c r="H22" s="922" t="s">
        <v>402</v>
      </c>
      <c r="I22" s="294" t="s">
        <v>734</v>
      </c>
      <c r="J22" s="21">
        <f ca="1">ROUND(J14*M22,0)</f>
        <v>21032</v>
      </c>
      <c r="K22" s="1250" t="s">
        <v>735</v>
      </c>
      <c r="L22" s="294" t="s">
        <v>708</v>
      </c>
      <c r="M22" s="320">
        <f ca="1">INDIRECT("'数据-取费表'!Ak"&amp;$G$1)</f>
        <v>2E-3</v>
      </c>
    </row>
    <row r="23" spans="1:37" s="1298" customFormat="1" ht="18" customHeight="1">
      <c r="A23" s="922" t="s">
        <v>397</v>
      </c>
      <c r="B23" s="294" t="s">
        <v>736</v>
      </c>
      <c r="C23" s="21">
        <f ca="1">IF('数据-取费表'!B22&lt;=1,ROUND(C19*F24*F23/2,0)+ROUND(C20*F24*F23/2,0),ROUND(C19*(POWER((1+F24),F23/2)-1),0)+ROUND(C20*(POWER((1+F24),F23/2)-1),0))</f>
        <v>246802</v>
      </c>
      <c r="D23" s="138" t="str">
        <f>IF(F23&lt;=1,"(建造成本+管理费用)×利率×(建设周期÷2)","(建造成本+管理费用)×((1+利率)^(建设周期÷2)-1)")</f>
        <v>(建造成本+管理费用)×((1+利率)^(建设周期÷2)-1)</v>
      </c>
      <c r="E23" s="294" t="s">
        <v>737</v>
      </c>
      <c r="F23" s="317">
        <f>'数据-取费表'!B20</f>
        <v>2</v>
      </c>
      <c r="G23" s="1297"/>
      <c r="H23" s="922" t="s">
        <v>437</v>
      </c>
      <c r="I23" s="294" t="s">
        <v>738</v>
      </c>
      <c r="J23" s="21">
        <f ca="1">ROUND(J13*M23,0)</f>
        <v>0</v>
      </c>
      <c r="K23" s="1250" t="s">
        <v>739</v>
      </c>
      <c r="L23" s="294" t="s">
        <v>708</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399</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0.03</v>
      </c>
      <c r="G24" s="1297"/>
      <c r="H24" s="1020" t="s">
        <v>679</v>
      </c>
      <c r="I24" s="1021" t="s">
        <v>724</v>
      </c>
      <c r="J24" s="1022">
        <f ca="1">ROUND(J5*M24,0)</f>
        <v>0</v>
      </c>
      <c r="K24" s="1023" t="s">
        <v>744</v>
      </c>
      <c r="L24" s="1021" t="s">
        <v>708</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2" t="s">
        <v>745</v>
      </c>
      <c r="B25" s="294" t="s">
        <v>746</v>
      </c>
      <c r="C25" s="21"/>
      <c r="D25" s="123" t="s">
        <v>747</v>
      </c>
      <c r="E25" s="1263"/>
      <c r="F25" s="23"/>
      <c r="G25" s="1286"/>
      <c r="H25" s="1010" t="s">
        <v>394</v>
      </c>
      <c r="I25" s="1025" t="s">
        <v>748</v>
      </c>
      <c r="J25" s="302">
        <f ca="1">J5-J16</f>
        <v>-21032</v>
      </c>
      <c r="K25" s="1026" t="s">
        <v>749</v>
      </c>
      <c r="L25" s="1027"/>
      <c r="M25" s="1028"/>
    </row>
    <row r="26" spans="1:37" ht="18" customHeight="1">
      <c r="A26" s="922" t="s">
        <v>397</v>
      </c>
      <c r="B26" s="294" t="s">
        <v>750</v>
      </c>
      <c r="C26" s="21">
        <f ca="1">ROUND((C19+C20)*F26,0)</f>
        <v>1234010</v>
      </c>
      <c r="D26" s="315" t="s">
        <v>751</v>
      </c>
      <c r="E26" s="305" t="s">
        <v>752</v>
      </c>
      <c r="F26" s="304">
        <f ca="1">INDIRECT("'数据-取费表'!q"&amp;$G$1)</f>
        <v>0.15</v>
      </c>
      <c r="G26" s="1286"/>
      <c r="H26" s="291" t="s">
        <v>395</v>
      </c>
      <c r="I26" s="292" t="s">
        <v>753</v>
      </c>
      <c r="J26" s="293">
        <f ca="1">IF(J5&lt;&gt;0,ROUND(J25*(1-((1+M28)/(1+M26))^M27)/(M26-M28),0),0)</f>
        <v>0</v>
      </c>
      <c r="K26" s="316" t="s">
        <v>754</v>
      </c>
      <c r="L26" s="294" t="s">
        <v>755</v>
      </c>
      <c r="M26" s="304">
        <f ca="1">INDIRECT("'数据-取费表'!I"&amp;$G$1)</f>
        <v>5.5E-2</v>
      </c>
    </row>
    <row r="27" spans="1:37" ht="18" customHeight="1">
      <c r="A27" s="922" t="s">
        <v>399</v>
      </c>
      <c r="B27" s="294" t="s">
        <v>756</v>
      </c>
      <c r="C27" s="21">
        <f ca="1">ROUND(F21*F26,4)</f>
        <v>3.0000000000000001E-3</v>
      </c>
      <c r="D27" s="315" t="s">
        <v>757</v>
      </c>
      <c r="E27" s="312"/>
      <c r="F27" s="313"/>
      <c r="G27" s="1286"/>
      <c r="H27" s="296"/>
      <c r="I27" s="297"/>
      <c r="J27" s="298"/>
      <c r="K27" s="323" t="s">
        <v>758</v>
      </c>
      <c r="L27" s="294" t="s">
        <v>759</v>
      </c>
      <c r="M27" s="324">
        <f ca="1">INDIRECT("'数据-取费表'!ag"&amp;$G$1)</f>
        <v>0</v>
      </c>
    </row>
    <row r="28" spans="1:37" s="1298" customFormat="1" ht="18" customHeight="1">
      <c r="A28" s="922"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f ca="1">ROUND((C19+C20+C23+C26)/(1-F21-C24-C27-C28),0)</f>
        <v>10516243</v>
      </c>
      <c r="D29" s="1023"/>
      <c r="E29" s="1021"/>
      <c r="F29" s="1024"/>
      <c r="G29" s="1297"/>
      <c r="H29" s="325" t="s">
        <v>396</v>
      </c>
      <c r="I29" s="326" t="s">
        <v>764</v>
      </c>
      <c r="J29" s="327">
        <f ca="1">ROUND(J26/(1+F40)^F41,0)</f>
        <v>0</v>
      </c>
      <c r="K29" s="328" t="s">
        <v>765</v>
      </c>
      <c r="L29" s="329"/>
      <c r="M29" s="330">
        <f ca="1">INDIRECT("'数据-取费表'!k"&amp;$G$1)</f>
        <v>1608.26</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f ca="1">ROUND(C31+C36+C37+C38,0)</f>
        <v>460818</v>
      </c>
      <c r="D30" s="1018" t="s">
        <v>711</v>
      </c>
      <c r="E30" s="1019"/>
      <c r="F30" s="1003"/>
      <c r="G30" s="1286"/>
      <c r="H30" s="2465"/>
      <c r="I30" s="1299"/>
      <c r="J30" s="1300"/>
      <c r="K30" s="121"/>
      <c r="L30" s="2466"/>
      <c r="M30" s="2467"/>
    </row>
    <row r="31" spans="1:37" ht="18" customHeight="1">
      <c r="A31" s="922" t="s">
        <v>398</v>
      </c>
      <c r="B31" s="294" t="s">
        <v>715</v>
      </c>
      <c r="C31" s="2134">
        <f ca="1">ROUND(IF(AND(项目基本情况!B11="自然人",项目基本情况!B10="北京市"),C6*F31/(1+'数据-取费表'!C42),C32+C33+C34),0)</f>
        <v>407355</v>
      </c>
      <c r="D31" s="1251" t="s">
        <v>716</v>
      </c>
      <c r="E31" s="1250" t="s">
        <v>766</v>
      </c>
      <c r="F31" s="2133" t="str">
        <f>IF(项目基本情况!B11="企业","——",IF(M47="住宅",IF(F6*F7*F8/12/(1+'数据-取费表'!F30)&gt;100000,4%,2.5%),IF(F6*F7*F8/12/(1+'数据-取费表'!F30)&gt;100000,12%,7%)))</f>
        <v>——</v>
      </c>
      <c r="G31" s="1286"/>
      <c r="H31" s="2564" t="s">
        <v>2290</v>
      </c>
      <c r="I31" s="1299"/>
      <c r="J31" s="1300"/>
      <c r="K31" s="121"/>
      <c r="L31" s="2466"/>
      <c r="M31" s="2467"/>
    </row>
    <row r="32" spans="1:37" ht="18" customHeight="1">
      <c r="A32" s="922" t="s">
        <v>397</v>
      </c>
      <c r="B32" s="294" t="s">
        <v>719</v>
      </c>
      <c r="C32" s="21">
        <f ca="1">IF(项目基本情况!B11="自然人","——",ROUND(C6*F32/(1+'数据-取费表'!C42),0))</f>
        <v>129613</v>
      </c>
      <c r="D32" s="1250" t="s">
        <v>720</v>
      </c>
      <c r="E32" s="294" t="s">
        <v>708</v>
      </c>
      <c r="F32" s="322">
        <f>'数据-取费表'!B41</f>
        <v>5.6000000000000001E-2</v>
      </c>
      <c r="G32" s="1286"/>
      <c r="H32" s="2465"/>
      <c r="I32" s="1299"/>
      <c r="J32" s="1300"/>
      <c r="K32" s="121"/>
      <c r="L32" s="2466"/>
      <c r="M32" s="2467"/>
    </row>
    <row r="33" spans="1:18" ht="18" customHeight="1">
      <c r="A33" s="922" t="s">
        <v>399</v>
      </c>
      <c r="B33" s="294" t="s">
        <v>723</v>
      </c>
      <c r="C33" s="21">
        <f ca="1">IF(项目基本情况!B11="自然人","——",IF(D33="按租金收入计税",ROUND(C6*F33/(1+'数据-取费表'!C42),0),IF(D33="按房产原值计税",ROUND(C29*F33*0.7,0),INDIRECT("'数据-取费表'!Aj"&amp;$G$1))))</f>
        <v>277742</v>
      </c>
      <c r="D33" s="1272" t="s">
        <v>3319</v>
      </c>
      <c r="E33" s="294" t="s">
        <v>708</v>
      </c>
      <c r="F33" s="314">
        <f>IF(D33="按票据","——",IF(D33="按租金收入计税",'数据-取费表'!B51,'数据-取费表'!B50))</f>
        <v>0.12</v>
      </c>
      <c r="G33" s="1286"/>
      <c r="H33" s="2468"/>
      <c r="I33" s="1299"/>
      <c r="J33" s="1300"/>
      <c r="K33" s="2469"/>
      <c r="L33" s="2468"/>
      <c r="M33" s="2468"/>
    </row>
    <row r="34" spans="1:18" ht="18" customHeight="1">
      <c r="A34" s="1000" t="s">
        <v>676</v>
      </c>
      <c r="B34" s="147" t="s">
        <v>726</v>
      </c>
      <c r="C34" s="22">
        <f ca="1">IF(项目基本情况!B11="自然人","——",ROUND(F34*F35,0))</f>
        <v>0</v>
      </c>
      <c r="D34" s="316" t="s">
        <v>727</v>
      </c>
      <c r="E34" s="294" t="s">
        <v>728</v>
      </c>
      <c r="F34" s="317">
        <f>'数据-取费表'!B52</f>
        <v>0</v>
      </c>
      <c r="G34" s="1286"/>
      <c r="H34" s="2465"/>
      <c r="I34" s="1299"/>
      <c r="J34" s="1300"/>
      <c r="K34" s="2470"/>
      <c r="L34" s="2471"/>
      <c r="M34" s="2471"/>
    </row>
    <row r="35" spans="1:18" ht="18" customHeight="1">
      <c r="A35" s="1034"/>
      <c r="B35" s="1032"/>
      <c r="C35" s="26"/>
      <c r="D35" s="319"/>
      <c r="E35" s="294" t="s">
        <v>732</v>
      </c>
      <c r="F35" s="295">
        <f ca="1">INDIRECT("'数据-取费表'!r"&amp;$G$1)</f>
        <v>0</v>
      </c>
      <c r="G35" s="1286"/>
      <c r="H35" s="2465"/>
      <c r="I35" s="1299"/>
      <c r="J35" s="1300"/>
      <c r="K35" s="2469"/>
      <c r="L35" s="2468"/>
      <c r="M35" s="2468"/>
    </row>
    <row r="36" spans="1:18" ht="18" customHeight="1">
      <c r="A36" s="1033" t="s">
        <v>402</v>
      </c>
      <c r="B36" s="294" t="s">
        <v>734</v>
      </c>
      <c r="C36" s="21">
        <f ca="1">ROUND(C29*F36,0)</f>
        <v>21032</v>
      </c>
      <c r="D36" s="1250" t="s">
        <v>767</v>
      </c>
      <c r="E36" s="294" t="s">
        <v>708</v>
      </c>
      <c r="F36" s="320">
        <f ca="1">INDIRECT("'数据-取费表'!Ak"&amp;$G$1)</f>
        <v>2E-3</v>
      </c>
      <c r="G36" s="1286"/>
      <c r="H36" s="2468"/>
      <c r="I36" s="1299"/>
      <c r="J36" s="1300"/>
      <c r="K36" s="2325"/>
      <c r="L36" s="2468"/>
      <c r="M36" s="2468"/>
    </row>
    <row r="37" spans="1:18" ht="18" customHeight="1">
      <c r="A37" s="922" t="s">
        <v>437</v>
      </c>
      <c r="B37" s="294" t="s">
        <v>738</v>
      </c>
      <c r="C37" s="21">
        <f ca="1">ROUND(C13*F37,0)</f>
        <v>8098</v>
      </c>
      <c r="D37" s="1250" t="s">
        <v>739</v>
      </c>
      <c r="E37" s="294" t="s">
        <v>708</v>
      </c>
      <c r="F37" s="321">
        <f ca="1">INDIRECT("'数据-取费表'!Al"&amp;$G$1)</f>
        <v>1E-3</v>
      </c>
      <c r="G37" s="1286"/>
      <c r="H37" s="2468"/>
      <c r="I37" s="1299"/>
      <c r="J37" s="1300"/>
      <c r="K37" s="2325"/>
      <c r="L37" s="2468"/>
      <c r="M37" s="2468"/>
    </row>
    <row r="38" spans="1:18" ht="18" customHeight="1" thickBot="1">
      <c r="A38" s="1020" t="s">
        <v>679</v>
      </c>
      <c r="B38" s="1021" t="s">
        <v>724</v>
      </c>
      <c r="C38" s="1022">
        <f ca="1">ROUND(C5*F38,0)</f>
        <v>24333</v>
      </c>
      <c r="D38" s="1023" t="s">
        <v>744</v>
      </c>
      <c r="E38" s="1021" t="s">
        <v>708</v>
      </c>
      <c r="F38" s="1017">
        <f ca="1">INDIRECT("'数据-取费表'!Am"&amp;$G$1)</f>
        <v>0.01</v>
      </c>
      <c r="G38" s="1286"/>
      <c r="H38" s="2468"/>
      <c r="I38" s="1299"/>
      <c r="J38" s="1300"/>
      <c r="K38" s="2466"/>
      <c r="L38" s="2468"/>
      <c r="M38" s="2468"/>
    </row>
    <row r="39" spans="1:18" ht="24.6" customHeight="1" thickTop="1">
      <c r="A39" s="1010" t="s">
        <v>394</v>
      </c>
      <c r="B39" s="1025" t="s">
        <v>748</v>
      </c>
      <c r="C39" s="302">
        <f ca="1">C5-C30</f>
        <v>1972462</v>
      </c>
      <c r="D39" s="1026" t="s">
        <v>749</v>
      </c>
      <c r="E39" s="1027"/>
      <c r="F39" s="1028"/>
      <c r="G39" s="1286"/>
      <c r="H39" s="2468"/>
      <c r="I39" s="1299"/>
      <c r="J39" s="1300"/>
      <c r="K39" s="2466"/>
      <c r="L39" s="2468"/>
      <c r="M39" s="2468"/>
    </row>
    <row r="40" spans="1:18" ht="18" customHeight="1">
      <c r="A40" s="291" t="s">
        <v>395</v>
      </c>
      <c r="B40" s="292" t="s">
        <v>770</v>
      </c>
      <c r="C40" s="293">
        <f ca="1">ROUND(C39*(1-((1+F42)/(1+F40))^F41)/(F40-F42),0)</f>
        <v>31278473</v>
      </c>
      <c r="D40" s="316" t="s">
        <v>754</v>
      </c>
      <c r="E40" s="294" t="s">
        <v>755</v>
      </c>
      <c r="F40" s="304">
        <f ca="1">INDIRECT("'数据-取费表'!I"&amp;$G$1)</f>
        <v>5.5E-2</v>
      </c>
      <c r="G40" s="1286"/>
      <c r="H40" s="1360"/>
      <c r="I40" s="1299"/>
      <c r="J40" s="1300"/>
      <c r="K40" s="2466"/>
      <c r="L40" s="1360"/>
      <c r="M40" s="1360"/>
    </row>
    <row r="41" spans="1:18" ht="18" customHeight="1">
      <c r="A41" s="296"/>
      <c r="B41" s="297"/>
      <c r="C41" s="298"/>
      <c r="D41" s="323" t="s">
        <v>771</v>
      </c>
      <c r="E41" s="294" t="s">
        <v>759</v>
      </c>
      <c r="F41" s="324">
        <f ca="1">IF(INDIRECT("'数据-取费表'!af"&amp;$G$1)=0,INDIRECT("'数据-取费表'!ae"&amp;$G$1),INDIRECT("'数据-取费表'!af"&amp;$G$1))</f>
        <v>24</v>
      </c>
      <c r="G41" s="1286"/>
      <c r="H41" s="121"/>
      <c r="I41" s="1299"/>
      <c r="J41" s="1300"/>
      <c r="K41" s="2325"/>
      <c r="L41" s="121"/>
      <c r="M41" s="121"/>
    </row>
    <row r="42" spans="1:18" ht="18" customHeight="1">
      <c r="A42" s="300"/>
      <c r="B42" s="301"/>
      <c r="C42" s="302"/>
      <c r="D42" s="319"/>
      <c r="E42" s="294" t="s">
        <v>762</v>
      </c>
      <c r="F42" s="304">
        <f ca="1">INDIRECT("'数据-取费表'!v"&amp;$G$1)</f>
        <v>0.02</v>
      </c>
      <c r="G42" s="1286"/>
      <c r="H42" s="121"/>
      <c r="I42" s="1299"/>
      <c r="J42" s="1300"/>
      <c r="K42" s="2325"/>
      <c r="L42" s="121"/>
      <c r="M42" s="121"/>
    </row>
    <row r="43" spans="1:18" ht="18" customHeight="1" thickBot="1">
      <c r="A43" s="325" t="s">
        <v>396</v>
      </c>
      <c r="B43" s="326" t="s">
        <v>772</v>
      </c>
      <c r="C43" s="327">
        <f ca="1">ROUND(C40/F43,0)</f>
        <v>19449</v>
      </c>
      <c r="D43" s="328" t="s">
        <v>773</v>
      </c>
      <c r="E43" s="329" t="s">
        <v>774</v>
      </c>
      <c r="F43" s="330">
        <f ca="1">INDIRECT("'数据-取费表'!k"&amp;$G$1)</f>
        <v>1608.26</v>
      </c>
      <c r="G43" s="1286"/>
      <c r="H43" s="121"/>
      <c r="I43" s="121"/>
      <c r="J43" s="121"/>
      <c r="K43" s="2325"/>
      <c r="L43" s="121"/>
      <c r="M43" s="121"/>
    </row>
    <row r="44" spans="1:18" s="1286" customFormat="1" ht="18" customHeight="1">
      <c r="A44" s="1301"/>
      <c r="B44" s="1301"/>
      <c r="C44" s="1302"/>
      <c r="D44" s="1301"/>
      <c r="E44" s="1301"/>
      <c r="F44" s="1301"/>
      <c r="K44" s="1303"/>
    </row>
    <row r="45" spans="1:18" s="1286" customFormat="1" ht="18" customHeight="1" thickBot="1">
      <c r="A45" s="3123" t="s">
        <v>3335</v>
      </c>
      <c r="B45" s="1301"/>
      <c r="C45" s="1370">
        <f ca="1">ROUND((C68-C40)/10000,4)</f>
        <v>-3166.1581999999999</v>
      </c>
      <c r="D45" s="3124" t="s">
        <v>3336</v>
      </c>
      <c r="E45" s="1301"/>
      <c r="F45" s="1301"/>
      <c r="O45" s="1304" t="s">
        <v>804</v>
      </c>
      <c r="P45" s="1360"/>
      <c r="Q45" s="1360"/>
      <c r="R45" s="1360"/>
    </row>
    <row r="46" spans="1:18" s="1286" customFormat="1" ht="13.5" thickBot="1">
      <c r="A46" s="1305" t="s">
        <v>805</v>
      </c>
      <c r="C46" s="1306">
        <f ca="1">ROUND(C45,0)</f>
        <v>-3166</v>
      </c>
      <c r="D46" s="1307" t="str">
        <f>C2</f>
        <v>万元</v>
      </c>
      <c r="I46" s="1308" t="s">
        <v>806</v>
      </c>
      <c r="J46" s="1309"/>
      <c r="K46" s="1310"/>
      <c r="L46" s="1311">
        <f ca="1">IF(M47="住宅",0,IF(L48&gt;J51,L60,J60))</f>
        <v>741511</v>
      </c>
      <c r="O46" s="1312" t="s">
        <v>807</v>
      </c>
      <c r="P46" s="1313" t="s">
        <v>808</v>
      </c>
      <c r="Q46" s="1314" t="s">
        <v>809</v>
      </c>
      <c r="R46" s="1314" t="s">
        <v>810</v>
      </c>
    </row>
    <row r="47" spans="1:18" s="1286" customFormat="1" ht="13.5" thickBot="1">
      <c r="A47" s="886" t="s">
        <v>683</v>
      </c>
      <c r="B47" s="918" t="s">
        <v>684</v>
      </c>
      <c r="C47" s="918" t="s">
        <v>685</v>
      </c>
      <c r="D47" s="918" t="s">
        <v>686</v>
      </c>
      <c r="E47" s="989" t="s">
        <v>687</v>
      </c>
      <c r="F47" s="990"/>
      <c r="G47" s="681"/>
      <c r="I47" s="1315" t="s">
        <v>811</v>
      </c>
      <c r="J47" s="1316" t="s">
        <v>3535</v>
      </c>
      <c r="K47" s="1317" t="s">
        <v>812</v>
      </c>
      <c r="L47" s="1318">
        <f ca="1">INDIRECT("'数据-取费表'!d"&amp;$G$1)</f>
        <v>40</v>
      </c>
      <c r="M47" s="1282" t="str">
        <f>IF(ISNUMBER(FIND("住宅",C1)),"住宅","非住宅")</f>
        <v>非住宅</v>
      </c>
      <c r="O47" s="1319" t="s">
        <v>403</v>
      </c>
      <c r="P47" s="1320" t="s">
        <v>813</v>
      </c>
      <c r="Q47" s="1321">
        <f ca="1">C40+J29</f>
        <v>31278473</v>
      </c>
      <c r="R47" s="1321" t="s">
        <v>814</v>
      </c>
    </row>
    <row r="48" spans="1:18" s="1286" customFormat="1" ht="28.5" thickBot="1">
      <c r="A48" s="1041" t="s">
        <v>438</v>
      </c>
      <c r="B48" s="292" t="s">
        <v>688</v>
      </c>
      <c r="C48" s="1262">
        <f ca="1">C49+C53+C55</f>
        <v>0</v>
      </c>
      <c r="D48" s="1043"/>
      <c r="E48" s="1044"/>
      <c r="F48" s="902"/>
      <c r="G48" s="681"/>
      <c r="H48" s="682"/>
      <c r="I48" s="1322" t="s">
        <v>815</v>
      </c>
      <c r="J48" s="1323" t="s">
        <v>3536</v>
      </c>
      <c r="K48" s="1324" t="s">
        <v>816</v>
      </c>
      <c r="L48" s="1325">
        <f ca="1">INDIRECT("'数据-取费表'!f"&amp;$G$1)</f>
        <v>24</v>
      </c>
      <c r="O48" s="1319" t="s">
        <v>404</v>
      </c>
      <c r="P48" s="1320" t="s">
        <v>817</v>
      </c>
      <c r="Q48" s="1321">
        <f ca="1">J60</f>
        <v>741511</v>
      </c>
      <c r="R48" s="1321" t="s">
        <v>818</v>
      </c>
    </row>
    <row r="49" spans="1:18" s="1286" customFormat="1" ht="13.5" thickBot="1">
      <c r="A49" s="915" t="s">
        <v>439</v>
      </c>
      <c r="B49" s="1273" t="s">
        <v>775</v>
      </c>
      <c r="C49" s="1045">
        <f ca="1">ROUND(F49*F51*F50*(1-F52),0)</f>
        <v>0</v>
      </c>
      <c r="D49" s="986" t="s">
        <v>691</v>
      </c>
      <c r="E49" s="1274" t="s">
        <v>776</v>
      </c>
      <c r="F49" s="991"/>
      <c r="H49" s="682"/>
      <c r="I49" s="1322" t="s">
        <v>819</v>
      </c>
      <c r="J49" s="1326">
        <v>2011</v>
      </c>
      <c r="K49" s="1324" t="s">
        <v>820</v>
      </c>
      <c r="L49" s="1327"/>
      <c r="O49" s="1328" t="s">
        <v>405</v>
      </c>
      <c r="P49" s="1320" t="s">
        <v>821</v>
      </c>
      <c r="Q49" s="1321">
        <f ca="1">C29</f>
        <v>10516243</v>
      </c>
      <c r="R49" s="1321" t="s">
        <v>814</v>
      </c>
    </row>
    <row r="50" spans="1:18" s="1286" customFormat="1" ht="13.5" thickBot="1">
      <c r="A50" s="916"/>
      <c r="B50" s="919"/>
      <c r="C50" s="920"/>
      <c r="D50" s="893"/>
      <c r="E50" s="987" t="s">
        <v>693</v>
      </c>
      <c r="F50" s="988">
        <f ca="1">F7</f>
        <v>1608.26</v>
      </c>
      <c r="H50" s="682"/>
      <c r="I50" s="1322" t="s">
        <v>822</v>
      </c>
      <c r="J50" s="1329">
        <f>SUMPRODUCT((I63:I65=J47)*(J62:L62=J48)*(J63:L65))</f>
        <v>60</v>
      </c>
      <c r="K50" s="1324" t="s">
        <v>823</v>
      </c>
      <c r="L50" s="1327"/>
      <c r="M50" s="1330"/>
      <c r="O50" s="1328" t="s">
        <v>406</v>
      </c>
      <c r="P50" s="1320" t="s">
        <v>824</v>
      </c>
      <c r="Q50" s="1331">
        <f ca="1">J58</f>
        <v>0.4</v>
      </c>
      <c r="R50" s="1321"/>
    </row>
    <row r="51" spans="1:18" s="1286" customFormat="1" ht="13.5" thickBot="1">
      <c r="A51" s="917"/>
      <c r="B51" s="919"/>
      <c r="C51" s="920"/>
      <c r="D51" s="893"/>
      <c r="E51" s="921" t="s">
        <v>694</v>
      </c>
      <c r="F51" s="295">
        <f ca="1">F8</f>
        <v>365</v>
      </c>
      <c r="I51" s="1332" t="s">
        <v>825</v>
      </c>
      <c r="J51" s="1325">
        <f>IF(J49="",J50,J49+J50-YEAR('数据-取费表'!B2))</f>
        <v>46</v>
      </c>
      <c r="K51" s="1333" t="s">
        <v>826</v>
      </c>
      <c r="L51" s="1334">
        <f ca="1">ROUND(-PV(INDIRECT("'数据-取费表'!h"&amp;$G$1),J51,(C39-C13*C76),0),0)</f>
        <v>25132874</v>
      </c>
      <c r="M51" s="1335"/>
      <c r="O51" s="1328" t="s">
        <v>407</v>
      </c>
      <c r="P51" s="1320" t="s">
        <v>827</v>
      </c>
      <c r="Q51" s="1331">
        <f>J52</f>
        <v>7.4999999999999997E-2</v>
      </c>
      <c r="R51" s="1321"/>
    </row>
    <row r="52" spans="1:18" s="1286" customFormat="1" ht="13.5" thickBot="1">
      <c r="A52" s="917"/>
      <c r="B52" s="919"/>
      <c r="C52" s="920"/>
      <c r="D52" s="893"/>
      <c r="E52" s="921" t="s">
        <v>695</v>
      </c>
      <c r="F52" s="985"/>
      <c r="I52" s="1336" t="s">
        <v>828</v>
      </c>
      <c r="J52" s="1337">
        <v>7.4999999999999997E-2</v>
      </c>
      <c r="K52" s="1336" t="s">
        <v>829</v>
      </c>
      <c r="L52" s="1337"/>
      <c r="O52" s="1328" t="s">
        <v>408</v>
      </c>
      <c r="P52" s="1320" t="s">
        <v>830</v>
      </c>
      <c r="Q52" s="1321">
        <f ca="1">J53</f>
        <v>24</v>
      </c>
      <c r="R52" s="1321" t="s">
        <v>831</v>
      </c>
    </row>
    <row r="53" spans="1:18" s="1286" customFormat="1" ht="30.75" customHeight="1" thickBot="1">
      <c r="A53" s="1042" t="s">
        <v>440</v>
      </c>
      <c r="B53" s="315" t="s">
        <v>696</v>
      </c>
      <c r="C53" s="308">
        <f ca="1">ROUND(IF(F53="押一",C49/12*F11,IF(F53="押二",C49/12*2*F11,IF(F53="押三",C49/12*3*F11,C54*F11))),0)</f>
        <v>0</v>
      </c>
      <c r="D53" s="150" t="s">
        <v>2112</v>
      </c>
      <c r="E53" s="305" t="s">
        <v>697</v>
      </c>
      <c r="F53" s="1047"/>
      <c r="I53" s="1338" t="s">
        <v>832</v>
      </c>
      <c r="J53" s="2000">
        <f ca="1">IF(M47="住宅",IF(D1="——",MAX(J51,L48),MAX(J51,L48-'数据-取费表'!B24)),IF(D1="——",MIN(J51,L48),MIN(J51,L48-'数据-取费表'!B24)))</f>
        <v>24</v>
      </c>
      <c r="K53" s="3442" t="s">
        <v>833</v>
      </c>
      <c r="L53" s="3443"/>
      <c r="O53" s="1319" t="s">
        <v>409</v>
      </c>
      <c r="P53" s="1320" t="s">
        <v>834</v>
      </c>
      <c r="Q53" s="1321">
        <f ca="1">Q47+Q48</f>
        <v>32019984</v>
      </c>
      <c r="R53" s="1321" t="s">
        <v>410</v>
      </c>
    </row>
    <row r="54" spans="1:18" s="1286" customFormat="1" ht="13.5" thickBot="1">
      <c r="A54" s="915"/>
      <c r="B54" s="1371" t="s">
        <v>887</v>
      </c>
      <c r="C54" s="899"/>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835</v>
      </c>
      <c r="P54" s="1283"/>
      <c r="Q54" s="1283"/>
      <c r="R54" s="1283"/>
    </row>
    <row r="55" spans="1:18" s="1286" customFormat="1" ht="13.5" thickBot="1">
      <c r="A55" s="1014" t="s">
        <v>437</v>
      </c>
      <c r="B55" s="1271" t="s">
        <v>699</v>
      </c>
      <c r="C55" s="1015"/>
      <c r="D55" s="150"/>
      <c r="E55" s="1276"/>
      <c r="F55" s="1339"/>
      <c r="I55" s="1342" t="s">
        <v>836</v>
      </c>
      <c r="J55" s="1343">
        <f ca="1">ROUND(IF(J47="钢混",J57/J50,1-(1-2%)*(J50-J57)/J50),3)</f>
        <v>0.36699999999999999</v>
      </c>
      <c r="K55" s="1344" t="s">
        <v>837</v>
      </c>
      <c r="L55" s="1345"/>
      <c r="O55" s="1312" t="s">
        <v>807</v>
      </c>
      <c r="P55" s="1313" t="s">
        <v>808</v>
      </c>
      <c r="Q55" s="1314" t="s">
        <v>809</v>
      </c>
      <c r="R55" s="1314" t="s">
        <v>810</v>
      </c>
    </row>
    <row r="56" spans="1:18" s="1286" customFormat="1" ht="36" customHeight="1" thickTop="1" thickBot="1">
      <c r="A56" s="897">
        <v>2</v>
      </c>
      <c r="B56" s="898" t="s">
        <v>700</v>
      </c>
      <c r="C56" s="224">
        <f ca="1">C13</f>
        <v>8097507</v>
      </c>
      <c r="D56" s="1346"/>
      <c r="E56" s="1347"/>
      <c r="F56" s="1339"/>
      <c r="I56" s="1348" t="s">
        <v>838</v>
      </c>
      <c r="J56" s="1349" t="s">
        <v>3581</v>
      </c>
      <c r="K56" s="1322" t="s">
        <v>839</v>
      </c>
      <c r="L56" s="1325" t="str">
        <f ca="1">IF(L48&lt;J51,"——",L48-J51)</f>
        <v>——</v>
      </c>
      <c r="O56" s="1319" t="s">
        <v>403</v>
      </c>
      <c r="P56" s="1320" t="s">
        <v>813</v>
      </c>
      <c r="Q56" s="1321">
        <f ca="1">C40+J29</f>
        <v>31278473</v>
      </c>
      <c r="R56" s="1321" t="s">
        <v>814</v>
      </c>
    </row>
    <row r="57" spans="1:18" s="1286" customFormat="1" ht="24.75" thickBot="1">
      <c r="A57" s="1350"/>
      <c r="B57" s="890" t="s">
        <v>763</v>
      </c>
      <c r="C57" s="230">
        <f ca="1">C29</f>
        <v>10516243</v>
      </c>
      <c r="D57" s="1351"/>
      <c r="E57" s="1352"/>
      <c r="F57" s="1353"/>
      <c r="I57" s="1354" t="s">
        <v>840</v>
      </c>
      <c r="J57" s="1355">
        <f ca="1">IF(OR(M47="住宅",J51&lt;L48,J56="是"),"——",J51-L48)</f>
        <v>22</v>
      </c>
      <c r="K57" s="1322" t="s">
        <v>888</v>
      </c>
      <c r="L57" s="1325" t="str">
        <f ca="1">IF(L48&lt;J51,"——",IF(L55="比较法",L49,IF(L55="基准地价",L50,L51)))</f>
        <v>——</v>
      </c>
      <c r="O57" s="1319" t="s">
        <v>404</v>
      </c>
      <c r="P57" s="1320" t="s">
        <v>842</v>
      </c>
      <c r="Q57" s="1321">
        <f ca="1">L60</f>
        <v>0</v>
      </c>
      <c r="R57" s="1321" t="s">
        <v>843</v>
      </c>
    </row>
    <row r="58" spans="1:18" s="1286" customFormat="1" ht="24.75" thickBot="1">
      <c r="A58" s="307" t="s">
        <v>393</v>
      </c>
      <c r="B58" s="898" t="s">
        <v>710</v>
      </c>
      <c r="C58" s="308">
        <f ca="1">ROUND(C59+C64+C65+C66,0)</f>
        <v>29130</v>
      </c>
      <c r="D58" s="900" t="s">
        <v>711</v>
      </c>
      <c r="E58" s="901"/>
      <c r="F58" s="902"/>
      <c r="I58" s="1354" t="s">
        <v>844</v>
      </c>
      <c r="J58" s="1356">
        <f ca="1">IF(J55&lt;0.4,0.4,J55)</f>
        <v>0.4</v>
      </c>
      <c r="K58" s="1333" t="s">
        <v>891</v>
      </c>
      <c r="L58" s="1325" t="e">
        <f ca="1">ROUND(POWER(1+L52,L47-L48)*(POWER(1+L52,L48)-1)/(POWER(1+L52,L47)-1),4)</f>
        <v>#DIV/0!</v>
      </c>
      <c r="O58" s="1328" t="s">
        <v>405</v>
      </c>
      <c r="P58" s="1320" t="s">
        <v>846</v>
      </c>
      <c r="Q58" s="1321">
        <f>IF(L55="比较法",L49,IF(L55="基准地价",L50,0))</f>
        <v>0</v>
      </c>
      <c r="R58" s="1321" t="s">
        <v>814</v>
      </c>
    </row>
    <row r="59" spans="1:18" s="1286" customFormat="1" ht="24.75" thickBot="1">
      <c r="A59" s="922" t="s">
        <v>398</v>
      </c>
      <c r="B59" s="890" t="s">
        <v>715</v>
      </c>
      <c r="C59" s="2134">
        <f ca="1">ROUND(IF(AND(项目基本情况!B11="自然人",项目基本情况!B10="北京市"),C49*F59/(1+'数据-取费表'!C42),C60+C61+C62),0)</f>
        <v>0</v>
      </c>
      <c r="D59" s="903" t="s">
        <v>716</v>
      </c>
      <c r="E59" s="904" t="s">
        <v>717</v>
      </c>
      <c r="F59" s="2133" t="str">
        <f>IF(项目基本情况!B11="企业","——",IF('数据-取费表'!B10="住宅",IF(F49*F50*F51/12/(1+'数据-取费表'!F30)&gt;100000,4%,2.5%),IF(F49*F50*F51/12/(1+'数据-取费表'!F30)&gt;100000,12%,7%)))</f>
        <v>——</v>
      </c>
      <c r="I59" s="1354" t="s">
        <v>847</v>
      </c>
      <c r="J59" s="1355">
        <f ca="1">IF(OR(M47="住宅",J51&lt;L48,J56="是"),"——",ROUND(C29*J58,0))</f>
        <v>4206497</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848</v>
      </c>
      <c r="Q59" s="1331">
        <f>L52</f>
        <v>0</v>
      </c>
      <c r="R59" s="1321"/>
    </row>
    <row r="60" spans="1:18" s="1286" customFormat="1" ht="16.5" thickBot="1">
      <c r="A60" s="922" t="s">
        <v>397</v>
      </c>
      <c r="B60" s="890" t="s">
        <v>719</v>
      </c>
      <c r="C60" s="21">
        <f ca="1">IF(项目基本情况!B11="自然人","——",ROUND(C48*F60/(1+'数据-取费表'!C42),0))</f>
        <v>0</v>
      </c>
      <c r="D60" s="904" t="s">
        <v>720</v>
      </c>
      <c r="E60" s="890" t="s">
        <v>708</v>
      </c>
      <c r="F60" s="322">
        <f t="shared" ref="F60:F66" si="0">F32</f>
        <v>5.6000000000000001E-2</v>
      </c>
      <c r="I60" s="1357" t="s">
        <v>849</v>
      </c>
      <c r="J60" s="1358">
        <f ca="1">IF(OR(M47="住宅",J51&lt;L48,J56="是"),"0",ROUND(J59/(1+J52)^J53,0))</f>
        <v>741511</v>
      </c>
      <c r="K60" s="1359" t="s">
        <v>850</v>
      </c>
      <c r="L60" s="1358">
        <f ca="1">IF(OR(M47="住宅",L48&lt;J51),0,ROUND(L57*(L58/L59-1),0))</f>
        <v>0</v>
      </c>
      <c r="O60" s="1328" t="s">
        <v>407</v>
      </c>
      <c r="P60" s="1320" t="s">
        <v>851</v>
      </c>
      <c r="Q60" s="1321" t="e">
        <f ca="1">L58</f>
        <v>#DIV/0!</v>
      </c>
      <c r="R60" s="1321" t="s">
        <v>852</v>
      </c>
    </row>
    <row r="61" spans="1:18" s="1286" customFormat="1" ht="13.5" thickBot="1">
      <c r="A61" s="922" t="s">
        <v>777</v>
      </c>
      <c r="B61" s="890" t="s">
        <v>723</v>
      </c>
      <c r="C61" s="21">
        <f ca="1">IF(项目基本情况!B11="自然人","——",IF(D61="按租金收入计税",ROUND(C49*F61/(1+'数据-取费表'!C42),0),IF(D61="按房产原值计税",ROUND(C57*F61*0.7,0),INDIRECT("'数据-取费表'!Aj"&amp;$G$1))))</f>
        <v>0</v>
      </c>
      <c r="D61" s="1272" t="s">
        <v>3319</v>
      </c>
      <c r="E61" s="890" t="s">
        <v>708</v>
      </c>
      <c r="F61" s="314">
        <f t="shared" si="0"/>
        <v>0.12</v>
      </c>
      <c r="I61" s="1360"/>
      <c r="J61" s="1360"/>
      <c r="K61" s="1360"/>
      <c r="L61" s="1360"/>
      <c r="O61" s="1328" t="s">
        <v>408</v>
      </c>
      <c r="P61" s="1320" t="str">
        <f>K59</f>
        <v>建筑物剩余耐用年限下的土地年期修正系数Kn</v>
      </c>
      <c r="Q61" s="1321" t="e">
        <f ca="1">L59</f>
        <v>#DIV/0!</v>
      </c>
      <c r="R61" s="1321" t="s">
        <v>853</v>
      </c>
    </row>
    <row r="62" spans="1:18" s="1286" customFormat="1" ht="13.5" thickBot="1">
      <c r="A62" s="922" t="s">
        <v>780</v>
      </c>
      <c r="B62" s="889" t="s">
        <v>726</v>
      </c>
      <c r="C62" s="22">
        <f ca="1">IF(项目基本情况!B11="自然人","——",ROUND(F62*F63,0))</f>
        <v>0</v>
      </c>
      <c r="D62" s="905" t="s">
        <v>727</v>
      </c>
      <c r="E62" s="890" t="s">
        <v>728</v>
      </c>
      <c r="F62" s="317">
        <f t="shared" si="0"/>
        <v>0</v>
      </c>
      <c r="I62" s="1361" t="s">
        <v>854</v>
      </c>
      <c r="J62" s="610" t="s">
        <v>855</v>
      </c>
      <c r="K62" s="610" t="s">
        <v>856</v>
      </c>
      <c r="L62" s="610" t="s">
        <v>857</v>
      </c>
      <c r="M62" s="1362" t="s">
        <v>858</v>
      </c>
      <c r="O62" s="1319" t="s">
        <v>409</v>
      </c>
      <c r="P62" s="1320" t="s">
        <v>834</v>
      </c>
      <c r="Q62" s="1321">
        <f ca="1">Q56+Q57</f>
        <v>31278473</v>
      </c>
      <c r="R62" s="1321" t="s">
        <v>410</v>
      </c>
    </row>
    <row r="63" spans="1:18" s="1286" customFormat="1" ht="13.5" thickBot="1">
      <c r="A63" s="318"/>
      <c r="B63" s="896"/>
      <c r="C63" s="26"/>
      <c r="D63" s="906"/>
      <c r="E63" s="890" t="s">
        <v>732</v>
      </c>
      <c r="F63" s="295">
        <f t="shared" ca="1" si="0"/>
        <v>0</v>
      </c>
      <c r="I63" s="1361" t="s">
        <v>860</v>
      </c>
      <c r="J63" s="610">
        <v>70</v>
      </c>
      <c r="K63" s="610">
        <v>50</v>
      </c>
      <c r="L63" s="610">
        <v>80</v>
      </c>
      <c r="M63" s="1363">
        <v>0.02</v>
      </c>
      <c r="O63" s="1304" t="s">
        <v>861</v>
      </c>
      <c r="P63" s="1283"/>
      <c r="Q63" s="1283"/>
      <c r="R63" s="1283"/>
    </row>
    <row r="64" spans="1:18" s="1286" customFormat="1" ht="13.5" thickBot="1">
      <c r="A64" s="922" t="s">
        <v>402</v>
      </c>
      <c r="B64" s="890" t="s">
        <v>734</v>
      </c>
      <c r="C64" s="21">
        <f ca="1">ROUND(C57*F64,0)</f>
        <v>21032</v>
      </c>
      <c r="D64" s="904" t="s">
        <v>767</v>
      </c>
      <c r="E64" s="890" t="s">
        <v>708</v>
      </c>
      <c r="F64" s="320">
        <f t="shared" ca="1" si="0"/>
        <v>2E-3</v>
      </c>
      <c r="I64" s="1361" t="s">
        <v>862</v>
      </c>
      <c r="J64" s="610">
        <v>50</v>
      </c>
      <c r="K64" s="610">
        <v>35</v>
      </c>
      <c r="L64" s="610">
        <v>60</v>
      </c>
      <c r="M64" s="1362">
        <v>0</v>
      </c>
      <c r="O64" s="1312" t="s">
        <v>807</v>
      </c>
      <c r="P64" s="1313" t="s">
        <v>808</v>
      </c>
      <c r="Q64" s="1314" t="s">
        <v>809</v>
      </c>
      <c r="R64" s="1314" t="s">
        <v>810</v>
      </c>
    </row>
    <row r="65" spans="1:18" s="1286" customFormat="1" ht="13.5" thickBot="1">
      <c r="A65" s="922" t="s">
        <v>788</v>
      </c>
      <c r="B65" s="890" t="s">
        <v>738</v>
      </c>
      <c r="C65" s="21">
        <f ca="1">ROUND(C56*F65,0)</f>
        <v>8098</v>
      </c>
      <c r="D65" s="904" t="s">
        <v>739</v>
      </c>
      <c r="E65" s="890" t="s">
        <v>708</v>
      </c>
      <c r="F65" s="321">
        <f t="shared" ca="1" si="0"/>
        <v>1E-3</v>
      </c>
      <c r="I65" s="1361" t="s">
        <v>863</v>
      </c>
      <c r="J65" s="610">
        <v>40</v>
      </c>
      <c r="K65" s="610">
        <v>30</v>
      </c>
      <c r="L65" s="610">
        <v>50</v>
      </c>
      <c r="M65" s="1363">
        <v>0.02</v>
      </c>
      <c r="O65" s="1319" t="s">
        <v>403</v>
      </c>
      <c r="P65" s="1320" t="s">
        <v>813</v>
      </c>
      <c r="Q65" s="1321">
        <f ca="1">C40+J29</f>
        <v>31278473</v>
      </c>
      <c r="R65" s="1321" t="s">
        <v>814</v>
      </c>
    </row>
    <row r="66" spans="1:18" s="1286" customFormat="1" ht="16.5" thickBot="1">
      <c r="A66" s="922" t="s">
        <v>789</v>
      </c>
      <c r="B66" s="890" t="s">
        <v>724</v>
      </c>
      <c r="C66" s="21">
        <f ca="1">ROUND(C48*F66,0)</f>
        <v>0</v>
      </c>
      <c r="D66" s="904" t="s">
        <v>744</v>
      </c>
      <c r="E66" s="890" t="s">
        <v>708</v>
      </c>
      <c r="F66" s="304">
        <f t="shared" ca="1" si="0"/>
        <v>0.01</v>
      </c>
      <c r="O66" s="1319" t="s">
        <v>404</v>
      </c>
      <c r="P66" s="1320" t="s">
        <v>842</v>
      </c>
      <c r="Q66" s="1321">
        <f ca="1">L60</f>
        <v>0</v>
      </c>
      <c r="R66" s="1321" t="s">
        <v>865</v>
      </c>
    </row>
    <row r="67" spans="1:18" s="1286" customFormat="1" ht="16.5" thickBot="1">
      <c r="A67" s="897" t="s">
        <v>394</v>
      </c>
      <c r="B67" s="907" t="s">
        <v>748</v>
      </c>
      <c r="C67" s="308">
        <f ca="1">C48-C58</f>
        <v>-29130</v>
      </c>
      <c r="D67" s="903" t="s">
        <v>749</v>
      </c>
      <c r="E67" s="908"/>
      <c r="F67" s="909"/>
      <c r="O67" s="1328" t="s">
        <v>405</v>
      </c>
      <c r="P67" s="1320" t="s">
        <v>846</v>
      </c>
      <c r="Q67" s="1364">
        <f ca="1">L51</f>
        <v>25132874</v>
      </c>
      <c r="R67" s="1321" t="s">
        <v>866</v>
      </c>
    </row>
    <row r="68" spans="1:18" s="1286" customFormat="1" ht="16.5" thickBot="1">
      <c r="A68" s="887" t="s">
        <v>395</v>
      </c>
      <c r="B68" s="888" t="s">
        <v>770</v>
      </c>
      <c r="C68" s="293">
        <f ca="1">ROUND(C67*(1-((1+F70)/(1+F68))^F69)/(F68-F70),0)</f>
        <v>-383109</v>
      </c>
      <c r="D68" s="905" t="s">
        <v>754</v>
      </c>
      <c r="E68" s="890" t="s">
        <v>755</v>
      </c>
      <c r="F68" s="304">
        <f ca="1">F40</f>
        <v>5.5E-2</v>
      </c>
      <c r="O68" s="1328" t="s">
        <v>406</v>
      </c>
      <c r="P68" s="1365" t="s">
        <v>867</v>
      </c>
      <c r="Q68" s="1321">
        <f ca="1">ROUND(Q69-Q70*Q71,0)</f>
        <v>1405637</v>
      </c>
      <c r="R68" s="1321" t="s">
        <v>414</v>
      </c>
    </row>
    <row r="69" spans="1:18" s="1286" customFormat="1" ht="13.5" thickBot="1">
      <c r="A69" s="891"/>
      <c r="B69" s="892"/>
      <c r="C69" s="298"/>
      <c r="D69" s="910" t="s">
        <v>758</v>
      </c>
      <c r="E69" s="890" t="s">
        <v>759</v>
      </c>
      <c r="F69" s="324">
        <f ca="1">F41</f>
        <v>24</v>
      </c>
      <c r="O69" s="1328" t="s">
        <v>411</v>
      </c>
      <c r="P69" s="1365" t="s">
        <v>868</v>
      </c>
      <c r="Q69" s="1321">
        <f ca="1">C39</f>
        <v>1972462</v>
      </c>
      <c r="R69" s="1321" t="s">
        <v>814</v>
      </c>
    </row>
    <row r="70" spans="1:18" s="1286" customFormat="1" ht="13.5" thickBot="1">
      <c r="A70" s="894"/>
      <c r="B70" s="895"/>
      <c r="C70" s="302"/>
      <c r="D70" s="906"/>
      <c r="E70" s="890" t="s">
        <v>762</v>
      </c>
      <c r="F70" s="985"/>
      <c r="O70" s="1328" t="s">
        <v>412</v>
      </c>
      <c r="P70" s="1365" t="s">
        <v>869</v>
      </c>
      <c r="Q70" s="1321">
        <f ca="1">C13</f>
        <v>8097507</v>
      </c>
      <c r="R70" s="1321" t="s">
        <v>814</v>
      </c>
    </row>
    <row r="71" spans="1:18" s="1286" customFormat="1" ht="13.5" thickBot="1">
      <c r="A71" s="911" t="s">
        <v>396</v>
      </c>
      <c r="B71" s="912" t="s">
        <v>772</v>
      </c>
      <c r="C71" s="327">
        <f ca="1">ROUND(C68/F71,0)</f>
        <v>-238</v>
      </c>
      <c r="D71" s="913" t="s">
        <v>773</v>
      </c>
      <c r="E71" s="914" t="s">
        <v>774</v>
      </c>
      <c r="F71" s="330">
        <f ca="1">F43</f>
        <v>1608.26</v>
      </c>
      <c r="O71" s="1328" t="s">
        <v>413</v>
      </c>
      <c r="P71" s="1365" t="s">
        <v>870</v>
      </c>
      <c r="Q71" s="1331">
        <f ca="1">C76</f>
        <v>7.0000000000000007E-2</v>
      </c>
      <c r="R71" s="1321"/>
    </row>
    <row r="72" spans="1:18" s="1286" customFormat="1" ht="13.5" thickBot="1">
      <c r="B72" s="685"/>
      <c r="C72" s="685"/>
      <c r="O72" s="1328" t="s">
        <v>407</v>
      </c>
      <c r="P72" s="1320" t="s">
        <v>848</v>
      </c>
      <c r="Q72" s="1331">
        <f>L52</f>
        <v>0</v>
      </c>
      <c r="R72" s="1321"/>
    </row>
    <row r="73" spans="1:18" ht="16.5" thickBot="1">
      <c r="A73" s="1286"/>
      <c r="B73" s="685"/>
      <c r="C73" s="685"/>
      <c r="D73" s="1286"/>
      <c r="E73" s="1286"/>
      <c r="F73" s="1286"/>
      <c r="O73" s="1328" t="s">
        <v>408</v>
      </c>
      <c r="P73" s="1320" t="s">
        <v>851</v>
      </c>
      <c r="Q73" s="1321" t="e">
        <f ca="1">L58</f>
        <v>#DIV/0!</v>
      </c>
      <c r="R73" s="1321" t="s">
        <v>852</v>
      </c>
    </row>
    <row r="74" spans="1:18" ht="13.5" thickBot="1">
      <c r="A74" s="1286"/>
      <c r="B74" s="265" t="s">
        <v>871</v>
      </c>
      <c r="C74" s="1367"/>
      <c r="D74" s="1286"/>
      <c r="E74" s="1286"/>
      <c r="F74" s="1286"/>
      <c r="O74" s="1328" t="s">
        <v>415</v>
      </c>
      <c r="P74" s="1320" t="str">
        <f>K59</f>
        <v>建筑物剩余耐用年限下的土地年期修正系数Kn</v>
      </c>
      <c r="Q74" s="1321" t="e">
        <f ca="1">L59</f>
        <v>#DIV/0!</v>
      </c>
      <c r="R74" s="1321" t="s">
        <v>853</v>
      </c>
    </row>
    <row r="75" spans="1:18" ht="13.5" thickBot="1">
      <c r="A75" s="1286"/>
      <c r="B75" s="331" t="s">
        <v>791</v>
      </c>
      <c r="C75" s="332">
        <f ca="1">ROUND(C13*C76,0)</f>
        <v>566825</v>
      </c>
      <c r="D75" s="1286"/>
      <c r="E75" s="1286"/>
      <c r="F75" s="1286"/>
      <c r="K75" s="1303"/>
      <c r="L75" s="1286"/>
      <c r="O75" s="1319" t="s">
        <v>409</v>
      </c>
      <c r="P75" s="1320" t="s">
        <v>834</v>
      </c>
      <c r="Q75" s="1321">
        <f ca="1">Q65+Q66</f>
        <v>31278473</v>
      </c>
      <c r="R75" s="1321" t="s">
        <v>410</v>
      </c>
    </row>
    <row r="76" spans="1:18">
      <c r="B76" s="333" t="s">
        <v>792</v>
      </c>
      <c r="C76" s="334">
        <f ca="1">INDIRECT("'数据-取费表'!j"&amp;$G$1)</f>
        <v>7.0000000000000007E-2</v>
      </c>
      <c r="I76" s="1286"/>
      <c r="J76" s="1286"/>
      <c r="K76" s="1303"/>
      <c r="L76" s="1286"/>
    </row>
    <row r="77" spans="1:18">
      <c r="B77" s="335" t="s">
        <v>793</v>
      </c>
      <c r="C77" s="336"/>
      <c r="I77" s="1286"/>
      <c r="J77" s="1286"/>
      <c r="K77" s="1303"/>
      <c r="L77" s="1286"/>
    </row>
    <row r="78" spans="1:18">
      <c r="B78" s="262" t="s">
        <v>794</v>
      </c>
      <c r="C78" s="337"/>
    </row>
    <row r="79" spans="1:18">
      <c r="B79" s="331" t="s">
        <v>795</v>
      </c>
      <c r="C79" s="266">
        <f ca="1">1-C80</f>
        <v>0.71300000000000008</v>
      </c>
    </row>
    <row r="80" spans="1:18">
      <c r="B80" s="331" t="s">
        <v>796</v>
      </c>
      <c r="C80" s="266">
        <f ca="1">ROUND(C75/C39,3)</f>
        <v>0.28699999999999998</v>
      </c>
    </row>
    <row r="81" spans="2:3">
      <c r="B81" s="262" t="s">
        <v>797</v>
      </c>
      <c r="C81" s="230"/>
    </row>
    <row r="82" spans="2:3">
      <c r="B82" s="265" t="s">
        <v>798</v>
      </c>
      <c r="C82" s="267">
        <f ca="1">1-C83</f>
        <v>0.74099999999999999</v>
      </c>
    </row>
    <row r="83" spans="2:3">
      <c r="B83" s="265" t="s">
        <v>799</v>
      </c>
      <c r="C83" s="266">
        <f ca="1">ROUND(C13/C40,3)</f>
        <v>0.25900000000000001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D1" xr:uid="{4E1E2B30-AF79-47B3-8949-56C97CCA1DFE}">
      <formula1>"在建（套用方法）,土地（套用方法）,——"</formula1>
    </dataValidation>
    <dataValidation type="list" allowBlank="1" showInputMessage="1" showErrorMessage="1" sqref="F10 F53 M10" xr:uid="{2C5014F2-A2AC-4EFA-A413-2E0AD4D85C80}">
      <formula1>"押一,押二,押三,自定义"</formula1>
    </dataValidation>
    <dataValidation type="list" allowBlank="1" showInputMessage="1" showErrorMessage="1" sqref="K19" xr:uid="{607B82D0-4AFC-4027-9618-B8A466456F79}">
      <formula1>"按租金收入计税,按房产原值计税"</formula1>
    </dataValidation>
    <dataValidation type="list" allowBlank="1" showInputMessage="1" showErrorMessage="1" sqref="D33 D61" xr:uid="{885C2BD4-4EA6-4A2B-8B4B-99CF3B95F6CA}">
      <formula1>"按租金收入计税,按房产原值计税,按票据"</formula1>
    </dataValidation>
    <dataValidation type="list" allowBlank="1" showInputMessage="1" showErrorMessage="1" sqref="C1" xr:uid="{36CF0870-8146-4A00-999E-6C85205B691A}">
      <formula1>项目类型</formula1>
    </dataValidation>
    <dataValidation type="list" allowBlank="1" showInputMessage="1" showErrorMessage="1" sqref="J47" xr:uid="{ED8DBEF5-6AF0-4453-8019-29CFC7942E2B}">
      <formula1>"钢,钢混,砖混"</formula1>
    </dataValidation>
    <dataValidation type="list" allowBlank="1" showInputMessage="1" showErrorMessage="1" sqref="J48" xr:uid="{09E9CFC0-BAE8-4CE1-B64E-B527D8E5D411}">
      <formula1>"非生产用房,生产用房,受腐蚀的生产用房"</formula1>
    </dataValidation>
    <dataValidation type="list" allowBlank="1" showInputMessage="1" showErrorMessage="1" sqref="J56" xr:uid="{8F8307BA-D5C3-4968-A16B-AF972714D981}">
      <formula1>估价范围判定</formula1>
    </dataValidation>
    <dataValidation type="list" allowBlank="1" showInputMessage="1" showErrorMessage="1" sqref="L55" xr:uid="{E1E21395-FBBC-43D4-80E6-7E3B3A475AA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99768-1DAC-416F-BFD6-2BAE4E6B6AD3}">
  <sheetPr>
    <tabColor rgb="FFFF0000"/>
  </sheetPr>
  <dimension ref="A1:AJ512"/>
  <sheetViews>
    <sheetView view="pageBreakPreview" topLeftCell="A34" zoomScaleNormal="100" zoomScaleSheetLayoutView="100" zoomScalePageLayoutView="80" workbookViewId="0">
      <selection activeCell="J77" sqref="J77"/>
    </sheetView>
  </sheetViews>
  <sheetFormatPr defaultColWidth="12.625" defaultRowHeight="21.75" customHeight="1"/>
  <cols>
    <col min="1" max="2" width="12.625" style="1555"/>
    <col min="3" max="4" width="12.625" style="1555" customWidth="1"/>
    <col min="5" max="9" width="12.625" style="1555"/>
    <col min="10" max="11" width="12.625" style="684" customWidth="1"/>
    <col min="12" max="12" width="12.625" style="684"/>
    <col min="13" max="13" width="14.125" style="684" bestFit="1" customWidth="1"/>
    <col min="14" max="26" width="12.625" style="684"/>
    <col min="27" max="35" width="12.625" style="1617"/>
    <col min="36" max="16384" width="12.625" style="1555"/>
  </cols>
  <sheetData>
    <row r="1" spans="1:12" ht="21.75" customHeight="1" thickBot="1">
      <c r="A1" s="1515" t="s">
        <v>1258</v>
      </c>
      <c r="B1" s="646"/>
      <c r="C1" s="1614">
        <v>303</v>
      </c>
      <c r="D1" s="646"/>
      <c r="E1" s="646"/>
      <c r="F1" s="1615" t="s">
        <v>1259</v>
      </c>
      <c r="G1" s="1447" t="s">
        <v>3552</v>
      </c>
      <c r="H1" s="1615" t="str">
        <f>IF(G1="现房","——","估价对象范围")</f>
        <v>——</v>
      </c>
      <c r="I1" s="1616" t="s">
        <v>3553</v>
      </c>
    </row>
    <row r="2" spans="1:12" ht="21.75" customHeight="1" thickBot="1">
      <c r="A2" s="3379" t="str">
        <f>项目基本情况!S2</f>
        <v>北京市房地产</v>
      </c>
      <c r="B2" s="3380"/>
      <c r="C2" s="3380"/>
      <c r="D2" s="3380"/>
      <c r="E2" s="3380"/>
      <c r="F2" s="3380"/>
      <c r="G2" s="3380"/>
      <c r="H2" s="3380"/>
      <c r="I2" s="3381"/>
    </row>
    <row r="3" spans="1:12" ht="12.75">
      <c r="A3" s="3383" t="s">
        <v>1260</v>
      </c>
      <c r="B3" s="3384"/>
      <c r="C3" s="3384"/>
      <c r="D3" s="3384"/>
      <c r="E3" s="3384"/>
      <c r="F3" s="3384"/>
      <c r="G3" s="3384"/>
      <c r="H3" s="3384"/>
      <c r="I3" s="3384"/>
    </row>
    <row r="4" spans="1:12" ht="14.25">
      <c r="A4" s="1618" t="s">
        <v>1261</v>
      </c>
      <c r="B4" s="1619" t="s">
        <v>1262</v>
      </c>
      <c r="C4" s="1620" t="s">
        <v>3550</v>
      </c>
      <c r="D4" s="1620" t="s">
        <v>3545</v>
      </c>
      <c r="E4" s="3385" t="s">
        <v>1263</v>
      </c>
      <c r="F4" s="3386"/>
      <c r="G4" s="3386"/>
      <c r="H4" s="3386"/>
      <c r="I4" s="3387"/>
      <c r="K4" s="138" t="str">
        <f>IF(ISNUMBER(FIND("比较法",'结果表-303'!C4)),"比较法",IF(ISNUMBER(FIND("成本法",'结果表-303'!C4)),"成本法",IF(ISNUMBER(FIND("假设开发法",'结果表-303'!C4)),"假设开发法",IF(ISNUMBER(FIND("收益法",'结果表-303'!C4)),"收益法","基准地价系数修正法"))))</f>
        <v>成本法</v>
      </c>
      <c r="L4" s="138" t="str">
        <f>IF(ISNUMBER(FIND("比较法",'结果表-303'!D4)),"比较法",IF(ISNUMBER(FIND("成本法",'结果表-303'!D4)),"成本法",IF(ISNUMBER(FIND("假设开发法",'结果表-303'!D4)),"假设开发法",IF(ISNUMBER(FIND("收益法",'结果表-303'!D4)),"收益法","基准地价系数修正法"))))</f>
        <v>收益法</v>
      </c>
    </row>
    <row r="5" spans="1:12" ht="12.75">
      <c r="A5" s="3359" t="s">
        <v>1264</v>
      </c>
      <c r="B5" s="3346">
        <v>25</v>
      </c>
      <c r="C5" s="3362"/>
      <c r="D5" s="3382"/>
      <c r="E5" s="123" t="s">
        <v>1265</v>
      </c>
      <c r="F5" s="1621"/>
      <c r="G5" s="1621"/>
      <c r="H5" s="1621"/>
      <c r="I5" s="1275"/>
    </row>
    <row r="6" spans="1:12" ht="12.75">
      <c r="A6" s="3359"/>
      <c r="B6" s="3346"/>
      <c r="C6" s="3363"/>
      <c r="D6" s="3382"/>
      <c r="E6" s="123" t="s">
        <v>1266</v>
      </c>
      <c r="F6" s="1621"/>
      <c r="G6" s="1621"/>
      <c r="H6" s="1621"/>
      <c r="I6" s="1275"/>
    </row>
    <row r="7" spans="1:12" ht="12.75">
      <c r="A7" s="3359"/>
      <c r="B7" s="3346"/>
      <c r="C7" s="3364"/>
      <c r="D7" s="3382"/>
      <c r="E7" s="123" t="s">
        <v>1267</v>
      </c>
      <c r="F7" s="1621"/>
      <c r="G7" s="1621"/>
      <c r="H7" s="1621"/>
      <c r="I7" s="1275"/>
    </row>
    <row r="8" spans="1:12" ht="12.75">
      <c r="A8" s="3359" t="s">
        <v>1268</v>
      </c>
      <c r="B8" s="3346">
        <v>15</v>
      </c>
      <c r="C8" s="3362"/>
      <c r="D8" s="3382"/>
      <c r="E8" s="123" t="s">
        <v>1269</v>
      </c>
      <c r="F8" s="1621"/>
      <c r="G8" s="1621"/>
      <c r="H8" s="1621"/>
      <c r="I8" s="1275"/>
    </row>
    <row r="9" spans="1:12" ht="12.75">
      <c r="A9" s="3359"/>
      <c r="B9" s="3346"/>
      <c r="C9" s="3364"/>
      <c r="D9" s="3382"/>
      <c r="E9" s="123" t="s">
        <v>1270</v>
      </c>
      <c r="F9" s="1621"/>
      <c r="G9" s="1621"/>
      <c r="H9" s="1621"/>
      <c r="I9" s="1275"/>
    </row>
    <row r="10" spans="1:12" ht="12.75">
      <c r="A10" s="3359" t="s">
        <v>1271</v>
      </c>
      <c r="B10" s="3346">
        <v>15</v>
      </c>
      <c r="C10" s="3362"/>
      <c r="D10" s="3382"/>
      <c r="E10" s="123" t="s">
        <v>1272</v>
      </c>
      <c r="F10" s="1621"/>
      <c r="G10" s="1621"/>
      <c r="H10" s="1621"/>
      <c r="I10" s="1275"/>
    </row>
    <row r="11" spans="1:12" ht="12.75">
      <c r="A11" s="3359"/>
      <c r="B11" s="3346"/>
      <c r="C11" s="3364"/>
      <c r="D11" s="3382"/>
      <c r="E11" s="123" t="s">
        <v>1273</v>
      </c>
      <c r="F11" s="1621"/>
      <c r="G11" s="1621"/>
      <c r="H11" s="1621"/>
      <c r="I11" s="1275"/>
    </row>
    <row r="12" spans="1:12" ht="12.75">
      <c r="A12" s="3359" t="s">
        <v>1274</v>
      </c>
      <c r="B12" s="3346">
        <v>15</v>
      </c>
      <c r="C12" s="3362"/>
      <c r="D12" s="3382"/>
      <c r="E12" s="123" t="s">
        <v>1275</v>
      </c>
      <c r="F12" s="1621"/>
      <c r="G12" s="1621"/>
      <c r="H12" s="1621"/>
      <c r="I12" s="1275"/>
    </row>
    <row r="13" spans="1:12" ht="12.75">
      <c r="A13" s="3359"/>
      <c r="B13" s="3346"/>
      <c r="C13" s="3364"/>
      <c r="D13" s="3382"/>
      <c r="E13" s="123" t="s">
        <v>1276</v>
      </c>
      <c r="F13" s="1621"/>
      <c r="G13" s="1621"/>
      <c r="H13" s="1621"/>
      <c r="I13" s="1275"/>
    </row>
    <row r="14" spans="1:12" ht="12.75">
      <c r="A14" s="3359" t="s">
        <v>1277</v>
      </c>
      <c r="B14" s="3346">
        <v>30</v>
      </c>
      <c r="C14" s="3362">
        <v>5</v>
      </c>
      <c r="D14" s="3382">
        <v>5</v>
      </c>
      <c r="E14" s="123" t="s">
        <v>1278</v>
      </c>
      <c r="F14" s="1621"/>
      <c r="G14" s="1621"/>
      <c r="H14" s="1621"/>
      <c r="I14" s="1275"/>
    </row>
    <row r="15" spans="1:12" ht="12.75">
      <c r="A15" s="3359"/>
      <c r="B15" s="3346"/>
      <c r="C15" s="3363"/>
      <c r="D15" s="3382"/>
      <c r="E15" s="123" t="s">
        <v>1279</v>
      </c>
      <c r="F15" s="1621"/>
      <c r="G15" s="1621"/>
      <c r="H15" s="1621"/>
      <c r="I15" s="1275"/>
    </row>
    <row r="16" spans="1:12" ht="12.75">
      <c r="A16" s="3359"/>
      <c r="B16" s="3346"/>
      <c r="C16" s="3364"/>
      <c r="D16" s="3382"/>
      <c r="E16" s="123" t="s">
        <v>1280</v>
      </c>
      <c r="F16" s="1621"/>
      <c r="G16" s="1621"/>
      <c r="H16" s="1621"/>
      <c r="I16" s="1275"/>
    </row>
    <row r="17" spans="1:36" ht="15">
      <c r="A17" s="1622" t="s">
        <v>1281</v>
      </c>
      <c r="B17" s="54"/>
      <c r="C17" s="124">
        <f>SUM(C5:C16)</f>
        <v>5</v>
      </c>
      <c r="D17" s="124">
        <f>SUM(D5:D16)</f>
        <v>5</v>
      </c>
      <c r="E17" s="121"/>
      <c r="F17" s="121"/>
      <c r="G17" s="121"/>
      <c r="H17" s="121"/>
      <c r="I17" s="121"/>
      <c r="K17" s="294"/>
      <c r="L17" s="294" t="s">
        <v>1282</v>
      </c>
      <c r="M17" s="294" t="s">
        <v>1283</v>
      </c>
    </row>
    <row r="18" spans="1:36" ht="31.9" customHeight="1" thickBot="1">
      <c r="A18" s="1623" t="s">
        <v>1284</v>
      </c>
      <c r="B18" s="1536"/>
      <c r="C18" s="125">
        <f>ROUND(C17/SUM(C17:D17),2)</f>
        <v>0.5</v>
      </c>
      <c r="D18" s="125">
        <f>1-C18</f>
        <v>0.5</v>
      </c>
      <c r="E18" s="3369" t="s">
        <v>2124</v>
      </c>
      <c r="F18" s="3370"/>
      <c r="G18" s="3370"/>
      <c r="H18" s="3370"/>
      <c r="I18" s="3370"/>
      <c r="K18" s="294" t="s">
        <v>1285</v>
      </c>
      <c r="L18" s="294">
        <f>IF(C1="",'数据-汇总表'!E3,SUMIF(项目类型,C1,'数据-汇总表'!E17:E26)+SUMIF(项目类型,C1,'数据-汇总表'!I17:I26))</f>
        <v>1608.26</v>
      </c>
      <c r="M18" s="294">
        <f>IF(C1="",'数据-汇总表'!E3,SUMIF(项目类型,C1,'数据-汇总表'!E17:E26))</f>
        <v>1608.26</v>
      </c>
    </row>
    <row r="19" spans="1:36" ht="15">
      <c r="A19" s="1624" t="s">
        <v>1286</v>
      </c>
      <c r="B19" s="1625" t="s">
        <v>1287</v>
      </c>
      <c r="C19" s="126">
        <f ca="1">SUMIF(INDIRECT("'"&amp;C4&amp;"'"&amp;"!A:A"),'结果表-303'!B19,INDIRECT("'"&amp;C4&amp;"'"&amp;"!B:B"))</f>
        <v>3253.3409000000001</v>
      </c>
      <c r="D19" s="127">
        <f ca="1">SUMIF(INDIRECT("'"&amp;D4&amp;"'"&amp;"!A:A"),'结果表-303'!B19,INDIRECT("'"&amp;D4&amp;"'"&amp;"!B:B"))</f>
        <v>3201.9983999999999</v>
      </c>
      <c r="E19" s="1624" t="s">
        <v>1288</v>
      </c>
      <c r="F19" s="1625" t="s">
        <v>1287</v>
      </c>
      <c r="G19" s="128">
        <f ca="1">ROUND(C19*$C$18+D19*$D$18,0)</f>
        <v>3228</v>
      </c>
      <c r="H19" s="1626"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27"/>
      <c r="B20" s="43" t="s">
        <v>1291</v>
      </c>
      <c r="C20" s="129">
        <f ca="1">SUMIF(INDIRECT("'"&amp;C4&amp;"'"&amp;"!A:A"),'结果表-303'!B20,INDIRECT("'"&amp;C4&amp;"'"&amp;"!B:B"))</f>
        <v>20229</v>
      </c>
      <c r="D20" s="130">
        <f ca="1">SUMIF(INDIRECT("'"&amp;D4&amp;"'"&amp;"!A:A"),'结果表-303'!B20,INDIRECT("'"&amp;D4&amp;"'"&amp;"!B:B"))</f>
        <v>19910</v>
      </c>
      <c r="E20" s="1627"/>
      <c r="F20" s="43" t="s">
        <v>1291</v>
      </c>
      <c r="G20" s="131">
        <f ca="1">ROUND(C20*$C$18+D20*$D$18,0)</f>
        <v>20070</v>
      </c>
      <c r="H20" s="754"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28" t="s">
        <v>1292</v>
      </c>
      <c r="I21" s="121"/>
    </row>
    <row r="22" spans="1:36" ht="15" thickBot="1">
      <c r="A22" s="1558" t="s">
        <v>1294</v>
      </c>
      <c r="B22" s="1629"/>
      <c r="C22" s="1630"/>
      <c r="D22" s="680">
        <f ca="1">IF(C19&lt;D19,D19/C19-1,C19/D19-1)</f>
        <v>1.6034517693700456E-2</v>
      </c>
      <c r="E22" s="121"/>
      <c r="F22" s="121"/>
      <c r="G22" s="121"/>
      <c r="H22" s="121"/>
      <c r="I22" s="121"/>
    </row>
    <row r="23" spans="1:36" ht="13.5" thickBot="1">
      <c r="A23" s="646"/>
      <c r="B23" s="646"/>
      <c r="C23" s="646"/>
      <c r="D23" s="646"/>
      <c r="E23" s="121"/>
      <c r="F23" s="121"/>
      <c r="G23" s="121"/>
      <c r="H23" s="121"/>
      <c r="I23" s="121"/>
    </row>
    <row r="24" spans="1:36" ht="14.25">
      <c r="A24" s="3353" t="s">
        <v>1295</v>
      </c>
      <c r="B24" s="1625" t="s">
        <v>1287</v>
      </c>
      <c r="C24" s="128">
        <f>IF(B30=0,0,D30)</f>
        <v>0</v>
      </c>
      <c r="D24" s="1631"/>
      <c r="E24" s="121"/>
      <c r="F24" s="121"/>
      <c r="G24" s="121"/>
      <c r="H24" s="121"/>
      <c r="I24" s="121"/>
    </row>
    <row r="25" spans="1:36" ht="14.25">
      <c r="A25" s="3354"/>
      <c r="B25" s="43" t="s">
        <v>1291</v>
      </c>
      <c r="C25" s="133">
        <f>IF(B30=0,0,C30)</f>
        <v>0</v>
      </c>
      <c r="D25" s="1632"/>
      <c r="E25" s="121"/>
      <c r="F25" s="121"/>
      <c r="G25" s="121"/>
      <c r="H25" s="121"/>
      <c r="I25" s="121"/>
    </row>
    <row r="26" spans="1:36" ht="13.5" customHeight="1">
      <c r="A26" s="1633" t="s">
        <v>1296</v>
      </c>
      <c r="B26" s="134" t="s">
        <v>1297</v>
      </c>
      <c r="C26" s="134" t="s">
        <v>1298</v>
      </c>
      <c r="D26" s="135" t="s">
        <v>1299</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1300</v>
      </c>
      <c r="B30" s="134"/>
      <c r="C30" s="134"/>
      <c r="D30" s="134"/>
      <c r="E30" s="2121" t="s">
        <v>2125</v>
      </c>
      <c r="F30" s="121"/>
      <c r="G30" s="121"/>
      <c r="H30" s="121"/>
      <c r="I30" s="121"/>
    </row>
    <row r="31" spans="1:36" s="2127" customFormat="1" ht="26.45" customHeight="1" thickTop="1" thickBot="1">
      <c r="A31" s="2122"/>
      <c r="B31" s="2123"/>
      <c r="C31" s="2123"/>
      <c r="D31" s="2123"/>
      <c r="E31" s="2123"/>
      <c r="F31" s="2123"/>
      <c r="G31" s="2123"/>
      <c r="H31" s="2123"/>
      <c r="I31" s="2124" t="s">
        <v>2126</v>
      </c>
      <c r="J31" s="2458"/>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4" t="s">
        <v>1301</v>
      </c>
      <c r="B32" s="1529"/>
      <c r="C32" s="136">
        <f ca="1">IF(D32="总价",G19-C24,G20-C25)</f>
        <v>3228</v>
      </c>
      <c r="D32" s="1635" t="s">
        <v>3556</v>
      </c>
      <c r="E32" s="121"/>
      <c r="F32" s="121"/>
      <c r="G32" s="121"/>
      <c r="H32" s="121"/>
      <c r="I32" s="121"/>
    </row>
    <row r="33" spans="1:15" ht="15">
      <c r="A33" s="734" t="s">
        <v>1302</v>
      </c>
      <c r="B33" s="123"/>
      <c r="C33" s="1636" t="s">
        <v>3558</v>
      </c>
      <c r="D33" s="1637" t="s">
        <v>3550</v>
      </c>
      <c r="E33" s="1638" t="s">
        <v>1303</v>
      </c>
      <c r="F33" s="1639" t="str">
        <f>IF(D32="楼面单价","取值（单价）","取值（总价）")</f>
        <v>取值（总价）</v>
      </c>
      <c r="G33" s="121"/>
      <c r="H33" s="121"/>
      <c r="I33" s="121"/>
    </row>
    <row r="34" spans="1:15" ht="15">
      <c r="A34" s="1640"/>
      <c r="B34" s="1641" t="s">
        <v>1304</v>
      </c>
      <c r="C34" s="140">
        <f ca="1">IF(C33="自定义",F34,C32-C35)</f>
        <v>2424</v>
      </c>
      <c r="D34" s="802">
        <f ca="1">IF(C33="自定义",ROUND(C34/C32,3),IF(C33="收益比率",SUMIF(INDIRECT("'"&amp;D33&amp;"'"&amp;"!b:b"),"土地收益比率",INDIRECT("'"&amp;D33&amp;"'"&amp;"!c:c")),SUMIF(INDIRECT("'"&amp;D33&amp;"'"&amp;"!b:b"),"土地成本比率",INDIRECT("'"&amp;D33&amp;"'"&amp;"!c:c"))))</f>
        <v>0.751</v>
      </c>
      <c r="E34" s="1642" t="s">
        <v>1305</v>
      </c>
      <c r="F34" s="1237"/>
      <c r="G34" s="121"/>
      <c r="H34" s="121"/>
      <c r="I34" s="121"/>
    </row>
    <row r="35" spans="1:15" ht="15.75" thickBot="1">
      <c r="A35" s="1643"/>
      <c r="B35" s="1644" t="s">
        <v>1306</v>
      </c>
      <c r="C35" s="1084">
        <f ca="1">IF(C33="自定义",F35,ROUND(C32*D35,0))</f>
        <v>804</v>
      </c>
      <c r="D35" s="1085">
        <f ca="1">IF(C33="自定义",ROUND(C35/C32,3),IF(C33="收益比率",SUMIF(INDIRECT("'"&amp;D33&amp;"'"&amp;"!b:b"),"建筑物收益比率",INDIRECT("'"&amp;D33&amp;"'"&amp;"!c:c")),SUMIF(INDIRECT("'"&amp;D33&amp;"'"&amp;"!b:b"),"建筑物成本比率",INDIRECT("'"&amp;D33&amp;"'"&amp;"!c:c"))))</f>
        <v>0.249</v>
      </c>
      <c r="E35" s="1645" t="s">
        <v>1307</v>
      </c>
      <c r="F35" s="146"/>
      <c r="G35" s="121"/>
      <c r="H35" s="121"/>
      <c r="I35" s="121"/>
    </row>
    <row r="36" spans="1:15" ht="15.75" thickBot="1">
      <c r="A36" s="3373" t="s">
        <v>1308</v>
      </c>
      <c r="B36" s="1646" t="s">
        <v>1309</v>
      </c>
      <c r="C36" s="137"/>
      <c r="D36" s="1647"/>
      <c r="E36" s="1561"/>
      <c r="F36" s="1648"/>
      <c r="G36" s="121"/>
      <c r="H36" s="121"/>
      <c r="I36" s="121"/>
    </row>
    <row r="37" spans="1:15" ht="15.75" thickBot="1">
      <c r="A37" s="3374"/>
      <c r="B37" s="1549" t="s">
        <v>1310</v>
      </c>
      <c r="C37" s="139"/>
      <c r="D37" s="1065"/>
      <c r="E37" s="1065"/>
      <c r="F37" s="1648"/>
      <c r="G37" s="121"/>
      <c r="H37" s="121"/>
      <c r="I37" s="121"/>
    </row>
    <row r="38" spans="1:15" ht="15.75" thickBot="1">
      <c r="A38" s="3375"/>
      <c r="B38" s="1649" t="s">
        <v>1311</v>
      </c>
      <c r="C38" s="641"/>
      <c r="D38" s="1650" t="s">
        <v>1312</v>
      </c>
      <c r="E38" s="1065"/>
      <c r="F38" s="1648"/>
      <c r="G38" s="121"/>
      <c r="H38" s="121"/>
      <c r="I38" s="121"/>
    </row>
    <row r="39" spans="1:15" ht="15">
      <c r="A39" s="1627" t="s">
        <v>1313</v>
      </c>
      <c r="B39" s="1651" t="s">
        <v>1297</v>
      </c>
      <c r="C39" s="1652" t="s">
        <v>1298</v>
      </c>
      <c r="D39" s="1652" t="s">
        <v>1316</v>
      </c>
      <c r="E39" s="1653" t="s">
        <v>1299</v>
      </c>
      <c r="F39" s="1648"/>
      <c r="G39" s="121"/>
      <c r="H39" s="121"/>
      <c r="I39" s="121"/>
    </row>
    <row r="40" spans="1:15" ht="14.25">
      <c r="A40" s="1654" t="s">
        <v>1318</v>
      </c>
      <c r="B40" s="141"/>
      <c r="C40" s="142"/>
      <c r="D40" s="142"/>
      <c r="E40" s="143"/>
      <c r="F40" s="1648"/>
      <c r="G40" s="121"/>
      <c r="H40" s="121"/>
      <c r="I40" s="121"/>
    </row>
    <row r="41" spans="1:15" ht="14.25">
      <c r="A41" s="1654" t="s">
        <v>1319</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1320</v>
      </c>
      <c r="B44" s="1658"/>
      <c r="C44" s="1658"/>
      <c r="D44" s="1659"/>
      <c r="E44" s="1659"/>
      <c r="F44" s="1660"/>
      <c r="G44" s="1660"/>
      <c r="H44" s="1660"/>
      <c r="I44" s="1660"/>
      <c r="J44" s="1661" t="s">
        <v>1321</v>
      </c>
      <c r="K44" s="4"/>
      <c r="L44" s="4"/>
      <c r="M44" s="4"/>
      <c r="N44" s="4"/>
      <c r="O44" s="4"/>
    </row>
    <row r="45" spans="1:15" ht="14.25" customHeight="1" thickBot="1">
      <c r="A45" s="3350" t="s">
        <v>1322</v>
      </c>
      <c r="B45" s="3351"/>
      <c r="C45" s="3352"/>
      <c r="D45" s="147">
        <f ca="1">ROUND(H101*F45,0)</f>
        <v>3228</v>
      </c>
      <c r="E45" s="148" t="s">
        <v>1323</v>
      </c>
      <c r="F45" s="149">
        <v>1</v>
      </c>
      <c r="G45" s="150" t="s">
        <v>1324</v>
      </c>
      <c r="H45" s="121"/>
      <c r="I45" s="121"/>
      <c r="J45" s="3428" t="s">
        <v>1325</v>
      </c>
      <c r="K45" s="3428"/>
      <c r="L45" s="3428"/>
      <c r="M45" s="3428"/>
      <c r="N45" s="3428"/>
      <c r="O45" s="3428"/>
    </row>
    <row r="46" spans="1:15" ht="14.25" customHeight="1">
      <c r="A46" s="3347" t="s">
        <v>1326</v>
      </c>
      <c r="B46" s="3348"/>
      <c r="C46" s="3348"/>
      <c r="D46" s="3348"/>
      <c r="E46" s="3348"/>
      <c r="F46" s="3348"/>
      <c r="G46" s="3349"/>
      <c r="H46" s="1662"/>
      <c r="I46" s="151"/>
      <c r="J46" s="2304">
        <v>1</v>
      </c>
      <c r="K46" s="3409" t="s">
        <v>1327</v>
      </c>
      <c r="L46" s="3409"/>
      <c r="M46" s="3429"/>
      <c r="N46" s="3429"/>
      <c r="O46" s="3429"/>
    </row>
    <row r="47" spans="1:15" ht="12" customHeight="1">
      <c r="A47" s="152" t="s">
        <v>1328</v>
      </c>
      <c r="B47" s="153"/>
      <c r="C47" s="154"/>
      <c r="D47" s="1018" t="s">
        <v>1329</v>
      </c>
      <c r="E47" s="294" t="s">
        <v>1330</v>
      </c>
      <c r="F47" s="155" t="s">
        <v>1331</v>
      </c>
      <c r="G47" s="2327" t="s">
        <v>1332</v>
      </c>
      <c r="H47" s="2328"/>
      <c r="I47" s="151"/>
      <c r="J47" s="2304">
        <v>2</v>
      </c>
      <c r="K47" s="3409" t="s">
        <v>1333</v>
      </c>
      <c r="L47" s="3409"/>
      <c r="M47" s="3430">
        <f>'数据-取费表'!B2</f>
        <v>45873</v>
      </c>
      <c r="N47" s="3430"/>
      <c r="O47" s="3430"/>
    </row>
    <row r="48" spans="1:15" ht="25.5">
      <c r="A48" s="3378" t="s">
        <v>1334</v>
      </c>
      <c r="B48" s="3361"/>
      <c r="C48" s="3361"/>
      <c r="D48" s="12">
        <f ca="1">IF(H48="情况1",0,IF(H48="情况2",D52,IF(H48="情况3",D53,IF(H48="情况4",D54))))</f>
        <v>0</v>
      </c>
      <c r="E48" s="1250" t="str">
        <f>IF(H48="情况4","(销售额-原购置价)×税（费）率","销售额×税（费）率")</f>
        <v>(销售额-原购置价)×税（费）率</v>
      </c>
      <c r="F48" s="2329">
        <f>IF(H48="情况1","免征",'数据-取费表'!B41)</f>
        <v>5.6000000000000001E-2</v>
      </c>
      <c r="G48" s="2330" t="s">
        <v>1335</v>
      </c>
      <c r="H48" s="2331" t="s">
        <v>3575</v>
      </c>
      <c r="I48" s="1662"/>
      <c r="J48" s="2304">
        <v>3</v>
      </c>
      <c r="K48" s="3409" t="s">
        <v>1336</v>
      </c>
      <c r="L48" s="3409"/>
      <c r="M48" s="3431">
        <f ca="1">H101</f>
        <v>3228</v>
      </c>
      <c r="N48" s="3431"/>
      <c r="O48" s="3431"/>
    </row>
    <row r="49" spans="1:35" ht="25.5" customHeight="1">
      <c r="A49" s="2146" t="s">
        <v>1337</v>
      </c>
      <c r="B49" s="3345" t="s">
        <v>1338</v>
      </c>
      <c r="C49" s="3345"/>
      <c r="D49" s="1472">
        <v>0</v>
      </c>
      <c r="E49" s="316" t="s">
        <v>1339</v>
      </c>
      <c r="F49" s="2227" t="s">
        <v>28</v>
      </c>
      <c r="G49" s="3415"/>
      <c r="H49" s="2128" t="s">
        <v>2127</v>
      </c>
      <c r="I49" s="2129"/>
      <c r="J49" s="2304">
        <v>4</v>
      </c>
      <c r="K49" s="3409" t="str">
        <f>IF(项目基本情况!E8="房地产抵押价值","房地产抵押价值","抵押担保权已注销时的房地产抵押价值")</f>
        <v>房地产抵押价值</v>
      </c>
      <c r="L49" s="3409"/>
      <c r="M49" s="3431">
        <f ca="1">IF(项目基本情况!E8="房地产抵押价值",H107,H109)</f>
        <v>3228</v>
      </c>
      <c r="N49" s="3431"/>
      <c r="O49" s="3431"/>
    </row>
    <row r="50" spans="1:35" ht="25.5" customHeight="1">
      <c r="A50" s="2332"/>
      <c r="B50" s="3345" t="s">
        <v>1340</v>
      </c>
      <c r="C50" s="3345"/>
      <c r="D50" s="2183"/>
      <c r="E50" s="323"/>
      <c r="F50" s="2227"/>
      <c r="G50" s="3416"/>
      <c r="H50" s="2130" t="s">
        <v>2128</v>
      </c>
      <c r="I50" s="2129"/>
      <c r="J50" s="3428" t="s">
        <v>1341</v>
      </c>
      <c r="K50" s="3428"/>
      <c r="L50" s="3428"/>
      <c r="M50" s="3428"/>
      <c r="N50" s="3428"/>
      <c r="O50" s="3428"/>
    </row>
    <row r="51" spans="1:35" ht="20.45" customHeight="1">
      <c r="A51" s="2333"/>
      <c r="B51" s="3345" t="s">
        <v>1342</v>
      </c>
      <c r="C51" s="3345"/>
      <c r="D51" s="1018"/>
      <c r="E51" s="319"/>
      <c r="F51" s="2227"/>
      <c r="G51" s="3417"/>
      <c r="H51" s="2130" t="s">
        <v>2129</v>
      </c>
      <c r="I51" s="2129"/>
      <c r="J51" s="2305" t="s">
        <v>1343</v>
      </c>
      <c r="K51" s="3409" t="s">
        <v>1344</v>
      </c>
      <c r="L51" s="3409"/>
      <c r="M51" s="2305" t="s">
        <v>1345</v>
      </c>
      <c r="N51" s="2305" t="s">
        <v>1346</v>
      </c>
      <c r="O51" s="2305" t="s">
        <v>1347</v>
      </c>
    </row>
    <row r="52" spans="1:35" ht="24" customHeight="1">
      <c r="A52" s="2147" t="s">
        <v>1348</v>
      </c>
      <c r="B52" s="3345" t="s">
        <v>1349</v>
      </c>
      <c r="C52" s="3345"/>
      <c r="D52" s="1018">
        <f ca="1">ROUND(D45*'数据-取费表'!B41/(1+'数据-取费表'!C42),0)</f>
        <v>172</v>
      </c>
      <c r="E52" s="1250" t="s">
        <v>1350</v>
      </c>
      <c r="F52" s="2334">
        <f>'数据-取费表'!B41</f>
        <v>5.6000000000000001E-2</v>
      </c>
      <c r="G52" s="2335"/>
      <c r="H52" s="2325"/>
      <c r="I52" s="1663"/>
      <c r="J52" s="2304">
        <v>1</v>
      </c>
      <c r="K52" s="3410" t="s">
        <v>1351</v>
      </c>
      <c r="L52" s="3410"/>
      <c r="M52" s="2306">
        <f ca="1">D48</f>
        <v>0</v>
      </c>
      <c r="N52" s="2304" t="str">
        <f>E48</f>
        <v>(销售额-原购置价)×税（费）率</v>
      </c>
      <c r="O52" s="2307">
        <f>F48</f>
        <v>5.6000000000000001E-2</v>
      </c>
    </row>
    <row r="53" spans="1:35" ht="12" customHeight="1">
      <c r="A53" s="2147" t="s">
        <v>1352</v>
      </c>
      <c r="B53" s="3371" t="s">
        <v>2275</v>
      </c>
      <c r="C53" s="3372"/>
      <c r="D53" s="1018">
        <f ca="1">ROUND(D45*'数据-取费表'!B41/(1+'数据-取费表'!C42),0)</f>
        <v>172</v>
      </c>
      <c r="E53" s="1250" t="s">
        <v>1350</v>
      </c>
      <c r="F53" s="2334">
        <f>'数据-取费表'!B41</f>
        <v>5.6000000000000001E-2</v>
      </c>
      <c r="G53" s="2335"/>
      <c r="H53" s="2325"/>
      <c r="I53" s="1663"/>
      <c r="J53" s="2304">
        <v>2</v>
      </c>
      <c r="K53" s="3410" t="s">
        <v>1353</v>
      </c>
      <c r="L53" s="3410"/>
      <c r="M53" s="2306">
        <f t="shared" ref="M53:O54" ca="1" si="0">D55</f>
        <v>2</v>
      </c>
      <c r="N53" s="2304" t="str">
        <f t="shared" si="0"/>
        <v>销售额×税（费）率</v>
      </c>
      <c r="O53" s="2307">
        <f t="shared" si="0"/>
        <v>5.0000000000000001E-4</v>
      </c>
    </row>
    <row r="54" spans="1:35" ht="12" customHeight="1">
      <c r="A54" s="2147" t="s">
        <v>1354</v>
      </c>
      <c r="B54" s="3371" t="s">
        <v>2276</v>
      </c>
      <c r="C54" s="3372"/>
      <c r="D54" s="1018">
        <f ca="1">C68</f>
        <v>0</v>
      </c>
      <c r="E54" s="319" t="s">
        <v>1355</v>
      </c>
      <c r="F54" s="2334">
        <f>'数据-取费表'!B41</f>
        <v>5.6000000000000001E-2</v>
      </c>
      <c r="G54" s="2335"/>
      <c r="H54" s="2336"/>
      <c r="I54" s="1663"/>
      <c r="J54" s="2304">
        <v>3</v>
      </c>
      <c r="K54" s="3410" t="s">
        <v>1356</v>
      </c>
      <c r="L54" s="3410"/>
      <c r="M54" s="2306">
        <f t="shared" ca="1" si="0"/>
        <v>0</v>
      </c>
      <c r="N54" s="2304" t="str">
        <f t="shared" si="0"/>
        <v>增值额×税（费）率</v>
      </c>
      <c r="O54" s="2308" t="str">
        <f t="shared" si="0"/>
        <v>——</v>
      </c>
    </row>
    <row r="55" spans="1:35" ht="24" customHeight="1">
      <c r="A55" s="3360" t="s">
        <v>1357</v>
      </c>
      <c r="B55" s="3361"/>
      <c r="C55" s="3361"/>
      <c r="D55" s="12">
        <f ca="1">IF(H55="个人住宅",0,ROUND(D45*I55,0))</f>
        <v>2</v>
      </c>
      <c r="E55" s="1250" t="s">
        <v>1358</v>
      </c>
      <c r="F55" s="2334">
        <f>IF(H55="正常",I55,"免征")</f>
        <v>5.0000000000000001E-4</v>
      </c>
      <c r="G55" s="2335"/>
      <c r="H55" s="2331" t="s">
        <v>3576</v>
      </c>
      <c r="I55" s="157">
        <f>'数据-取费表'!B49</f>
        <v>5.0000000000000001E-4</v>
      </c>
      <c r="J55" s="2304" t="str">
        <f>IF(H59="非个人房产","",4)</f>
        <v/>
      </c>
      <c r="K55" s="3410" t="str">
        <f>IF(H59="非个人房产","——","个人所得税")</f>
        <v>——</v>
      </c>
      <c r="L55" s="3410"/>
      <c r="M55" s="2309" t="str">
        <f>D59</f>
        <v>——</v>
      </c>
      <c r="N55" s="1877" t="str">
        <f>E59</f>
        <v>——</v>
      </c>
      <c r="O55" s="2310" t="str">
        <f>F59</f>
        <v>——</v>
      </c>
    </row>
    <row r="56" spans="1:35" ht="24.75">
      <c r="A56" s="3360" t="s">
        <v>1359</v>
      </c>
      <c r="B56" s="3361"/>
      <c r="C56" s="3361"/>
      <c r="D56" s="12">
        <f ca="1">IF(H56="个人住宅",D57,D58)</f>
        <v>0</v>
      </c>
      <c r="E56" s="1250" t="s">
        <v>1360</v>
      </c>
      <c r="F56" s="2334" t="str">
        <f>IF(H56="正常",F58,"免征")</f>
        <v>——</v>
      </c>
      <c r="G56" s="2337" t="s">
        <v>1361</v>
      </c>
      <c r="H56" s="2338" t="s">
        <v>3576</v>
      </c>
      <c r="I56" s="1664"/>
      <c r="J56" s="2304" t="str">
        <f>IF(项目基本情况!K6="上海银行",IF(J55="",4,J55+1),"")</f>
        <v/>
      </c>
      <c r="K56" s="3433" t="str">
        <f>IF(项目基本情况!K6="上海银行","其他处置费用","")</f>
        <v/>
      </c>
      <c r="L56" s="3434"/>
      <c r="M56" s="2306" t="str">
        <f>IF(项目基本情况!K6="上海银行",M69,"")</f>
        <v/>
      </c>
      <c r="N56" s="3433" t="str">
        <f>IF(项目基本情况!K6="上海银行","包含处置中涉及的律师、诉讼、拍卖、评估等费用","")</f>
        <v/>
      </c>
      <c r="O56" s="3436"/>
    </row>
    <row r="57" spans="1:35" ht="12.75">
      <c r="A57" s="2147" t="s">
        <v>1337</v>
      </c>
      <c r="B57" s="3371" t="s">
        <v>1362</v>
      </c>
      <c r="C57" s="3372"/>
      <c r="D57" s="1472">
        <v>0</v>
      </c>
      <c r="E57" s="316" t="s">
        <v>1339</v>
      </c>
      <c r="F57" s="294"/>
      <c r="G57" s="2335"/>
      <c r="H57" s="2339"/>
      <c r="I57" s="1664"/>
      <c r="J57" s="3410">
        <f>IF(AND(J55="",J56=""),4,IF(项目基本情况!K6="上海银行",'结果表-303'!J56+1,'结果表-303'!J55+1))</f>
        <v>4</v>
      </c>
      <c r="K57" s="3410" t="s">
        <v>1363</v>
      </c>
      <c r="L57" s="2311" t="s">
        <v>1364</v>
      </c>
      <c r="M57" s="2312"/>
      <c r="N57" s="2313">
        <f ca="1">SUMIF(M52:M56,"&lt;9e307")</f>
        <v>2</v>
      </c>
      <c r="O57" s="2314"/>
      <c r="P57" s="2459">
        <f ca="1">N57/M49</f>
        <v>6.1957868649318464E-4</v>
      </c>
    </row>
    <row r="58" spans="1:35" ht="24.75">
      <c r="A58" s="2147" t="s">
        <v>1348</v>
      </c>
      <c r="B58" s="3371" t="s">
        <v>1365</v>
      </c>
      <c r="C58" s="3345"/>
      <c r="D58" s="12">
        <f ca="1">IF(H58="转让取得",C81,C97)</f>
        <v>0</v>
      </c>
      <c r="E58" s="1250" t="s">
        <v>1360</v>
      </c>
      <c r="F58" s="294" t="s">
        <v>28</v>
      </c>
      <c r="G58" s="2335"/>
      <c r="H58" s="2338" t="s">
        <v>3577</v>
      </c>
      <c r="I58" s="1664"/>
      <c r="J58" s="3410"/>
      <c r="K58" s="3410"/>
      <c r="L58" s="2311" t="s">
        <v>1366</v>
      </c>
      <c r="M58" s="2315"/>
      <c r="N58" s="2316" t="str">
        <f ca="1">NUMBERSTRING(INT(N57*10000),2)&amp;"元整"</f>
        <v>贰万元整</v>
      </c>
      <c r="O58" s="2317"/>
    </row>
    <row r="59" spans="1:35" ht="24.75" thickBot="1">
      <c r="A59" s="3413" t="s">
        <v>1367</v>
      </c>
      <c r="B59" s="3414"/>
      <c r="C59" s="3414"/>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1361</v>
      </c>
      <c r="H59" s="2132" t="s">
        <v>3578</v>
      </c>
      <c r="I59" s="2131" t="s">
        <v>2130</v>
      </c>
      <c r="J59" s="3411">
        <f>J57+1</f>
        <v>5</v>
      </c>
      <c r="K59" s="3410" t="s">
        <v>1368</v>
      </c>
      <c r="L59" s="2304" t="s">
        <v>1364</v>
      </c>
      <c r="M59" s="2318"/>
      <c r="N59" s="2319">
        <f ca="1">M49-N57</f>
        <v>3226</v>
      </c>
      <c r="O59" s="2320"/>
    </row>
    <row r="60" spans="1:35" ht="12" customHeight="1">
      <c r="A60" s="1665"/>
      <c r="B60" s="646"/>
      <c r="C60" s="646"/>
      <c r="D60" s="646"/>
      <c r="E60" s="1460"/>
      <c r="F60" s="1664"/>
      <c r="G60" s="1664"/>
      <c r="H60" s="151"/>
      <c r="I60" s="121"/>
      <c r="J60" s="3412"/>
      <c r="K60" s="3410"/>
      <c r="L60" s="2311" t="s">
        <v>1366</v>
      </c>
      <c r="M60" s="2315"/>
      <c r="N60" s="2316" t="str">
        <f ca="1">NUMBERSTRING(INT(N59*10000),2)&amp;"元整"</f>
        <v>叁仟贰佰贰拾陆万元整</v>
      </c>
      <c r="O60" s="2317"/>
    </row>
    <row r="61" spans="1:35" ht="13.5" thickBot="1">
      <c r="A61" s="3358" t="s">
        <v>1369</v>
      </c>
      <c r="B61" s="3358"/>
      <c r="C61" s="3358"/>
      <c r="D61" s="3358"/>
      <c r="E61" s="3358"/>
      <c r="F61" s="1664"/>
      <c r="G61" s="1664"/>
      <c r="H61" s="151"/>
      <c r="I61" s="121"/>
      <c r="J61" s="2304">
        <f>J59+1</f>
        <v>6</v>
      </c>
      <c r="K61" s="3410" t="s">
        <v>1370</v>
      </c>
      <c r="L61" s="3410"/>
      <c r="M61" s="2321"/>
      <c r="N61" s="2322">
        <f ca="1">ROUND(N59*10000/'数据-汇总表'!E3,0)</f>
        <v>7720</v>
      </c>
      <c r="O61" s="2323"/>
    </row>
    <row r="62" spans="1:35" ht="12.75">
      <c r="A62" s="3376" t="s">
        <v>1371</v>
      </c>
      <c r="B62" s="3377"/>
      <c r="C62" s="1859"/>
      <c r="D62" s="1859" t="s">
        <v>1372</v>
      </c>
      <c r="E62" s="158" t="s">
        <v>1373</v>
      </c>
      <c r="F62" s="1664"/>
      <c r="G62" s="1664"/>
      <c r="H62" s="151"/>
      <c r="I62" s="121"/>
    </row>
    <row r="63" spans="1:35" ht="12.75">
      <c r="A63" s="165" t="s">
        <v>330</v>
      </c>
      <c r="B63" s="159" t="s">
        <v>1374</v>
      </c>
      <c r="C63" s="2344">
        <f ca="1">ROUND((C64+C65)/(1+'数据-取费表'!C42),0)</f>
        <v>3074</v>
      </c>
      <c r="D63" s="159"/>
      <c r="E63" s="160"/>
      <c r="F63" s="1664"/>
      <c r="G63" s="1664"/>
      <c r="H63" s="151"/>
      <c r="I63" s="121"/>
      <c r="J63" s="3435" t="s">
        <v>1375</v>
      </c>
      <c r="K63" s="1239" t="s">
        <v>1376</v>
      </c>
      <c r="L63" s="1239">
        <f ca="1">IF(M49&gt;10000,M49*0.5%,IF(AND(M49&gt;1000,M49&lt;=10000),M49*1%,IF(AND(M49&gt;100,M49&lt;=1000),M49*3%,IF(AND(M49&gt;10,M49&lt;=100),M49*5%,M49*8%))))</f>
        <v>32.28</v>
      </c>
      <c r="M63" s="294">
        <f ca="1">ROUND(L63,1)</f>
        <v>32.299999999999997</v>
      </c>
      <c r="N63" s="2324"/>
      <c r="Z63" s="1617"/>
      <c r="AI63" s="1555"/>
    </row>
    <row r="64" spans="1:35" ht="14.25" customHeight="1">
      <c r="A64" s="161" t="s">
        <v>325</v>
      </c>
      <c r="B64" s="162" t="s">
        <v>1377</v>
      </c>
      <c r="C64" s="2345">
        <f ca="1">D45</f>
        <v>3228</v>
      </c>
      <c r="D64" s="162" t="s">
        <v>26</v>
      </c>
      <c r="E64" s="164"/>
      <c r="F64" s="1664"/>
      <c r="G64" s="1664"/>
      <c r="H64" s="151"/>
      <c r="I64" s="121"/>
      <c r="J64" s="3435"/>
      <c r="K64" s="1239" t="s">
        <v>1378</v>
      </c>
      <c r="L64" s="1239">
        <f ca="1">IF(M49&gt;2000,M49*0.5%,IF(AND(M49&gt;1000,M49&lt;=2000),M49*0.6%,IF(AND(M49&gt;500,M49&lt;=1000),M49*0.7%,IF(AND(M49&gt;200,M49&lt;=500),M49*0.8%,IF(AND(M49&gt;100,M49&lt;=200),M49*0.9%,IF(AND(M49&gt;50,M49&lt;=100),M49*1%,IF(AND(M49&gt;20,M49&lt;=50),M49*1.5%,IF(AND(M49&gt;10,M49&lt;=20),M49*2%,IF(AND(M49&gt;1,M49&lt;=10),M49*2.5%)))))))))</f>
        <v>16.14</v>
      </c>
      <c r="M64" s="294">
        <f t="shared" ref="M64:M65" ca="1" si="1">ROUND(L64,1)</f>
        <v>16.100000000000001</v>
      </c>
      <c r="N64" s="2325" t="s">
        <v>1379</v>
      </c>
      <c r="Z64" s="1617"/>
      <c r="AI64" s="1555"/>
    </row>
    <row r="65" spans="1:35" ht="14.25" customHeight="1">
      <c r="A65" s="161" t="s">
        <v>326</v>
      </c>
      <c r="B65" s="162" t="s">
        <v>1380</v>
      </c>
      <c r="C65" s="2346"/>
      <c r="D65" s="162"/>
      <c r="E65" s="164"/>
      <c r="F65" s="1664"/>
      <c r="G65" s="1664"/>
      <c r="H65" s="151"/>
      <c r="I65" s="121"/>
      <c r="J65" s="3435"/>
      <c r="K65" s="1239" t="s">
        <v>1381</v>
      </c>
      <c r="L65" s="1239">
        <f ca="1">IF(M49&gt;1000,M49*0.1%,IF(AND(M49&gt;500,M49&lt;=1000),M49*0.5%,IF(AND(M49&gt;50,M49&lt;=500),M49*1%,IF(AND(M49&gt;1,M49&lt;=50),M49*1.5%))))</f>
        <v>3.2280000000000002</v>
      </c>
      <c r="M65" s="294">
        <f t="shared" ca="1" si="1"/>
        <v>3.2</v>
      </c>
      <c r="N65" s="2325" t="s">
        <v>1379</v>
      </c>
      <c r="Z65" s="1617"/>
      <c r="AI65" s="1555"/>
    </row>
    <row r="66" spans="1:35" ht="14.25" customHeight="1">
      <c r="A66" s="165" t="s">
        <v>327</v>
      </c>
      <c r="B66" s="166" t="s">
        <v>1382</v>
      </c>
      <c r="C66" s="2347">
        <f>ROUND(面积位置!W6/10000/1.05,0)</f>
        <v>3433</v>
      </c>
      <c r="D66" s="166" t="s">
        <v>26</v>
      </c>
      <c r="E66" s="1245" t="s">
        <v>667</v>
      </c>
      <c r="F66" s="1664"/>
      <c r="G66" s="1664"/>
      <c r="H66" s="151"/>
      <c r="I66" s="121"/>
      <c r="J66" s="3435"/>
      <c r="K66" s="1239" t="s">
        <v>1383</v>
      </c>
      <c r="L66" s="1239">
        <f ca="1">M49*0.5%</f>
        <v>16.14</v>
      </c>
      <c r="M66" s="294">
        <f ca="1">IF(L66&gt;0.5,0.5,ROUND(L66,0))</f>
        <v>0.5</v>
      </c>
      <c r="N66" s="2325" t="s">
        <v>1384</v>
      </c>
      <c r="Z66" s="1617"/>
      <c r="AI66" s="1555"/>
    </row>
    <row r="67" spans="1:35" ht="14.25" customHeight="1">
      <c r="A67" s="165" t="s">
        <v>328</v>
      </c>
      <c r="B67" s="166" t="s">
        <v>1385</v>
      </c>
      <c r="C67" s="2348">
        <f ca="1">C63-C66</f>
        <v>-359</v>
      </c>
      <c r="D67" s="162" t="s">
        <v>26</v>
      </c>
      <c r="E67" s="164"/>
      <c r="F67" s="1664"/>
      <c r="G67" s="1664"/>
      <c r="H67" s="151"/>
      <c r="I67" s="121"/>
      <c r="J67" s="3435"/>
      <c r="K67" s="1239" t="s">
        <v>1386</v>
      </c>
      <c r="L67" s="1239">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4"/>
      <c r="Z67" s="1617"/>
      <c r="AI67" s="1555"/>
    </row>
    <row r="68" spans="1:35" ht="14.25" customHeight="1" thickBot="1">
      <c r="A68" s="168" t="s">
        <v>329</v>
      </c>
      <c r="B68" s="169" t="s">
        <v>1387</v>
      </c>
      <c r="C68" s="2349">
        <f ca="1">IF(C67&lt;=0,0,ROUND(C67*D68,0))</f>
        <v>0</v>
      </c>
      <c r="D68" s="2350">
        <f>'数据-取费表'!B41</f>
        <v>5.6000000000000001E-2</v>
      </c>
      <c r="E68" s="170"/>
      <c r="F68" s="1664"/>
      <c r="G68" s="1664"/>
      <c r="H68" s="151"/>
      <c r="I68" s="121"/>
      <c r="J68" s="3435"/>
      <c r="K68" s="1239" t="s">
        <v>1388</v>
      </c>
      <c r="L68" s="1239">
        <f ca="1">IF(M49&gt;10000,M49*0.5%,IF(AND(M49&gt;5000,M49&lt;=10000),M49*1%,IF(AND(M49&gt;1000,M49&lt;=5000),M49*2%,IF(AND(M49&gt;200,M49&lt;=1000),M49*3%,M49*5%))))</f>
        <v>64.56</v>
      </c>
      <c r="M68" s="294">
        <f ca="1">ROUND(L68,1)</f>
        <v>64.599999999999994</v>
      </c>
      <c r="N68" s="2324"/>
      <c r="Z68" s="1617"/>
      <c r="AI68" s="1555"/>
    </row>
    <row r="69" spans="1:35" ht="16.5" customHeight="1">
      <c r="A69" s="1666"/>
      <c r="B69" s="1667"/>
      <c r="C69" s="1668"/>
      <c r="D69" s="1669"/>
      <c r="E69" s="1670"/>
      <c r="F69" s="1460"/>
      <c r="G69" s="1460"/>
      <c r="H69" s="1461"/>
      <c r="I69" s="646"/>
      <c r="J69" s="3435"/>
      <c r="K69" s="1239" t="s">
        <v>1389</v>
      </c>
      <c r="L69" s="1239"/>
      <c r="M69" s="294">
        <f ca="1">ROUND(SUM(M63:M68),0)</f>
        <v>119</v>
      </c>
      <c r="N69" s="2326">
        <f ca="1">M69/M49</f>
        <v>3.6864931846344484E-2</v>
      </c>
      <c r="Z69" s="1617"/>
      <c r="AI69" s="1555"/>
    </row>
    <row r="70" spans="1:35" s="642" customFormat="1" ht="15" thickBot="1">
      <c r="A70" s="3397" t="s">
        <v>1390</v>
      </c>
      <c r="B70" s="3398"/>
      <c r="C70" s="3398"/>
      <c r="D70" s="3398"/>
      <c r="E70" s="3398"/>
      <c r="F70" s="3398"/>
      <c r="G70" s="3398"/>
      <c r="H70" s="3398"/>
      <c r="I70" s="1671"/>
      <c r="J70" s="459"/>
      <c r="K70" s="459"/>
      <c r="L70" s="459"/>
      <c r="M70" s="459"/>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2" customFormat="1" ht="14.25">
      <c r="A71" s="3376" t="s">
        <v>1371</v>
      </c>
      <c r="B71" s="3377"/>
      <c r="C71" s="1859"/>
      <c r="D71" s="1859" t="s">
        <v>1372</v>
      </c>
      <c r="E71" s="171" t="s">
        <v>1373</v>
      </c>
      <c r="F71" s="172"/>
      <c r="G71" s="172"/>
      <c r="H71" s="173"/>
      <c r="I71" s="1674"/>
      <c r="J71" s="459"/>
      <c r="K71" s="459"/>
      <c r="L71" s="459"/>
      <c r="M71" s="459"/>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2" customFormat="1" ht="14.25">
      <c r="A72" s="165" t="s">
        <v>330</v>
      </c>
      <c r="B72" s="166" t="s">
        <v>1391</v>
      </c>
      <c r="C72" s="2348">
        <f ca="1">ROUND(D45/(1+'数据-取费表'!C42),0)</f>
        <v>3074</v>
      </c>
      <c r="D72" s="162" t="s">
        <v>26</v>
      </c>
      <c r="E72" s="1251"/>
      <c r="F72" s="1249"/>
      <c r="G72" s="1249"/>
      <c r="H72" s="174"/>
      <c r="I72" s="1674"/>
      <c r="J72" s="459"/>
      <c r="K72" s="459"/>
      <c r="L72" s="459"/>
      <c r="M72" s="459"/>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2" customFormat="1" ht="14.25">
      <c r="A73" s="165" t="s">
        <v>327</v>
      </c>
      <c r="B73" s="155" t="s">
        <v>1392</v>
      </c>
      <c r="C73" s="2348">
        <f ca="1">C74+C78</f>
        <v>4638</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2" customFormat="1" ht="24">
      <c r="A74" s="161" t="s">
        <v>325</v>
      </c>
      <c r="B74" s="162" t="s">
        <v>1393</v>
      </c>
      <c r="C74" s="162">
        <f>ROUND(IF(G77="2016年5月1日后购买",C75/(1+'数据-取费表'!C42)+C76+C77,C75+C76+C77),0)</f>
        <v>4620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2" customFormat="1" ht="14.25">
      <c r="A75" s="161" t="s">
        <v>331</v>
      </c>
      <c r="B75" s="162" t="s">
        <v>1394</v>
      </c>
      <c r="C75" s="2351">
        <f>ROUND(面积位置!W6/10000,0)</f>
        <v>3605</v>
      </c>
      <c r="D75" s="162" t="s">
        <v>26</v>
      </c>
      <c r="E75" s="176" t="s">
        <v>1395</v>
      </c>
      <c r="F75" s="2352" t="s">
        <v>3586</v>
      </c>
      <c r="G75" s="176" t="s">
        <v>1396</v>
      </c>
      <c r="H75" s="2353">
        <v>6</v>
      </c>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2" customFormat="1" ht="24.75" customHeight="1">
      <c r="A76" s="161" t="s">
        <v>332</v>
      </c>
      <c r="B76" s="177" t="s">
        <v>1397</v>
      </c>
      <c r="C76" s="162">
        <f>IF(F75="购房发票",ROUND(C75*H75*D76,0),0)</f>
        <v>1082</v>
      </c>
      <c r="D76" s="2354">
        <v>0.05</v>
      </c>
      <c r="E76" s="3371" t="s">
        <v>1398</v>
      </c>
      <c r="F76" s="3345"/>
      <c r="G76" s="3345"/>
      <c r="H76" s="3396"/>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2" customFormat="1" ht="24.75" customHeight="1">
      <c r="A77" s="161" t="s">
        <v>333</v>
      </c>
      <c r="B77" s="162" t="s">
        <v>1399</v>
      </c>
      <c r="C77" s="162">
        <f>ROUND(IF(G77="个人住宅",0,IF(G77="2016年5月1日前购买",C75*D77,C75*D77/(1+'数据-取费表'!C42))),0)</f>
        <v>105</v>
      </c>
      <c r="D77" s="2355">
        <f>'数据-取费表'!B48+'数据-取费表'!B49</f>
        <v>3.0499999999999999E-2</v>
      </c>
      <c r="E77" s="12" t="s">
        <v>1400</v>
      </c>
      <c r="F77" s="178"/>
      <c r="G77" s="1676" t="s">
        <v>3579</v>
      </c>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2" customFormat="1" ht="24.75" customHeight="1">
      <c r="A78" s="161" t="s">
        <v>326</v>
      </c>
      <c r="B78" s="162" t="s">
        <v>1401</v>
      </c>
      <c r="C78" s="2356">
        <f ca="1">ROUND(D45*D78/(1+'数据-取费表'!C42),0)</f>
        <v>18</v>
      </c>
      <c r="D78" s="2357">
        <f>'数据-取费表'!B43</f>
        <v>6.000000000000001E-3</v>
      </c>
      <c r="E78" s="3355" t="s">
        <v>1402</v>
      </c>
      <c r="F78" s="3356"/>
      <c r="G78" s="3356"/>
      <c r="H78" s="3365"/>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2" customFormat="1" ht="14.25">
      <c r="A79" s="165" t="s">
        <v>328</v>
      </c>
      <c r="B79" s="166" t="s">
        <v>1403</v>
      </c>
      <c r="C79" s="2348">
        <f ca="1">C72-C73</f>
        <v>-1564</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2" customFormat="1" ht="24">
      <c r="A80" s="165" t="s">
        <v>335</v>
      </c>
      <c r="B80" s="166" t="s">
        <v>1404</v>
      </c>
      <c r="C80" s="2358">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2" customFormat="1" ht="24.75" thickBot="1">
      <c r="A81" s="168" t="s">
        <v>336</v>
      </c>
      <c r="B81" s="169" t="s">
        <v>1405</v>
      </c>
      <c r="C81" s="2359">
        <f ca="1">ROUND(IF(C79&lt;=0,0,IF(C80&gt;=200%,C79*60%-C73*35%,IF(C80&gt;=100%,C79*50%-C73*15%,IF(C80&gt;=50%,C79*40%-C73*5%,IF(C80&lt;50%,C79*30%,0))))),0)</f>
        <v>0</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2" customFormat="1" ht="7.5" customHeight="1">
      <c r="A82" s="4"/>
      <c r="B82" s="647"/>
      <c r="C82" s="4"/>
      <c r="D82" s="4"/>
      <c r="E82" s="647"/>
      <c r="F82" s="647"/>
      <c r="G82" s="647"/>
      <c r="H82" s="648"/>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2" customFormat="1" ht="15" thickBot="1">
      <c r="A83" s="3397" t="s">
        <v>1406</v>
      </c>
      <c r="B83" s="3398"/>
      <c r="C83" s="3398"/>
      <c r="D83" s="3398"/>
      <c r="E83" s="3398"/>
      <c r="F83" s="3398"/>
      <c r="G83" s="3398"/>
      <c r="H83" s="3398"/>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2" customFormat="1" ht="14.25">
      <c r="A84" s="3376" t="s">
        <v>1371</v>
      </c>
      <c r="B84" s="3377"/>
      <c r="C84" s="1859"/>
      <c r="D84" s="1859" t="s">
        <v>1372</v>
      </c>
      <c r="E84" s="171" t="s">
        <v>1373</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2" customFormat="1" ht="14.25">
      <c r="A85" s="165" t="s">
        <v>330</v>
      </c>
      <c r="B85" s="166" t="s">
        <v>1391</v>
      </c>
      <c r="C85" s="2348">
        <f ca="1">ROUND(D45/(1+'数据-取费表'!C42),0)</f>
        <v>3074</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2" customFormat="1" ht="14.25">
      <c r="A86" s="165" t="s">
        <v>327</v>
      </c>
      <c r="B86" s="155" t="s">
        <v>1392</v>
      </c>
      <c r="C86" s="2348">
        <f ca="1">IF(H88="仅含出让金",C87+C90+C91+C92+C93+C94,C87+C91+C92+C93+C94)</f>
        <v>18</v>
      </c>
      <c r="D86" s="2361"/>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2" customFormat="1" ht="14.25">
      <c r="A87" s="161" t="s">
        <v>325</v>
      </c>
      <c r="B87" s="162" t="s">
        <v>1407</v>
      </c>
      <c r="C87" s="2356">
        <f>C88+C89</f>
        <v>0</v>
      </c>
      <c r="D87" s="2357"/>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2" customFormat="1" ht="14.25">
      <c r="A88" s="161" t="s">
        <v>331</v>
      </c>
      <c r="B88" s="162" t="s">
        <v>1408</v>
      </c>
      <c r="C88" s="2362"/>
      <c r="D88" s="2357"/>
      <c r="E88" s="185" t="s">
        <v>1409</v>
      </c>
      <c r="F88" s="2142"/>
      <c r="G88" s="186" t="s">
        <v>1410</v>
      </c>
      <c r="H88" s="1678"/>
      <c r="I88" s="1675"/>
      <c r="J88" s="2302" t="s">
        <v>2272</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2" customFormat="1" ht="14.25">
      <c r="A89" s="161" t="s">
        <v>332</v>
      </c>
      <c r="B89" s="162" t="s">
        <v>1399</v>
      </c>
      <c r="C89" s="2356">
        <f>ROUND(C88*D89,0)</f>
        <v>0</v>
      </c>
      <c r="D89" s="2357">
        <f>'数据-取费表'!B48+'数据-取费表'!B49</f>
        <v>3.0499999999999999E-2</v>
      </c>
      <c r="E89" s="185" t="s">
        <v>1411</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2" customFormat="1" ht="14.25">
      <c r="A90" s="161" t="s">
        <v>326</v>
      </c>
      <c r="B90" s="162" t="s">
        <v>1412</v>
      </c>
      <c r="C90" s="2362"/>
      <c r="D90" s="2357"/>
      <c r="E90" s="185" t="str">
        <f>IF(H88="-","土地取得成本中已包含该笔费用"," ")</f>
        <v xml:space="preserve"> </v>
      </c>
      <c r="F90" s="2142"/>
      <c r="G90" s="3437" t="s">
        <v>2122</v>
      </c>
      <c r="H90" s="3438"/>
      <c r="I90" s="1675"/>
      <c r="J90" s="2302" t="s">
        <v>2273</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2" customFormat="1" ht="27.75" customHeight="1">
      <c r="A91" s="161" t="s">
        <v>1413</v>
      </c>
      <c r="B91" s="162" t="s">
        <v>1414</v>
      </c>
      <c r="C91" s="2356">
        <f>IF(H91="——",成本法!C33,I91)</f>
        <v>0</v>
      </c>
      <c r="D91" s="2357"/>
      <c r="E91" s="3355" t="s">
        <v>1415</v>
      </c>
      <c r="F91" s="3356"/>
      <c r="G91" s="3356"/>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2" customFormat="1" ht="25.5" customHeight="1">
      <c r="A92" s="161" t="s">
        <v>1416</v>
      </c>
      <c r="B92" s="162" t="s">
        <v>1417</v>
      </c>
      <c r="C92" s="2356">
        <f>ROUND((C87+C90+C91)*D92,0)</f>
        <v>0</v>
      </c>
      <c r="D92" s="2363"/>
      <c r="E92" s="3355" t="s">
        <v>1418</v>
      </c>
      <c r="F92" s="3356"/>
      <c r="G92" s="3356"/>
      <c r="H92" s="3365"/>
      <c r="I92" s="1675"/>
      <c r="J92" s="2303" t="s">
        <v>2274</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2" customFormat="1" ht="25.5" customHeight="1">
      <c r="A93" s="161" t="s">
        <v>1419</v>
      </c>
      <c r="B93" s="162" t="s">
        <v>1401</v>
      </c>
      <c r="C93" s="2356">
        <f ca="1">ROUND(D45*D93/(1+'数据-取费表'!C42),0)</f>
        <v>18</v>
      </c>
      <c r="D93" s="2357">
        <f>'数据-取费表'!B43</f>
        <v>6.000000000000001E-3</v>
      </c>
      <c r="E93" s="3355" t="s">
        <v>1402</v>
      </c>
      <c r="F93" s="3356"/>
      <c r="G93" s="3356"/>
      <c r="H93" s="3365"/>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2" customFormat="1" ht="36.75" customHeight="1">
      <c r="A94" s="161" t="s">
        <v>1420</v>
      </c>
      <c r="B94" s="162" t="s">
        <v>1421</v>
      </c>
      <c r="C94" s="2362">
        <f>ROUND((C87+C90+C91)*D94,0)</f>
        <v>0</v>
      </c>
      <c r="D94" s="2357">
        <v>0.2</v>
      </c>
      <c r="E94" s="3366" t="s">
        <v>1422</v>
      </c>
      <c r="F94" s="3367"/>
      <c r="G94" s="3367"/>
      <c r="H94" s="3368"/>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2" customFormat="1" ht="14.25">
      <c r="A95" s="165" t="s">
        <v>328</v>
      </c>
      <c r="B95" s="166" t="s">
        <v>1403</v>
      </c>
      <c r="C95" s="2348">
        <f ca="1">ROUND(C85-C86,0)</f>
        <v>3056</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2" customFormat="1" ht="24">
      <c r="A96" s="165" t="s">
        <v>335</v>
      </c>
      <c r="B96" s="166" t="s">
        <v>1404</v>
      </c>
      <c r="C96" s="2358">
        <f ca="1">IF(C95&lt;=0,0,C95/C86)</f>
        <v>169.77777777777777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2" customFormat="1" ht="24.75" thickBot="1">
      <c r="A97" s="168" t="s">
        <v>336</v>
      </c>
      <c r="B97" s="169" t="s">
        <v>1405</v>
      </c>
      <c r="C97" s="2359">
        <f ca="1">ROUND(IF(C95&lt;=0,0,IF(C96&gt;=200%,C95*60%-C86*35%,IF(C96&gt;=100%,C95*50%-C86*15%,IF(C96&gt;=50%,C95*40%-C86*5%,IF(C96&lt;50%,C95*30%,0))))),0)</f>
        <v>1827</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6"/>
      <c r="C98" s="646"/>
      <c r="D98" s="646"/>
      <c r="E98" s="1460"/>
      <c r="F98" s="1460"/>
      <c r="G98" s="1460"/>
      <c r="H98" s="1461"/>
      <c r="I98" s="121"/>
    </row>
    <row r="99" spans="1:35" ht="21.75" customHeight="1" thickBot="1">
      <c r="A99" s="1458" t="s">
        <v>1423</v>
      </c>
      <c r="B99" s="646"/>
      <c r="C99" s="646"/>
      <c r="D99" s="646"/>
      <c r="E99" s="1460"/>
      <c r="F99" s="1460"/>
      <c r="G99" s="1460"/>
      <c r="H99" s="1461"/>
      <c r="I99" s="121"/>
    </row>
    <row r="100" spans="1:35" ht="18.75" customHeight="1">
      <c r="A100" s="3339" t="s">
        <v>1424</v>
      </c>
      <c r="B100" s="3340"/>
      <c r="C100" s="3340"/>
      <c r="D100" s="3357"/>
      <c r="E100" s="3340" t="s">
        <v>1425</v>
      </c>
      <c r="F100" s="3340"/>
      <c r="G100" s="3340"/>
      <c r="H100" s="3357"/>
      <c r="I100" s="121"/>
    </row>
    <row r="101" spans="1:35" ht="18.75" customHeight="1">
      <c r="A101" s="3418" t="s">
        <v>1426</v>
      </c>
      <c r="B101" s="3419"/>
      <c r="C101" s="2365" t="str">
        <f>C4</f>
        <v>成本法-303</v>
      </c>
      <c r="D101" s="2366" t="str">
        <f>D4</f>
        <v>收益法-303</v>
      </c>
      <c r="E101" s="3432" t="s">
        <v>1427</v>
      </c>
      <c r="F101" s="3389"/>
      <c r="G101" s="1681" t="s">
        <v>1428</v>
      </c>
      <c r="H101" s="2375">
        <f ca="1">H118</f>
        <v>3228</v>
      </c>
      <c r="I101" s="121"/>
    </row>
    <row r="102" spans="1:35" ht="18.75" customHeight="1">
      <c r="A102" s="3391" t="s">
        <v>1429</v>
      </c>
      <c r="B102" s="2364" t="s">
        <v>1428</v>
      </c>
      <c r="C102" s="2365">
        <f ca="1">IF(D32="楼面单价",ROUND(C19,0),C19)</f>
        <v>3253.3409000000001</v>
      </c>
      <c r="D102" s="2366">
        <f ca="1">IF(D32="楼面单价",ROUND(D19,0),D19)</f>
        <v>3201.9983999999999</v>
      </c>
      <c r="E102" s="3432"/>
      <c r="F102" s="3389"/>
      <c r="G102" s="1681" t="s">
        <v>1430</v>
      </c>
      <c r="H102" s="2335">
        <f ca="1">I118</f>
        <v>20071</v>
      </c>
      <c r="I102" s="121"/>
    </row>
    <row r="103" spans="1:35" ht="42.75" customHeight="1">
      <c r="A103" s="3391"/>
      <c r="B103" s="2364" t="s">
        <v>1430</v>
      </c>
      <c r="C103" s="2367">
        <f ca="1">C20</f>
        <v>20229</v>
      </c>
      <c r="D103" s="2368">
        <f ca="1">D20</f>
        <v>19910</v>
      </c>
      <c r="E103" s="3426" t="s">
        <v>1431</v>
      </c>
      <c r="F103" s="3427"/>
      <c r="G103" s="1682" t="s">
        <v>1432</v>
      </c>
      <c r="H103" s="2375">
        <f>IF(D36="正常操作",H104+H105+H106,H105+H106)</f>
        <v>0</v>
      </c>
      <c r="I103" s="121"/>
    </row>
    <row r="104" spans="1:35" ht="18.75" customHeight="1">
      <c r="A104" s="3391" t="s">
        <v>1433</v>
      </c>
      <c r="B104" s="2369" t="s">
        <v>1428</v>
      </c>
      <c r="C104" s="2370">
        <f ca="1">H118</f>
        <v>3228</v>
      </c>
      <c r="D104" s="2371"/>
      <c r="E104" s="1549" t="s">
        <v>1434</v>
      </c>
      <c r="F104" s="1542"/>
      <c r="G104" s="1682" t="s">
        <v>1432</v>
      </c>
      <c r="H104" s="2376">
        <f>IF(D36="同一抵押权人同一抵押物续贷",C36&amp;"（续贷，未扣减，详见特别提示）",C36)</f>
        <v>0</v>
      </c>
      <c r="I104" s="121"/>
    </row>
    <row r="105" spans="1:35" ht="18.75" customHeight="1" thickBot="1">
      <c r="A105" s="3392"/>
      <c r="B105" s="2372" t="s">
        <v>1430</v>
      </c>
      <c r="C105" s="2373">
        <f ca="1">I118</f>
        <v>20071</v>
      </c>
      <c r="D105" s="2374"/>
      <c r="E105" s="1549" t="s">
        <v>1435</v>
      </c>
      <c r="F105" s="1542"/>
      <c r="G105" s="1682" t="s">
        <v>1432</v>
      </c>
      <c r="H105" s="2377">
        <f>C37</f>
        <v>0</v>
      </c>
      <c r="I105" s="121"/>
    </row>
    <row r="106" spans="1:35" ht="18.75" customHeight="1">
      <c r="A106" s="646" t="s">
        <v>1436</v>
      </c>
      <c r="B106" s="646"/>
      <c r="C106" s="646"/>
      <c r="D106" s="646"/>
      <c r="E106" s="1683" t="s">
        <v>1437</v>
      </c>
      <c r="F106" s="1542"/>
      <c r="G106" s="1682" t="s">
        <v>1432</v>
      </c>
      <c r="H106" s="2377">
        <f>C38</f>
        <v>0</v>
      </c>
      <c r="I106" s="121"/>
    </row>
    <row r="107" spans="1:35" ht="18.75" customHeight="1">
      <c r="A107" s="121"/>
      <c r="B107" s="121"/>
      <c r="C107" s="121"/>
      <c r="D107" s="121"/>
      <c r="E107" s="3388" t="str">
        <f>IF(项目基本情况!E8="已注销","——","3.房地产抵押价值")</f>
        <v>3.房地产抵押价值</v>
      </c>
      <c r="F107" s="3389"/>
      <c r="G107" s="1681" t="s">
        <v>1428</v>
      </c>
      <c r="H107" s="2375">
        <f ca="1">IF(E107="——","——",H101-H103)</f>
        <v>3228</v>
      </c>
      <c r="I107" s="121"/>
    </row>
    <row r="108" spans="1:35" ht="18.75" customHeight="1">
      <c r="A108" s="121"/>
      <c r="B108" s="121"/>
      <c r="C108" s="121"/>
      <c r="D108" s="121"/>
      <c r="E108" s="3388"/>
      <c r="F108" s="3389"/>
      <c r="G108" s="1681" t="s">
        <v>1430</v>
      </c>
      <c r="H108" s="2335">
        <f ca="1">IF(H107=H101,H102,ROUND(H107*10000/'数据-汇总表'!E3,0))</f>
        <v>20071</v>
      </c>
      <c r="I108" s="121"/>
    </row>
    <row r="109" spans="1:35" ht="18.75" customHeight="1">
      <c r="A109" s="121"/>
      <c r="B109" s="121"/>
      <c r="C109" s="121"/>
      <c r="D109" s="121"/>
      <c r="E109" s="3388" t="str">
        <f>IF(项目基本情况!E8="已注销及未注销","4.抵押担保权已注销时的房地产抵押价值",IF(项目基本情况!E8="已注销","3.抵押担保权已注销时的房地产抵押价值","——"))</f>
        <v>——</v>
      </c>
      <c r="F109" s="3389"/>
      <c r="G109" s="1681" t="s">
        <v>1428</v>
      </c>
      <c r="H109" s="2378" t="str">
        <f>IF(E109="——","——",H101-H105-H106)</f>
        <v>——</v>
      </c>
      <c r="I109" s="121"/>
    </row>
    <row r="110" spans="1:35" ht="18.75" customHeight="1">
      <c r="A110" s="121"/>
      <c r="B110" s="121"/>
      <c r="C110" s="121"/>
      <c r="D110" s="121"/>
      <c r="E110" s="3388"/>
      <c r="F110" s="3389"/>
      <c r="G110" s="1681" t="s">
        <v>1430</v>
      </c>
      <c r="H110" s="2335" t="str">
        <f>IF(H109="——","——",ROUND(H109*10000/'数据-汇总表'!E3,0))</f>
        <v>——</v>
      </c>
      <c r="I110" s="121"/>
    </row>
    <row r="111" spans="1:35" ht="18.75" customHeight="1">
      <c r="A111" s="121"/>
      <c r="B111" s="121"/>
      <c r="C111" s="121"/>
      <c r="D111" s="121"/>
      <c r="E111" s="3420" t="str">
        <f>IF(项目基本情况!E9="抵押净值",IF(OR(项目基本情况!E8="已注销",项目基本情况!E8="房地产抵押价值"),"4.抵押净值","5.抵押净值"),"——")</f>
        <v>4.抵押净值</v>
      </c>
      <c r="F111" s="3390"/>
      <c r="G111" s="1681" t="s">
        <v>1428</v>
      </c>
      <c r="H111" s="2375">
        <f ca="1">IF(E111="——","——",N59)</f>
        <v>3226</v>
      </c>
      <c r="I111" s="121"/>
    </row>
    <row r="112" spans="1:35" ht="18.75" customHeight="1" thickBot="1">
      <c r="A112" s="121"/>
      <c r="B112" s="121"/>
      <c r="C112" s="121"/>
      <c r="D112" s="121"/>
      <c r="E112" s="3421"/>
      <c r="F112" s="3422"/>
      <c r="G112" s="1684" t="s">
        <v>1430</v>
      </c>
      <c r="H112" s="2379">
        <f ca="1">IF(E111="——","——",N61)</f>
        <v>7720</v>
      </c>
      <c r="I112" s="121"/>
    </row>
    <row r="113" spans="1:27" ht="18.75" customHeight="1">
      <c r="A113" s="121"/>
      <c r="B113" s="121"/>
      <c r="C113" s="121"/>
      <c r="D113" s="121"/>
      <c r="E113" s="3393" t="s">
        <v>1436</v>
      </c>
      <c r="F113" s="3393"/>
      <c r="G113" s="3393"/>
      <c r="H113" s="3393"/>
      <c r="I113" s="121"/>
    </row>
    <row r="114" spans="1:27" ht="3.75" customHeight="1">
      <c r="A114" s="646"/>
      <c r="B114" s="646"/>
      <c r="C114" s="646"/>
      <c r="D114" s="646"/>
      <c r="E114" s="1665"/>
      <c r="F114" s="1665"/>
      <c r="G114" s="1665"/>
      <c r="H114" s="1665"/>
      <c r="I114" s="646"/>
    </row>
    <row r="115" spans="1:27" ht="18.75" customHeight="1">
      <c r="A115" s="3403" t="s">
        <v>1438</v>
      </c>
      <c r="B115" s="3404"/>
      <c r="C115" s="3404"/>
      <c r="D115" s="3404"/>
      <c r="E115" s="3404"/>
      <c r="F115" s="3404"/>
      <c r="G115" s="3404"/>
      <c r="H115" s="3404"/>
      <c r="I115" s="3405"/>
    </row>
    <row r="116" spans="1:27" ht="27" customHeight="1">
      <c r="A116" s="3359" t="s">
        <v>1439</v>
      </c>
      <c r="B116" s="3394" t="s">
        <v>1440</v>
      </c>
      <c r="C116" s="3394" t="s">
        <v>1441</v>
      </c>
      <c r="D116" s="3407" t="s">
        <v>1442</v>
      </c>
      <c r="E116" s="3408"/>
      <c r="F116" s="3402" t="s">
        <v>1443</v>
      </c>
      <c r="G116" s="3402"/>
      <c r="H116" s="3359" t="s">
        <v>1444</v>
      </c>
      <c r="I116" s="3359"/>
    </row>
    <row r="117" spans="1:27" ht="18.75" customHeight="1">
      <c r="A117" s="3359"/>
      <c r="B117" s="3395"/>
      <c r="C117" s="3395"/>
      <c r="D117" s="2144" t="s">
        <v>1445</v>
      </c>
      <c r="E117" s="2144" t="s">
        <v>1446</v>
      </c>
      <c r="F117" s="2144" t="s">
        <v>1445</v>
      </c>
      <c r="G117" s="2144" t="s">
        <v>1447</v>
      </c>
      <c r="H117" s="2144" t="s">
        <v>1445</v>
      </c>
      <c r="I117" s="2144" t="s">
        <v>1447</v>
      </c>
    </row>
    <row r="118" spans="1:27" ht="24.75" customHeight="1">
      <c r="A118" s="2380" t="str">
        <f>项目基本情况!S2</f>
        <v>北京市房地产</v>
      </c>
      <c r="B118" s="2144">
        <f>M18</f>
        <v>1608.26</v>
      </c>
      <c r="C118" s="2144">
        <f>M19</f>
        <v>0</v>
      </c>
      <c r="D118" s="2144">
        <f ca="1">ROUND(IF(D32="总价",C34,E118*B118/10000),0)</f>
        <v>2424</v>
      </c>
      <c r="E118" s="2144">
        <f ca="1">ROUND(IF(C33="自定义",IF(D32="楼面单价",C34,D118*10000/B118),I118-G118),0)</f>
        <v>15072</v>
      </c>
      <c r="F118" s="2144">
        <f ca="1">ROUND(IF(D32="总价",C35,G118*B118/10000),0)</f>
        <v>804</v>
      </c>
      <c r="G118" s="2144">
        <f ca="1">ROUND(IF(D32="楼面单价",C35,F118*10000/B118),0)</f>
        <v>4999</v>
      </c>
      <c r="H118" s="2144">
        <f ca="1">ROUND(IF(D32="总价",C32,I118*B118/10000),0)</f>
        <v>3228</v>
      </c>
      <c r="I118" s="2144">
        <f ca="1">ROUND(IF(D32="楼面单价",C32,H118*10000/B118),0)</f>
        <v>20071</v>
      </c>
    </row>
    <row r="119" spans="1:27" ht="18.75" customHeight="1">
      <c r="A119" s="3359" t="s">
        <v>1448</v>
      </c>
      <c r="B119" s="3359"/>
      <c r="C119" s="3359"/>
      <c r="D119" s="3399" t="str">
        <f ca="1">NUMBERSTRING(INT(D118*10000),2)&amp;"元整"</f>
        <v>贰仟肆佰贰拾肆万元整</v>
      </c>
      <c r="E119" s="3401"/>
      <c r="F119" s="3399" t="str">
        <f ca="1">NUMBERSTRING(INT(F118*10000),2)&amp;"元整"</f>
        <v>捌佰零肆万元整</v>
      </c>
      <c r="G119" s="3401"/>
      <c r="H119" s="3399" t="str">
        <f ca="1">NUMBERSTRING(INT(H118*10000),2)&amp;"元整"</f>
        <v>叁仟贰佰贰拾捌万元整</v>
      </c>
      <c r="I119" s="3401"/>
    </row>
    <row r="120" spans="1:27" ht="18.75" customHeight="1">
      <c r="A120" s="3423" t="str">
        <f>IF(项目基本情况!B9="房地产市场价值","",MID(E103,3,LEN(E103)-2))</f>
        <v>估价师知悉的法定优先受偿款</v>
      </c>
      <c r="B120" s="3424"/>
      <c r="C120" s="3425"/>
      <c r="D120" s="3423">
        <f>H103</f>
        <v>0</v>
      </c>
      <c r="E120" s="3424"/>
      <c r="F120" s="3424"/>
      <c r="G120" s="3424"/>
      <c r="H120" s="3424"/>
      <c r="I120" s="342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99" t="s">
        <v>1448</v>
      </c>
      <c r="B121" s="3400"/>
      <c r="C121" s="3401"/>
      <c r="D121" s="3399" t="str">
        <f>IF(D120=0,"零元整",NUMBERSTRING(INT(D120*10000),2)&amp;"元整")</f>
        <v>零元整</v>
      </c>
      <c r="E121" s="3400"/>
      <c r="F121" s="3400"/>
      <c r="G121" s="3400"/>
      <c r="H121" s="3400"/>
      <c r="I121" s="3401"/>
      <c r="AA121" s="684"/>
    </row>
    <row r="122" spans="1:27" ht="18.75" customHeight="1">
      <c r="A122" s="3390" t="str">
        <f>IF(项目基本情况!B9="房地产市场价值","",MID(E107,3,LEN(E107)-2))</f>
        <v>房地产抵押价值</v>
      </c>
      <c r="B122" s="3390"/>
      <c r="C122" s="3390"/>
      <c r="D122" s="3423">
        <f ca="1">H107</f>
        <v>3228</v>
      </c>
      <c r="E122" s="3424"/>
      <c r="F122" s="3424"/>
      <c r="G122" s="3424"/>
      <c r="H122" s="3424"/>
      <c r="I122" s="3425"/>
      <c r="AA122" s="684"/>
    </row>
    <row r="123" spans="1:27" ht="18.75" customHeight="1">
      <c r="A123" s="3359" t="s">
        <v>1448</v>
      </c>
      <c r="B123" s="3359"/>
      <c r="C123" s="3359"/>
      <c r="D123" s="3399" t="str">
        <f ca="1">NUMBERSTRING(INT(D122*10000),2)&amp;"元整"</f>
        <v>叁仟贰佰贰拾捌万元整</v>
      </c>
      <c r="E123" s="3400"/>
      <c r="F123" s="3400"/>
      <c r="G123" s="3400"/>
      <c r="H123" s="3400"/>
      <c r="I123" s="3401"/>
      <c r="AA123" s="684"/>
    </row>
    <row r="124" spans="1:27" ht="18.75" customHeight="1">
      <c r="A124" s="3390" t="str">
        <f>IF(项目基本情况!B9="房地产市场价值","",MID(E109,3,LEN(E109)-2))</f>
        <v/>
      </c>
      <c r="B124" s="3390"/>
      <c r="C124" s="3390"/>
      <c r="D124" s="3423" t="str">
        <f>H109</f>
        <v>——</v>
      </c>
      <c r="E124" s="3424"/>
      <c r="F124" s="3424"/>
      <c r="G124" s="3424"/>
      <c r="H124" s="3424"/>
      <c r="I124" s="3425"/>
      <c r="AA124" s="684"/>
    </row>
    <row r="125" spans="1:27" ht="18.75" customHeight="1">
      <c r="A125" s="3359" t="s">
        <v>1448</v>
      </c>
      <c r="B125" s="3359"/>
      <c r="C125" s="3359"/>
      <c r="D125" s="3399" t="e">
        <f>NUMBERSTRING(INT(D124*10000),2)&amp;"元整"</f>
        <v>#VALUE!</v>
      </c>
      <c r="E125" s="3400"/>
      <c r="F125" s="3400"/>
      <c r="G125" s="3400"/>
      <c r="H125" s="3400"/>
      <c r="I125" s="3401"/>
      <c r="AA125" s="684"/>
    </row>
    <row r="126" spans="1:27" ht="18.75" customHeight="1">
      <c r="A126" s="3390" t="str">
        <f>IF(项目基本情况!B9="房地产市场价值","",MID(E111,3,LEN(E111)-2))</f>
        <v>抵押净值</v>
      </c>
      <c r="B126" s="3390"/>
      <c r="C126" s="3390"/>
      <c r="D126" s="3423">
        <f ca="1">H111</f>
        <v>3226</v>
      </c>
      <c r="E126" s="3424"/>
      <c r="F126" s="3424"/>
      <c r="G126" s="3424"/>
      <c r="H126" s="3424"/>
      <c r="I126" s="3425"/>
      <c r="AA126" s="684"/>
    </row>
    <row r="127" spans="1:27" ht="18.75" customHeight="1">
      <c r="A127" s="3359" t="s">
        <v>1448</v>
      </c>
      <c r="B127" s="3359"/>
      <c r="C127" s="3359"/>
      <c r="D127" s="3399" t="str">
        <f ca="1">NUMBERSTRING(INT(D126*10000),2)&amp;"元整"</f>
        <v>叁仟贰佰贰拾陆万元整</v>
      </c>
      <c r="E127" s="3400"/>
      <c r="F127" s="3400"/>
      <c r="G127" s="3400"/>
      <c r="H127" s="3400"/>
      <c r="I127" s="3401"/>
      <c r="AA127" s="684"/>
    </row>
    <row r="128" spans="1:27" ht="21.75" customHeight="1">
      <c r="A128" s="3406" t="s">
        <v>1449</v>
      </c>
      <c r="B128" s="3406"/>
      <c r="C128" s="3406"/>
      <c r="D128" s="3406"/>
      <c r="E128" s="3406"/>
      <c r="F128" s="3406"/>
      <c r="G128" s="3406"/>
      <c r="H128" s="3406"/>
      <c r="I128" s="3406"/>
      <c r="AA128" s="684"/>
    </row>
    <row r="129" spans="1:35" ht="21.75" customHeight="1">
      <c r="A129" s="1685" t="s">
        <v>1450</v>
      </c>
      <c r="B129" s="1686"/>
      <c r="C129" s="1687" t="s">
        <v>1451</v>
      </c>
      <c r="D129" s="1688"/>
      <c r="E129" s="1688"/>
      <c r="F129" s="1688"/>
      <c r="G129" s="1688"/>
      <c r="H129" s="1689"/>
      <c r="I129" s="1690"/>
      <c r="AA129" s="684"/>
    </row>
    <row r="130" spans="1:35" ht="21.75" customHeight="1">
      <c r="A130" s="1691">
        <v>1</v>
      </c>
      <c r="B130" s="1692"/>
      <c r="C130" s="1692"/>
      <c r="D130" s="688"/>
      <c r="E130" s="688"/>
      <c r="F130" s="688"/>
      <c r="G130" s="688"/>
      <c r="H130" s="687"/>
      <c r="I130" s="1693"/>
      <c r="AA130" s="684"/>
    </row>
    <row r="131" spans="1:35" ht="21.75" customHeight="1">
      <c r="A131" s="1691">
        <v>2</v>
      </c>
      <c r="B131" s="1692"/>
      <c r="C131" s="1692"/>
      <c r="D131" s="688"/>
      <c r="E131" s="688"/>
      <c r="F131" s="688"/>
      <c r="G131" s="688"/>
      <c r="H131" s="687"/>
      <c r="I131" s="1693"/>
      <c r="AA131" s="684"/>
    </row>
    <row r="132" spans="1:35" ht="21.75" customHeight="1">
      <c r="A132" s="1691">
        <v>3</v>
      </c>
      <c r="B132" s="1692"/>
      <c r="C132" s="1692"/>
      <c r="D132" s="688"/>
      <c r="E132" s="688"/>
      <c r="F132" s="688"/>
      <c r="G132" s="688"/>
      <c r="H132" s="687"/>
      <c r="I132" s="1693"/>
      <c r="AA132" s="684"/>
    </row>
    <row r="133" spans="1:35" ht="21.75" customHeight="1">
      <c r="A133" s="1694"/>
      <c r="B133" s="1695"/>
      <c r="C133" s="1695"/>
      <c r="D133" s="1696"/>
      <c r="E133" s="1696"/>
      <c r="F133" s="1696"/>
      <c r="G133" s="1696"/>
      <c r="H133" s="1697"/>
      <c r="I133" s="1698"/>
    </row>
    <row r="134" spans="1:35" ht="21.75" customHeight="1">
      <c r="A134" s="1692"/>
      <c r="B134" s="1692"/>
      <c r="C134" s="1692"/>
      <c r="D134" s="688"/>
      <c r="E134" s="688"/>
      <c r="F134" s="688"/>
      <c r="G134" s="688"/>
      <c r="H134" s="687"/>
      <c r="I134" s="684"/>
    </row>
    <row r="135" spans="1:35" ht="21.75" customHeight="1">
      <c r="A135" s="684"/>
      <c r="B135" s="684"/>
      <c r="C135" s="684"/>
      <c r="D135" s="684"/>
      <c r="E135" s="684"/>
      <c r="F135" s="1699" t="s">
        <v>1452</v>
      </c>
      <c r="G135" s="1700"/>
      <c r="H135" s="1700"/>
      <c r="I135" s="1701" t="s">
        <v>1453</v>
      </c>
    </row>
    <row r="136" spans="1:35" ht="21.75" customHeight="1">
      <c r="A136" s="684"/>
      <c r="B136" s="1702"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0"/>
      <c r="C138" s="1700"/>
      <c r="D138" s="1700"/>
      <c r="E138" s="1700"/>
      <c r="F138" s="1700"/>
      <c r="G138" s="1700"/>
      <c r="H138" s="1700"/>
      <c r="I138" s="1701" t="s">
        <v>1455</v>
      </c>
    </row>
    <row r="139" spans="1:35" ht="21.75" customHeight="1">
      <c r="A139" s="684"/>
      <c r="B139" s="1702" t="s">
        <v>1456</v>
      </c>
      <c r="C139" s="684"/>
      <c r="D139" s="684"/>
      <c r="E139" s="684"/>
      <c r="F139" s="684"/>
      <c r="G139" s="684"/>
      <c r="H139" s="684"/>
      <c r="I139" s="684"/>
    </row>
    <row r="140" spans="1:35" ht="21.75" customHeight="1">
      <c r="A140" s="684"/>
      <c r="B140" s="1702"/>
      <c r="C140" s="684"/>
      <c r="D140" s="684"/>
      <c r="E140" s="684"/>
      <c r="F140" s="684"/>
      <c r="G140" s="684"/>
      <c r="H140" s="684"/>
      <c r="I140" s="684"/>
    </row>
    <row r="141" spans="1:35" ht="21.75" customHeight="1">
      <c r="A141" s="684"/>
      <c r="B141" s="1700"/>
      <c r="C141" s="1700"/>
      <c r="D141" s="1700"/>
      <c r="E141" s="1700"/>
      <c r="F141" s="1700"/>
      <c r="G141" s="1700"/>
      <c r="H141" s="1700"/>
      <c r="I141" s="1701" t="s">
        <v>1455</v>
      </c>
    </row>
    <row r="142" spans="1:35" ht="21.75" customHeight="1">
      <c r="A142" s="684"/>
      <c r="B142" s="1702"/>
      <c r="C142" s="1703"/>
      <c r="D142" s="1704"/>
      <c r="E142" s="1704"/>
      <c r="F142" s="1608"/>
      <c r="G142" s="684"/>
      <c r="H142" s="684"/>
      <c r="I142" s="684"/>
    </row>
    <row r="143" spans="1:35" s="122" customFormat="1" ht="21.75" customHeight="1">
      <c r="A143" s="684"/>
      <c r="B143" s="1702"/>
      <c r="C143" s="1703"/>
      <c r="D143" s="1704"/>
      <c r="E143" s="1704"/>
      <c r="F143" s="1608"/>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7"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7"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7"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7"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7"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7"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7"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7"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7"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7"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7"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7"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7"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7"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7"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7"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7"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7"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7"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7"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7"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7"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7"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7"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7"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7"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7"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7"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7"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7"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7"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7"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7"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7"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7"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7"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7"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7"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7"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7"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7"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7"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7"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7"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7"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7"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7"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7"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7"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7"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7"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7"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7"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7"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7"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7"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7"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7"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7"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7"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7"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7"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7"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7"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7"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7"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7"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7"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7"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7"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7"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7"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7"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7"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7"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7"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7"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7"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7"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7"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7"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7"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7"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7"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7"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7"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7"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7"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7"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7"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7"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7"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7"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7"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7"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7"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7"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7"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7"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7"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7"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7"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7"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7"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6" stopIfTrue="1" operator="equal">
      <formula>25</formula>
    </cfRule>
  </conditionalFormatting>
  <conditionalFormatting sqref="C8:D13">
    <cfRule type="cellIs" dxfId="140" priority="5" stopIfTrue="1" operator="equal">
      <formula>15</formula>
    </cfRule>
  </conditionalFormatting>
  <conditionalFormatting sqref="C14:D16">
    <cfRule type="cellIs" dxfId="139" priority="4"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xr:uid="{8F1D53CA-39FD-4607-B463-5718D76B7C59}">
      <formula1>"0,5%,10%"</formula1>
    </dataValidation>
    <dataValidation type="list" allowBlank="1" showInputMessage="1" showErrorMessage="1" sqref="H59" xr:uid="{8B79F624-4AA0-4F2A-A2D0-0A6AF508F1E6}">
      <formula1>"非个人房产,个人住宅（满五唯一有凭证）,个人其他（有凭证）,个人其他（无凭证）"</formula1>
    </dataValidation>
    <dataValidation type="list" allowBlank="1" showInputMessage="1" showErrorMessage="1" sqref="E103" xr:uid="{B6BDFEBC-D4D0-4F84-98A4-BCD5DCC7C51D}">
      <formula1>"2.估价师知悉的法定优先受偿款,2.估价师知悉的除抵押担保权以外的法定优先受偿款"</formula1>
    </dataValidation>
    <dataValidation type="list" allowBlank="1" showInputMessage="1" showErrorMessage="1" sqref="G77" xr:uid="{5E92F904-4579-4F05-B22E-0D256EEBE4D2}">
      <formula1>"个人住宅,2016年5月1日前购买,2016年5月1日后购买"</formula1>
    </dataValidation>
    <dataValidation type="list" allowBlank="1" showInputMessage="1" showErrorMessage="1" sqref="C1" xr:uid="{6F641E34-22D9-4E28-8F4D-CD01320A05EA}">
      <formula1>项目类型</formula1>
    </dataValidation>
    <dataValidation type="list" allowBlank="1" showInputMessage="1" showErrorMessage="1" sqref="I1" xr:uid="{67537D44-BF96-4EED-A6E4-F957CF60E93B}">
      <formula1>"项目局部,项目全部,——"</formula1>
    </dataValidation>
    <dataValidation type="list" showInputMessage="1" showErrorMessage="1" sqref="G1" xr:uid="{CC9F9E06-C982-4DA0-AF77-8A3FB9615FE1}">
      <formula1>"现房,在建,土地,-"</formula1>
    </dataValidation>
    <dataValidation type="list" allowBlank="1" showInputMessage="1" showErrorMessage="1" sqref="C129" xr:uid="{07F457CD-EC1F-4129-BD2B-1914039DF9C9}">
      <formula1>"无,有"</formula1>
    </dataValidation>
    <dataValidation type="list" allowBlank="1" showInputMessage="1" showErrorMessage="1" sqref="F116:G116" xr:uid="{1346CD54-035C-42FE-A3E0-9F50F7871667}">
      <formula1>"建筑物价值,在建建筑物价值,建筑物/在建建筑物价值"</formula1>
    </dataValidation>
    <dataValidation type="list" allowBlank="1" showInputMessage="1" showErrorMessage="1" sqref="D116:E116" xr:uid="{215C6056-B1C4-408D-A8DC-BA5C1CD21FFF}">
      <formula1>"出让国有建设用地使用权价值,划拨国有建设用地使用权价值"</formula1>
    </dataValidation>
    <dataValidation type="list" allowBlank="1" showInputMessage="1" showErrorMessage="1" sqref="C116:C117" xr:uid="{3DC356F5-1813-4316-AD4D-BA6DABF35AE9}">
      <formula1>"土地面积,分摊土地面积,（分摊）土地面积"</formula1>
    </dataValidation>
    <dataValidation type="list" allowBlank="1" showInputMessage="1" showErrorMessage="1" sqref="B116:B117" xr:uid="{F403CE79-E643-4F5E-AF27-3AD1A02915AC}">
      <formula1>"建筑面积,规划建筑面积,（规划）建筑面积"</formula1>
    </dataValidation>
    <dataValidation type="list" allowBlank="1" showInputMessage="1" showErrorMessage="1" sqref="D36" xr:uid="{B84DBBFB-3EA4-413B-A844-734812AE1BB4}">
      <formula1>"同一抵押权人同一抵押物续贷,注销后放款,正常操作"</formula1>
    </dataValidation>
    <dataValidation type="list" allowBlank="1" showInputMessage="1" showErrorMessage="1" sqref="F75" xr:uid="{3E82F8D5-3F70-4581-AE31-DA5461330067}">
      <formula1>"买卖合同,购房发票"</formula1>
    </dataValidation>
    <dataValidation type="list" allowBlank="1" showInputMessage="1" showErrorMessage="1" sqref="H88" xr:uid="{F7FC948D-DEC2-496C-971C-9B2364D55FFF}">
      <formula1>"仅含出让金,出让金+开发费"</formula1>
    </dataValidation>
    <dataValidation type="list" allowBlank="1" showInputMessage="1" showErrorMessage="1" sqref="H91" xr:uid="{228EC50B-1797-451F-AE49-897C0BB8C37F}">
      <formula1>"企业提供（在右侧录入）,——"</formula1>
    </dataValidation>
    <dataValidation type="list" allowBlank="1" showInputMessage="1" showErrorMessage="1" sqref="C33" xr:uid="{8C9DC55C-CDC0-4E87-B97E-F96DC9581B01}">
      <formula1>"成本比率,收益比率,自定义"</formula1>
    </dataValidation>
    <dataValidation type="list" allowBlank="1" showInputMessage="1" showErrorMessage="1" sqref="F45" xr:uid="{28A5B609-9335-489E-A10F-7D0B2744059E}">
      <formula1>"100%,70%,56%"</formula1>
    </dataValidation>
    <dataValidation type="list" allowBlank="1" showInputMessage="1" showErrorMessage="1" sqref="D32" xr:uid="{60539C0B-1DD3-4DDF-9044-5E6FB679F7EA}">
      <formula1>"总价,楼面单价"</formula1>
    </dataValidation>
    <dataValidation type="list" allowBlank="1" showInputMessage="1" showErrorMessage="1" sqref="H58" xr:uid="{8F131CAC-1DC3-4625-9E3D-7D4C5B9658C1}">
      <formula1>"转让取得,自行开发建设"</formula1>
    </dataValidation>
    <dataValidation type="list" allowBlank="1" showInputMessage="1" showErrorMessage="1" sqref="H48" xr:uid="{80CA07F9-BD55-4BBB-9FD4-20B8ECD3D38D}">
      <formula1>"情况1,情况2,情况3,情况4"</formula1>
    </dataValidation>
    <dataValidation type="list" allowBlank="1" showInputMessage="1" showErrorMessage="1" sqref="H55:H56" xr:uid="{8F9ED4D9-107C-46C6-BEBD-EF2837D00C9F}">
      <formula1>"个人住宅,正常"</formula1>
    </dataValidation>
    <dataValidation type="list" allowBlank="1" showInputMessage="1" showErrorMessage="1" sqref="C4:D4 D33" xr:uid="{118D367F-A3E5-4C43-A107-ACF2F2E7C58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15581-C79B-417F-B7D4-809A4A093292}">
  <sheetPr>
    <tabColor rgb="FF92D050"/>
    <pageSetUpPr fitToPage="1"/>
  </sheetPr>
  <dimension ref="A1:H57"/>
  <sheetViews>
    <sheetView view="pageBreakPreview" zoomScale="85" zoomScaleNormal="70" zoomScaleSheetLayoutView="85" workbookViewId="0">
      <selection activeCell="L51" sqref="L5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68">
        <v>303</v>
      </c>
      <c r="C1" s="1711" t="s">
        <v>1559</v>
      </c>
      <c r="D1" s="190"/>
      <c r="E1" s="190"/>
      <c r="F1" s="190"/>
      <c r="G1" s="1056">
        <f>MATCH(B1,'数据-取费表'!A6:A16,0)+5</f>
        <v>9</v>
      </c>
      <c r="H1" s="992" t="str">
        <f>IF(ISERROR(FIND("住宅",B1)),"非住宅","住宅")</f>
        <v>非住宅</v>
      </c>
    </row>
    <row r="2" spans="1:8" s="192" customFormat="1" ht="18" customHeight="1">
      <c r="A2" s="193" t="s">
        <v>681</v>
      </c>
      <c r="B2" s="3117">
        <f ca="1">ROUND(IF(D2="——",C52/10000,C52/10000-E2),4)</f>
        <v>3253.3409000000001</v>
      </c>
      <c r="C2" s="191" t="s">
        <v>1459</v>
      </c>
      <c r="D2" s="1705" t="s">
        <v>43</v>
      </c>
      <c r="E2" s="1083" t="e">
        <f ca="1">SUMIF(INDIRECT("'"&amp;G2&amp;"'"&amp;"!A:A"),"承租人权益价值",INDIRECT("'"&amp;G2&amp;"'"&amp;"!c:c"))</f>
        <v>#REF!</v>
      </c>
      <c r="F2" s="1706" t="s">
        <v>1459</v>
      </c>
      <c r="G2" s="1707"/>
    </row>
    <row r="3" spans="1:8" s="192" customFormat="1" ht="18" customHeight="1" thickBot="1">
      <c r="A3" s="195" t="s">
        <v>682</v>
      </c>
      <c r="B3" s="196">
        <f ca="1">ROUND(B2*10000/(IF(B1="",'数据-汇总表'!E3,INDIRECT("'数据-取费表'!k"&amp;$G$1))),0)</f>
        <v>20229</v>
      </c>
      <c r="C3" s="191" t="s">
        <v>1461</v>
      </c>
      <c r="D3" s="191"/>
      <c r="E3" s="191"/>
      <c r="F3" s="191"/>
      <c r="G3" s="191"/>
    </row>
    <row r="4" spans="1:8" s="200" customFormat="1" ht="15.75">
      <c r="A4" s="197" t="s">
        <v>1462</v>
      </c>
      <c r="B4" s="198"/>
      <c r="C4" s="198"/>
      <c r="D4" s="198"/>
      <c r="E4" s="198"/>
      <c r="F4" s="198"/>
      <c r="G4" s="199"/>
    </row>
    <row r="5" spans="1:8" s="206" customFormat="1" ht="13.5" customHeight="1">
      <c r="A5" s="247" t="s">
        <v>337</v>
      </c>
      <c r="B5" s="202" t="s">
        <v>1464</v>
      </c>
      <c r="C5" s="203">
        <f ca="1">C6+C7+C8</f>
        <v>18271997.059999999</v>
      </c>
      <c r="D5" s="203" t="s">
        <v>1465</v>
      </c>
      <c r="E5" s="204" t="s">
        <v>1466</v>
      </c>
      <c r="F5" s="204" t="s">
        <v>1467</v>
      </c>
      <c r="G5" s="205"/>
    </row>
    <row r="6" spans="1:8" s="206" customFormat="1" ht="13.5" customHeight="1">
      <c r="A6" s="726" t="s">
        <v>346</v>
      </c>
      <c r="B6" s="207" t="s">
        <v>1469</v>
      </c>
      <c r="C6" s="208">
        <f>基准地价修正!T4*基准地价修正!U4</f>
        <v>17419064.059999999</v>
      </c>
      <c r="D6" s="209"/>
      <c r="E6" s="210"/>
      <c r="F6" s="210"/>
      <c r="G6" s="211"/>
    </row>
    <row r="7" spans="1:8" s="206" customFormat="1" ht="13.5" customHeight="1">
      <c r="A7" s="726" t="s">
        <v>347</v>
      </c>
      <c r="B7" s="207" t="s">
        <v>1471</v>
      </c>
      <c r="C7" s="212">
        <f>ROUND(C6*F7,0)</f>
        <v>531281</v>
      </c>
      <c r="D7" s="212"/>
      <c r="E7" s="210"/>
      <c r="F7" s="213">
        <f>IF(项目基本情况!B8="出让",0,'数据-取费表'!B48+'数据-取费表'!B49)</f>
        <v>3.0499999999999999E-2</v>
      </c>
      <c r="G7" s="211"/>
    </row>
    <row r="8" spans="1:8" s="215" customFormat="1">
      <c r="A8" s="726" t="s">
        <v>348</v>
      </c>
      <c r="B8" s="207" t="s">
        <v>1473</v>
      </c>
      <c r="C8" s="212">
        <f ca="1">IF(G8="已包含在土地购买价格中",0,C9+C10)</f>
        <v>321652</v>
      </c>
      <c r="D8" s="214"/>
      <c r="E8" s="212"/>
      <c r="F8" s="213"/>
      <c r="G8" s="1708" t="s">
        <v>3537</v>
      </c>
    </row>
    <row r="9" spans="1:8" s="206" customFormat="1" ht="13.5" customHeight="1">
      <c r="A9" s="727" t="s">
        <v>355</v>
      </c>
      <c r="B9" s="216" t="s">
        <v>1474</v>
      </c>
      <c r="C9" s="217">
        <f ca="1">ROUND(D9*E9,0)</f>
        <v>0</v>
      </c>
      <c r="D9" s="789">
        <f ca="1">IF(B1="",'数据-汇总表'!E5,IF(INDIRECT("'数据-取费表'!c"&amp;$G$1)="住宅",INDIRECT("'数据-取费表'!k"&amp;$G$1),0))</f>
        <v>0</v>
      </c>
      <c r="E9" s="217">
        <f>'数据-取费表'!B27</f>
        <v>160</v>
      </c>
      <c r="F9" s="213"/>
      <c r="G9" s="218"/>
    </row>
    <row r="10" spans="1:8" s="206" customFormat="1" ht="13.5" customHeight="1">
      <c r="A10" s="727" t="s">
        <v>356</v>
      </c>
      <c r="B10" s="216" t="s">
        <v>1476</v>
      </c>
      <c r="C10" s="217">
        <f ca="1">ROUND(D10*E10,0)</f>
        <v>321652</v>
      </c>
      <c r="D10" s="789">
        <f ca="1">IF(B1="",'数据-汇总表'!E6,IF(INDIRECT("'数据-取费表'!c"&amp;$G$1)="住宅",INDIRECT("'数据-取费表'!s"&amp;$G$1),INDIRECT("'数据-取费表'!k"&amp;$G$1)+INDIRECT("'数据-取费表'!s"&amp;$G$1)))</f>
        <v>1608.26</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1478</v>
      </c>
      <c r="C12" s="203">
        <v>0</v>
      </c>
      <c r="D12" s="210"/>
      <c r="E12" s="220"/>
      <c r="F12" s="213">
        <v>3.0499999999999999E-2</v>
      </c>
      <c r="G12" s="211"/>
    </row>
    <row r="13" spans="1:8" s="206" customFormat="1" ht="13.5" hidden="1" customHeight="1">
      <c r="A13" s="219" t="s">
        <v>6</v>
      </c>
      <c r="B13" s="207" t="s">
        <v>1479</v>
      </c>
      <c r="C13" s="203"/>
      <c r="D13" s="210"/>
      <c r="E13" s="210"/>
      <c r="F13" s="210"/>
      <c r="G13" s="211"/>
    </row>
    <row r="14" spans="1:8" s="206" customFormat="1" ht="13.5" hidden="1" customHeight="1">
      <c r="A14" s="219" t="s">
        <v>7</v>
      </c>
      <c r="B14" s="207" t="s">
        <v>1473</v>
      </c>
      <c r="C14" s="203"/>
      <c r="D14" s="210"/>
      <c r="E14" s="210"/>
      <c r="F14" s="210"/>
      <c r="G14" s="211" t="s">
        <v>1481</v>
      </c>
    </row>
    <row r="15" spans="1:8" s="206" customFormat="1" ht="13.5" hidden="1" customHeight="1">
      <c r="A15" s="219" t="s">
        <v>8</v>
      </c>
      <c r="B15" s="207" t="s">
        <v>1482</v>
      </c>
      <c r="C15" s="212"/>
      <c r="D15" s="210"/>
      <c r="E15" s="210"/>
      <c r="F15" s="210"/>
      <c r="G15" s="211" t="s">
        <v>1483</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t="str">
        <f>IF(G19="已包含在土地取得成本中","0",ROUND(D19*E19,0))</f>
        <v>0</v>
      </c>
      <c r="D19" s="204">
        <f ca="1">D9+D10</f>
        <v>1608.26</v>
      </c>
      <c r="E19" s="203">
        <f>'数据-取费表'!B31</f>
        <v>200</v>
      </c>
      <c r="F19" s="223"/>
      <c r="G19" s="1708" t="s">
        <v>3538</v>
      </c>
    </row>
    <row r="20" spans="1:7" s="206" customFormat="1" ht="13.5" customHeight="1">
      <c r="A20" s="247" t="s">
        <v>1489</v>
      </c>
      <c r="B20" s="202" t="s">
        <v>1490</v>
      </c>
      <c r="C20" s="224">
        <f ca="1">ROUND((C5+C19)*F20,0)</f>
        <v>365440</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224">
        <f ca="1">ROUND(SUM(C23:C25),0)</f>
        <v>1123728</v>
      </c>
      <c r="D22" s="227">
        <f ca="1">C26</f>
        <v>5.9999999999999995E-4</v>
      </c>
      <c r="E22" s="228" t="s">
        <v>1494</v>
      </c>
      <c r="F22" s="229">
        <f ca="1">'数据-取费表'!B40</f>
        <v>0.03</v>
      </c>
      <c r="G22" s="226" t="str">
        <f>IF('数据-取费表'!B22&lt;=1,"单利计息","复利计息")</f>
        <v>复利计息</v>
      </c>
    </row>
    <row r="23" spans="1:7" s="206" customFormat="1" ht="13.5" customHeight="1">
      <c r="A23" s="728" t="s">
        <v>346</v>
      </c>
      <c r="B23" s="207" t="s">
        <v>1499</v>
      </c>
      <c r="C23" s="230">
        <f ca="1">ROUND(IF('数据-取费表'!B22&lt;=1,C5*F22*'数据-取费表'!B22,C5*(POWER((1+F22),'数据-取费表'!B22)-1)),0)</f>
        <v>1112765</v>
      </c>
      <c r="D23" s="230"/>
      <c r="E23" s="230"/>
      <c r="F23" s="231"/>
      <c r="G23" s="232" t="s">
        <v>1500</v>
      </c>
    </row>
    <row r="24" spans="1:7" s="206" customFormat="1" ht="13.5" customHeight="1">
      <c r="A24" s="728" t="s">
        <v>347</v>
      </c>
      <c r="B24" s="207" t="s">
        <v>1502</v>
      </c>
      <c r="C24" s="230">
        <f ca="1">ROUND(IF('数据-取费表'!B22&lt;=1,C19*F22*('数据-取费表'!B19/2+'数据-取费表'!B20),C19*(POWER((1+F22),('数据-取费表'!B19/2+'数据-取费表'!B20))-1)),0)</f>
        <v>0</v>
      </c>
      <c r="D24" s="230"/>
      <c r="E24" s="230"/>
      <c r="F24" s="231"/>
      <c r="G24" s="232" t="s">
        <v>1503</v>
      </c>
    </row>
    <row r="25" spans="1:7" s="206" customFormat="1" ht="24">
      <c r="A25" s="728" t="s">
        <v>348</v>
      </c>
      <c r="B25" s="207" t="s">
        <v>1505</v>
      </c>
      <c r="C25" s="230">
        <f ca="1">ROUND(IF('数据-取费表'!B22&lt;=1,C20*F22*'数据-取费表'!B22/2,C20*(POWER((1+F22),'数据-取费表'!B22/2)-1)),0)</f>
        <v>10963</v>
      </c>
      <c r="D25" s="230"/>
      <c r="E25" s="233"/>
      <c r="F25" s="231"/>
      <c r="G25" s="234" t="s">
        <v>1506</v>
      </c>
    </row>
    <row r="26" spans="1:7" s="206" customFormat="1">
      <c r="A26" s="728"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2795616</v>
      </c>
      <c r="D27" s="227">
        <f ca="1">C29</f>
        <v>3.0000000000000001E-3</v>
      </c>
      <c r="E27" s="228" t="s">
        <v>1494</v>
      </c>
      <c r="F27" s="238">
        <f ca="1">IF(B1="",'数据-取费表'!Q16,INDIRECT("'数据-取费表'!q"&amp;$G$1))</f>
        <v>0.15</v>
      </c>
      <c r="G27" s="239" t="s">
        <v>1511</v>
      </c>
    </row>
    <row r="28" spans="1:7" s="206" customFormat="1" ht="13.5" customHeight="1">
      <c r="A28" s="728" t="s">
        <v>346</v>
      </c>
      <c r="B28" s="240" t="s">
        <v>1512</v>
      </c>
      <c r="C28" s="241">
        <f ca="1">ROUND((C5+C19+C20)*F27,0)</f>
        <v>2795616</v>
      </c>
      <c r="D28" s="227"/>
      <c r="E28" s="228"/>
      <c r="F28" s="238"/>
      <c r="G28" s="239"/>
    </row>
    <row r="29" spans="1:7" s="206" customFormat="1" ht="13.5" customHeight="1">
      <c r="A29" s="728" t="s">
        <v>347</v>
      </c>
      <c r="B29" s="240" t="s">
        <v>1513</v>
      </c>
      <c r="C29" s="230">
        <f ca="1">ROUND(C21*F27,4)</f>
        <v>3.0000000000000001E-3</v>
      </c>
      <c r="D29" s="227"/>
      <c r="E29" s="228"/>
      <c r="F29" s="238"/>
      <c r="G29" s="239"/>
    </row>
    <row r="30" spans="1:7" s="206" customFormat="1" ht="13.5" customHeight="1">
      <c r="A30" s="247" t="s">
        <v>1514</v>
      </c>
      <c r="B30" s="202" t="s">
        <v>1515</v>
      </c>
      <c r="C30" s="227">
        <f>ROUND(F30/(1+'数据-取费表'!C42),4)</f>
        <v>5.33E-2</v>
      </c>
      <c r="D30" s="228" t="s">
        <v>1494</v>
      </c>
      <c r="E30" s="233"/>
      <c r="F30" s="229">
        <f>'数据-取费表'!B41</f>
        <v>5.6000000000000001E-2</v>
      </c>
      <c r="G30" s="226" t="s">
        <v>1516</v>
      </c>
    </row>
    <row r="31" spans="1:7" ht="16.5" customHeight="1">
      <c r="A31" s="201">
        <v>1</v>
      </c>
      <c r="B31" s="202" t="s">
        <v>1517</v>
      </c>
      <c r="C31" s="203">
        <f ca="1">ROUND((C5+C19+C20+C22+C27)/(1-C21-D22-D27-C30),0)</f>
        <v>24435902</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8065424</v>
      </c>
      <c r="D33" s="224"/>
      <c r="E33" s="204"/>
      <c r="F33" s="233"/>
      <c r="G33" s="226"/>
    </row>
    <row r="34" spans="1:7" s="250" customFormat="1" ht="13.5" customHeight="1">
      <c r="A34" s="728" t="s">
        <v>346</v>
      </c>
      <c r="B34" s="207" t="s">
        <v>1521</v>
      </c>
      <c r="C34" s="212">
        <f ca="1">ROUND(IF(B1="",SUMPRODUCT('数据-取费表'!K6:K14,'数据-取费表'!L6:L14),INDIRECT("'数据-取费表'!l"&amp;$G$1)*INDIRECT("'数据-取费表'!k"&amp;$G$1)+'数据-取费表'!L14*INDIRECT("'数据-取费表'!S"&amp;$G$1)),0)</f>
        <v>7237170</v>
      </c>
      <c r="D34" s="209"/>
      <c r="E34" s="212"/>
      <c r="F34" s="249"/>
      <c r="G34" s="211"/>
    </row>
    <row r="35" spans="1:7" ht="13.5" customHeight="1">
      <c r="A35" s="728" t="s">
        <v>351</v>
      </c>
      <c r="B35" s="207" t="s">
        <v>1523</v>
      </c>
      <c r="C35" s="212">
        <f ca="1">ROUND(C34*F35,0)</f>
        <v>361859</v>
      </c>
      <c r="D35" s="212"/>
      <c r="E35" s="212"/>
      <c r="F35" s="251">
        <f>'数据-取费表'!B33</f>
        <v>0.05</v>
      </c>
      <c r="G35" s="211" t="s">
        <v>1524</v>
      </c>
    </row>
    <row r="36" spans="1:7" ht="24">
      <c r="A36" s="728" t="s">
        <v>352</v>
      </c>
      <c r="B36" s="207" t="s">
        <v>1525</v>
      </c>
      <c r="C36" s="212">
        <f ca="1">ROUND(IF(B1="",SUM('数据-取费表'!AP6:AP13)*F36,IF(INDIRECT("'数据-取费表'!c"&amp;$G$1)="住宅",INDIRECT("'数据-取费表'!k"&amp;$G$1)*INDIRECT("'数据-取费表'!l"&amp;$G$1)*F36,0)),0)</f>
        <v>0</v>
      </c>
      <c r="D36" s="212"/>
      <c r="E36" s="212"/>
      <c r="F36" s="251">
        <f>'数据-取费表'!B34</f>
        <v>0</v>
      </c>
      <c r="G36" s="252" t="s">
        <v>1526</v>
      </c>
    </row>
    <row r="37" spans="1:7" s="250" customFormat="1" ht="13.5" customHeight="1">
      <c r="A37" s="728" t="s">
        <v>353</v>
      </c>
      <c r="B37" s="207" t="s">
        <v>1527</v>
      </c>
      <c r="C37" s="241">
        <f ca="1">ROUND(E37*D37,0)</f>
        <v>321652</v>
      </c>
      <c r="D37" s="209">
        <f ca="1">D19</f>
        <v>1608.26</v>
      </c>
      <c r="E37" s="241">
        <f>'数据-取费表'!B35</f>
        <v>200</v>
      </c>
      <c r="F37" s="251"/>
      <c r="G37" s="253"/>
    </row>
    <row r="38" spans="1:7" ht="13.5" customHeight="1">
      <c r="A38" s="728" t="s">
        <v>354</v>
      </c>
      <c r="B38" s="207" t="s">
        <v>1529</v>
      </c>
      <c r="C38" s="212">
        <f ca="1">ROUND(C34*F38,0)</f>
        <v>144743</v>
      </c>
      <c r="D38" s="212"/>
      <c r="E38" s="212"/>
      <c r="F38" s="251">
        <f>'数据-取费表'!B36</f>
        <v>0.02</v>
      </c>
      <c r="G38" s="211" t="s">
        <v>1524</v>
      </c>
    </row>
    <row r="39" spans="1:7" s="206" customFormat="1" ht="13.5" customHeight="1">
      <c r="A39" s="247" t="s">
        <v>1487</v>
      </c>
      <c r="B39" s="202" t="s">
        <v>1490</v>
      </c>
      <c r="C39" s="224">
        <f ca="1">ROUND(C33*F20,0)</f>
        <v>161308</v>
      </c>
      <c r="D39" s="224"/>
      <c r="E39" s="224"/>
      <c r="F39" s="225">
        <f>F20</f>
        <v>0.02</v>
      </c>
      <c r="G39" s="226" t="s">
        <v>1532</v>
      </c>
    </row>
    <row r="40" spans="1:7" s="206" customFormat="1" ht="13.5" customHeight="1">
      <c r="A40" s="247" t="s">
        <v>1489</v>
      </c>
      <c r="B40" s="202" t="s">
        <v>1493</v>
      </c>
      <c r="C40" s="227">
        <f>F21</f>
        <v>0.02</v>
      </c>
      <c r="D40" s="228" t="s">
        <v>1535</v>
      </c>
      <c r="E40" s="224"/>
      <c r="F40" s="225">
        <f>F21</f>
        <v>0.02</v>
      </c>
      <c r="G40" s="226" t="s">
        <v>1536</v>
      </c>
    </row>
    <row r="41" spans="1:7" s="206" customFormat="1" ht="13.5" customHeight="1">
      <c r="A41" s="247" t="s">
        <v>1492</v>
      </c>
      <c r="B41" s="202" t="s">
        <v>1497</v>
      </c>
      <c r="C41" s="224">
        <f ca="1">ROUND(SUM(C42:C43),0)</f>
        <v>246802</v>
      </c>
      <c r="D41" s="227">
        <f ca="1">C44</f>
        <v>5.9999999999999995E-4</v>
      </c>
      <c r="E41" s="228" t="s">
        <v>1535</v>
      </c>
      <c r="F41" s="229">
        <f ca="1">F22</f>
        <v>0.03</v>
      </c>
      <c r="G41" s="226" t="str">
        <f>IF('数据-取费表'!B22&lt;=1,"单利计息","复利计息")</f>
        <v>复利计息</v>
      </c>
    </row>
    <row r="42" spans="1:7" ht="13.5" customHeight="1">
      <c r="A42" s="728" t="s">
        <v>346</v>
      </c>
      <c r="B42" s="207" t="s">
        <v>1499</v>
      </c>
      <c r="C42" s="230">
        <f ca="1">ROUND(IF('数据-取费表'!B22&lt;=1,C33*F22*'数据-取费表'!B20/2,C33*(POWER((1+F22),'数据-取费表'!B20/2)-1)),0)</f>
        <v>241963</v>
      </c>
      <c r="D42" s="230"/>
      <c r="E42" s="230"/>
      <c r="F42" s="231"/>
      <c r="G42" s="3439" t="s">
        <v>1587</v>
      </c>
    </row>
    <row r="43" spans="1:7" ht="13.5" customHeight="1">
      <c r="A43" s="728" t="s">
        <v>347</v>
      </c>
      <c r="B43" s="207" t="s">
        <v>1502</v>
      </c>
      <c r="C43" s="230">
        <f ca="1">ROUND(IF('数据-取费表'!B22&lt;=1,C39*F22*'数据-取费表'!B20/2,C39*(POWER((1+F22),'数据-取费表'!B20/2)-1)),0)</f>
        <v>4839</v>
      </c>
      <c r="D43" s="230"/>
      <c r="E43" s="230"/>
      <c r="F43" s="231"/>
      <c r="G43" s="3440"/>
    </row>
    <row r="44" spans="1:7" ht="13.5" customHeight="1">
      <c r="A44" s="728" t="s">
        <v>348</v>
      </c>
      <c r="B44" s="207" t="s">
        <v>1505</v>
      </c>
      <c r="C44" s="230">
        <f ca="1">ROUND(IF('数据-取费表'!B22&lt;=1,C40*F22*'数据-取费表'!B20/2,C40*(POWER((1+F22),'数据-取费表'!B20/2)-1)),4)</f>
        <v>5.9999999999999995E-4</v>
      </c>
      <c r="D44" s="230"/>
      <c r="E44" s="230"/>
      <c r="F44" s="231"/>
      <c r="G44" s="3441"/>
    </row>
    <row r="45" spans="1:7" s="206" customFormat="1" ht="13.5" customHeight="1">
      <c r="A45" s="247" t="s">
        <v>1496</v>
      </c>
      <c r="B45" s="236" t="s">
        <v>1509</v>
      </c>
      <c r="C45" s="237">
        <f ca="1">C46</f>
        <v>1234010</v>
      </c>
      <c r="D45" s="227">
        <f ca="1">C47</f>
        <v>3.0000000000000001E-3</v>
      </c>
      <c r="E45" s="228" t="s">
        <v>1535</v>
      </c>
      <c r="F45" s="238">
        <f ca="1">F27</f>
        <v>0.15</v>
      </c>
      <c r="G45" s="239" t="s">
        <v>1544</v>
      </c>
    </row>
    <row r="46" spans="1:7" s="206" customFormat="1" ht="13.5" customHeight="1">
      <c r="A46" s="728" t="s">
        <v>346</v>
      </c>
      <c r="B46" s="240" t="s">
        <v>1545</v>
      </c>
      <c r="C46" s="241">
        <f ca="1">ROUND((C33+C39)*F27,0)</f>
        <v>1234010</v>
      </c>
      <c r="D46" s="255"/>
      <c r="E46" s="228"/>
      <c r="F46" s="238"/>
      <c r="G46" s="239"/>
    </row>
    <row r="47" spans="1:7" s="206" customFormat="1" ht="13.5" customHeight="1">
      <c r="A47" s="728" t="s">
        <v>347</v>
      </c>
      <c r="B47" s="240" t="s">
        <v>1546</v>
      </c>
      <c r="C47" s="230">
        <f ca="1">ROUND(C40*F27,4)</f>
        <v>3.0000000000000001E-3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10516243</v>
      </c>
      <c r="D49" s="224"/>
      <c r="E49" s="224"/>
      <c r="F49" s="256"/>
      <c r="G49" s="226" t="s">
        <v>1550</v>
      </c>
    </row>
    <row r="50" spans="1:7" s="250" customFormat="1">
      <c r="A50" s="247" t="s">
        <v>1551</v>
      </c>
      <c r="B50" s="202" t="s">
        <v>1552</v>
      </c>
      <c r="C50" s="224"/>
      <c r="D50" s="224"/>
      <c r="E50" s="224"/>
      <c r="F50" s="256">
        <f>IF('数据-取费表'!B24=0,'数据-取费表'!N16,1)</f>
        <v>0.77</v>
      </c>
      <c r="G50" s="239"/>
    </row>
    <row r="51" spans="1:7" ht="16.5" customHeight="1">
      <c r="A51" s="247" t="s">
        <v>1554</v>
      </c>
      <c r="B51" s="202" t="s">
        <v>1589</v>
      </c>
      <c r="C51" s="224">
        <f ca="1">ROUND(C49*F50,0)</f>
        <v>8097507</v>
      </c>
      <c r="D51" s="224"/>
      <c r="E51" s="224"/>
      <c r="F51" s="256"/>
      <c r="G51" s="226" t="s">
        <v>1556</v>
      </c>
    </row>
    <row r="52" spans="1:7" s="200" customFormat="1" ht="16.5" thickBot="1">
      <c r="A52" s="257" t="s">
        <v>1557</v>
      </c>
      <c r="B52" s="258"/>
      <c r="C52" s="259">
        <f ca="1">C31+C51</f>
        <v>32533409</v>
      </c>
      <c r="D52" s="258"/>
      <c r="E52" s="258"/>
      <c r="F52" s="258"/>
      <c r="G52" s="260"/>
    </row>
    <row r="55" spans="1:7" ht="15">
      <c r="B55" s="262" t="s">
        <v>1558</v>
      </c>
      <c r="C55" s="263"/>
    </row>
    <row r="56" spans="1:7">
      <c r="B56" s="265" t="s">
        <v>798</v>
      </c>
      <c r="C56" s="267">
        <f ca="1">1-C57</f>
        <v>0.751</v>
      </c>
    </row>
    <row r="57" spans="1:7">
      <c r="B57" s="265" t="s">
        <v>799</v>
      </c>
      <c r="C57" s="266">
        <f ca="1">ROUND(C51/C52,3)</f>
        <v>0.249</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2A96CD25-D82F-4727-A502-AF0AED720857}">
      <formula1>"需扣减承租人权益,——"</formula1>
    </dataValidation>
    <dataValidation type="list" allowBlank="1" showInputMessage="1" showErrorMessage="1" sqref="G2" xr:uid="{3D220062-D986-4CEF-A536-885C5C8CF236}">
      <formula1>估价方法</formula1>
    </dataValidation>
    <dataValidation type="list" allowBlank="1" showInputMessage="1" showErrorMessage="1" sqref="B1" xr:uid="{811FE3A0-156E-49CB-919E-AF6260AD91A0}">
      <formula1>项目类型</formula1>
    </dataValidation>
    <dataValidation type="list" allowBlank="1" showInputMessage="1" showErrorMessage="1" sqref="G19" xr:uid="{7EE555CC-7C43-4BAD-9934-30929EFB0508}">
      <formula1>"已包含在土地取得成本中,未包含在土地取得成本中"</formula1>
    </dataValidation>
    <dataValidation type="list" allowBlank="1" showInputMessage="1" showErrorMessage="1" sqref="G8" xr:uid="{3C88EA06-42E6-45F6-AA14-0D163890C50C}">
      <formula1>"已包含在土地购买价格中,未包含在土地购买价格中"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4D8CE-ABBC-450C-84A9-D47458FEE4F0}">
  <sheetPr>
    <tabColor rgb="FF92D050"/>
  </sheetPr>
  <dimension ref="A1:AK83"/>
  <sheetViews>
    <sheetView view="pageBreakPreview" topLeftCell="A28" zoomScaleNormal="70" zoomScaleSheetLayoutView="10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3"/>
      <c r="C1" s="1281">
        <v>303</v>
      </c>
      <c r="D1" s="1265" t="s">
        <v>43</v>
      </c>
      <c r="E1" s="1266" t="s">
        <v>674</v>
      </c>
      <c r="F1" s="993">
        <f ca="1">J53</f>
        <v>24</v>
      </c>
      <c r="G1" s="1280">
        <f>MATCH(C1,'数据-取费表'!A6:A16,0)+5</f>
        <v>9</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7" t="s">
        <v>800</v>
      </c>
      <c r="B2" s="3118">
        <f ca="1">ROUND(D2/10000,4)</f>
        <v>3201.9983999999999</v>
      </c>
      <c r="C2" s="1283" t="s">
        <v>801</v>
      </c>
      <c r="D2" s="1369">
        <f ca="1">C40+J29+L46</f>
        <v>32019984</v>
      </c>
      <c r="E2" s="1289" t="s">
        <v>876</v>
      </c>
      <c r="F2" s="1290"/>
      <c r="G2" s="2473"/>
      <c r="H2" s="2463"/>
      <c r="I2" s="2463"/>
      <c r="J2" s="2463"/>
      <c r="K2" s="2464"/>
      <c r="L2" s="2463"/>
      <c r="M2" s="2463"/>
    </row>
    <row r="3" spans="1:37" ht="18" customHeight="1" thickBot="1">
      <c r="A3" s="1291" t="s">
        <v>802</v>
      </c>
      <c r="B3" s="1292">
        <f ca="1">IF(ISERROR(D2/F43),0,ROUND(D2/F43,0))</f>
        <v>19910</v>
      </c>
      <c r="C3" s="1283" t="s">
        <v>803</v>
      </c>
      <c r="D3" s="1283"/>
      <c r="E3" s="1289"/>
      <c r="F3" s="1290"/>
      <c r="G3" s="2473"/>
      <c r="H3" s="649" t="s">
        <v>872</v>
      </c>
      <c r="I3" s="1284"/>
      <c r="J3" s="1284"/>
      <c r="K3" s="1285"/>
      <c r="L3" s="1284"/>
      <c r="M3" s="1284"/>
    </row>
    <row r="4" spans="1:37" ht="18" customHeight="1">
      <c r="A4" s="287" t="s">
        <v>683</v>
      </c>
      <c r="B4" s="288" t="s">
        <v>684</v>
      </c>
      <c r="C4" s="288" t="s">
        <v>685</v>
      </c>
      <c r="D4" s="288" t="s">
        <v>686</v>
      </c>
      <c r="E4" s="289" t="s">
        <v>687</v>
      </c>
      <c r="F4" s="290"/>
      <c r="G4" s="1286"/>
      <c r="H4" s="287" t="s">
        <v>683</v>
      </c>
      <c r="I4" s="288" t="s">
        <v>684</v>
      </c>
      <c r="J4" s="288" t="s">
        <v>685</v>
      </c>
      <c r="K4" s="288" t="s">
        <v>686</v>
      </c>
      <c r="L4" s="289" t="s">
        <v>687</v>
      </c>
      <c r="M4" s="290"/>
    </row>
    <row r="5" spans="1:37" ht="18" customHeight="1">
      <c r="A5" s="291">
        <v>1</v>
      </c>
      <c r="B5" s="292" t="s">
        <v>688</v>
      </c>
      <c r="C5" s="1001">
        <f ca="1">C6+C10+C12</f>
        <v>2433280</v>
      </c>
      <c r="D5" s="1267" t="s">
        <v>689</v>
      </c>
      <c r="E5" s="1002"/>
      <c r="F5" s="1003"/>
      <c r="G5" s="1286"/>
      <c r="H5" s="291">
        <v>1</v>
      </c>
      <c r="I5" s="292" t="s">
        <v>688</v>
      </c>
      <c r="J5" s="1001">
        <f ca="1">J6+J10+J12</f>
        <v>0</v>
      </c>
      <c r="K5" s="1267" t="s">
        <v>689</v>
      </c>
      <c r="L5" s="1002"/>
      <c r="M5" s="1003"/>
    </row>
    <row r="6" spans="1:37" ht="18" customHeight="1">
      <c r="A6" s="1000" t="s">
        <v>398</v>
      </c>
      <c r="B6" s="3444" t="s">
        <v>690</v>
      </c>
      <c r="C6" s="1005">
        <f ca="1">ROUND(F6*F8*F7*(1-F9),0)</f>
        <v>2430242</v>
      </c>
      <c r="D6" s="147" t="s">
        <v>2099</v>
      </c>
      <c r="E6" s="294" t="s">
        <v>692</v>
      </c>
      <c r="F6" s="295">
        <f ca="1">INDIRECT("'数据-取费表'!u"&amp;$G$1)</f>
        <v>4.5999999999999996</v>
      </c>
      <c r="G6" s="1286"/>
      <c r="H6" s="1000" t="s">
        <v>398</v>
      </c>
      <c r="I6" s="3444" t="s">
        <v>690</v>
      </c>
      <c r="J6" s="293">
        <f ca="1">ROUND(M6*M8*M7*(1-M9),0)</f>
        <v>0</v>
      </c>
      <c r="K6" s="1278" t="s">
        <v>2100</v>
      </c>
      <c r="L6" s="294" t="s">
        <v>692</v>
      </c>
      <c r="M6" s="295">
        <f ca="1">INDIRECT("'数据-取费表'!z"&amp;$G$1)</f>
        <v>0</v>
      </c>
    </row>
    <row r="7" spans="1:37" ht="18" customHeight="1">
      <c r="A7" s="1004"/>
      <c r="B7" s="3445"/>
      <c r="C7" s="1006"/>
      <c r="D7" s="299"/>
      <c r="E7" s="1007" t="s">
        <v>693</v>
      </c>
      <c r="F7" s="295">
        <f ca="1">IF(INDIRECT("'数据-取费表'!ah"&amp;$G$1)="",INDIRECT("'数据-取费表'!k"&amp;$G$1),INDIRECT("'数据-取费表'!ah"&amp;$G$1))</f>
        <v>1608.26</v>
      </c>
      <c r="G7" s="1286"/>
      <c r="H7" s="296"/>
      <c r="I7" s="3445"/>
      <c r="J7" s="298"/>
      <c r="K7" s="299"/>
      <c r="L7" s="294" t="s">
        <v>693</v>
      </c>
      <c r="M7" s="295">
        <f ca="1">F7</f>
        <v>1608.26</v>
      </c>
    </row>
    <row r="8" spans="1:37" ht="18" customHeight="1">
      <c r="A8" s="296"/>
      <c r="B8" s="3445"/>
      <c r="C8" s="298"/>
      <c r="D8" s="299"/>
      <c r="E8" s="294" t="s">
        <v>694</v>
      </c>
      <c r="F8" s="295">
        <f ca="1">INDIRECT("'数据-取费表'!ai"&amp;$G$1)</f>
        <v>365</v>
      </c>
      <c r="G8" s="1286"/>
      <c r="H8" s="296"/>
      <c r="I8" s="3445"/>
      <c r="J8" s="298"/>
      <c r="K8" s="299"/>
      <c r="L8" s="294" t="s">
        <v>694</v>
      </c>
      <c r="M8" s="295">
        <f ca="1">INDIRECT("'数据-取费表'!ai"&amp;$G$1)</f>
        <v>365</v>
      </c>
    </row>
    <row r="9" spans="1:37" ht="18" customHeight="1">
      <c r="A9" s="296"/>
      <c r="B9" s="3446"/>
      <c r="C9" s="298"/>
      <c r="D9" s="299"/>
      <c r="E9" s="294" t="s">
        <v>695</v>
      </c>
      <c r="F9" s="304">
        <f ca="1">INDIRECT("'数据-取费表'!w"&amp;$G$1)</f>
        <v>0.1</v>
      </c>
      <c r="G9" s="1286"/>
      <c r="H9" s="296"/>
      <c r="I9" s="3446"/>
      <c r="J9" s="298"/>
      <c r="K9" s="299"/>
      <c r="L9" s="305" t="s">
        <v>695</v>
      </c>
      <c r="M9" s="306">
        <f ca="1">INDIRECT("'数据-取费表'!ab"&amp;$G$1)</f>
        <v>0</v>
      </c>
    </row>
    <row r="10" spans="1:37" ht="18" customHeight="1">
      <c r="A10" s="1000" t="s">
        <v>402</v>
      </c>
      <c r="B10" s="1268" t="s">
        <v>696</v>
      </c>
      <c r="C10" s="308">
        <f ca="1">ROUND(IF(F10="押一",C6/12*F11,IF(F10="押二",C6/12*2*F11,IF(F10="押三",C6/12*3*F11,C11*F11))),0)</f>
        <v>3038</v>
      </c>
      <c r="D10" s="150" t="s">
        <v>2109</v>
      </c>
      <c r="E10" s="305" t="s">
        <v>697</v>
      </c>
      <c r="F10" s="1047" t="s">
        <v>3534</v>
      </c>
      <c r="G10" s="1286"/>
      <c r="H10" s="1000" t="s">
        <v>402</v>
      </c>
      <c r="I10" s="1268" t="s">
        <v>696</v>
      </c>
      <c r="J10" s="293">
        <f ca="1">ROUND(IF(M10="押一",J6/12*M11,IF(M10="押二",J6/12*2*M11,IF(M10="押三",J6/12*3*M11,J11*M11))),0)</f>
        <v>0</v>
      </c>
      <c r="K10" s="1279" t="s">
        <v>2111</v>
      </c>
      <c r="L10" s="305" t="s">
        <v>697</v>
      </c>
      <c r="M10" s="1047"/>
    </row>
    <row r="11" spans="1:37" ht="18" customHeight="1">
      <c r="A11" s="300"/>
      <c r="B11" s="1269" t="s">
        <v>886</v>
      </c>
      <c r="C11" s="899"/>
      <c r="D11" s="299"/>
      <c r="E11" s="305" t="s">
        <v>698</v>
      </c>
      <c r="F11" s="306">
        <f ca="1">'数据-取费表'!B39</f>
        <v>1.4999999999999999E-2</v>
      </c>
      <c r="G11" s="1286"/>
      <c r="H11" s="1008"/>
      <c r="I11" s="1269" t="s">
        <v>887</v>
      </c>
      <c r="J11" s="899"/>
      <c r="K11" s="646"/>
      <c r="L11" s="305" t="s">
        <v>698</v>
      </c>
      <c r="M11" s="803">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f ca="1">ROUND(C29*F13,0)</f>
        <v>8097507</v>
      </c>
      <c r="D13" s="1012" t="s">
        <v>701</v>
      </c>
      <c r="E13" s="1012" t="s">
        <v>702</v>
      </c>
      <c r="F13" s="1013">
        <f ca="1">INDIRECT("'数据-取费表'!y"&amp;$G$1)</f>
        <v>0.77</v>
      </c>
      <c r="G13" s="1286"/>
      <c r="H13" s="1010">
        <v>2</v>
      </c>
      <c r="I13" s="1011" t="s">
        <v>700</v>
      </c>
      <c r="J13" s="999">
        <f ca="1">ROUND(J14*J15,0)</f>
        <v>0</v>
      </c>
      <c r="K13" s="1018" t="s">
        <v>701</v>
      </c>
      <c r="L13" s="1293"/>
      <c r="M13" s="1294"/>
    </row>
    <row r="14" spans="1:37" ht="18" customHeight="1">
      <c r="A14" s="922" t="s">
        <v>397</v>
      </c>
      <c r="B14" s="294" t="s">
        <v>703</v>
      </c>
      <c r="C14" s="310">
        <f ca="1">ROUND(INDIRECT("'数据-取费表'!l"&amp;$G$1)*F43+'数据-取费表'!L14*INDIRECT("'数据-取费表'!S"&amp;$G$1),0)</f>
        <v>7237170</v>
      </c>
      <c r="D14" s="1251" t="s">
        <v>704</v>
      </c>
      <c r="E14" s="1249"/>
      <c r="F14" s="311"/>
      <c r="G14" s="1286"/>
      <c r="H14" s="922" t="s">
        <v>398</v>
      </c>
      <c r="I14" s="294" t="s">
        <v>705</v>
      </c>
      <c r="J14" s="21">
        <f ca="1">C29</f>
        <v>10516243</v>
      </c>
      <c r="K14" s="12"/>
      <c r="L14" s="753"/>
      <c r="M14" s="754"/>
    </row>
    <row r="15" spans="1:37" s="1298" customFormat="1" ht="18" customHeight="1" thickBot="1">
      <c r="A15" s="922" t="s">
        <v>399</v>
      </c>
      <c r="B15" s="294" t="s">
        <v>706</v>
      </c>
      <c r="C15" s="21">
        <f ca="1">ROUND(C14*F15,0)</f>
        <v>361859</v>
      </c>
      <c r="D15" s="312" t="s">
        <v>707</v>
      </c>
      <c r="E15" s="312" t="s">
        <v>708</v>
      </c>
      <c r="F15" s="313">
        <f>'数据-取费表'!B33</f>
        <v>0.05</v>
      </c>
      <c r="G15" s="1297"/>
      <c r="H15" s="1020" t="s">
        <v>402</v>
      </c>
      <c r="I15" s="1021" t="s">
        <v>702</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676</v>
      </c>
      <c r="B16" s="294" t="s">
        <v>709</v>
      </c>
      <c r="C16" s="21">
        <f ca="1">ROUND(INDIRECT("'数据-取费表'!l"&amp;$G$1)*F43*F16,0)</f>
        <v>0</v>
      </c>
      <c r="D16" s="294" t="s">
        <v>707</v>
      </c>
      <c r="E16" s="294" t="s">
        <v>708</v>
      </c>
      <c r="F16" s="314">
        <f ca="1">IF(INDIRECT("'数据-取费表'!c"&amp;$G$1)="住宅",'数据-取费表'!B34,0)</f>
        <v>0</v>
      </c>
      <c r="G16" s="1286"/>
      <c r="H16" s="1010" t="s">
        <v>393</v>
      </c>
      <c r="I16" s="1011" t="s">
        <v>710</v>
      </c>
      <c r="J16" s="302">
        <f ca="1">ROUND(J17+J22+J23+J24,0)</f>
        <v>21032</v>
      </c>
      <c r="K16" s="1018" t="s">
        <v>711</v>
      </c>
      <c r="L16" s="1019"/>
      <c r="M16" s="1003"/>
    </row>
    <row r="17" spans="1:37" s="1298" customFormat="1" ht="18" customHeight="1">
      <c r="A17" s="922" t="s">
        <v>677</v>
      </c>
      <c r="B17" s="294" t="s">
        <v>712</v>
      </c>
      <c r="C17" s="21">
        <f ca="1">ROUND(F17*(F43+INDIRECT("'数据-取费表'!S"&amp;$G$1)),0)</f>
        <v>321652</v>
      </c>
      <c r="D17" s="294" t="s">
        <v>713</v>
      </c>
      <c r="E17" s="294" t="s">
        <v>714</v>
      </c>
      <c r="F17" s="23">
        <f>'数据-取费表'!B35</f>
        <v>200</v>
      </c>
      <c r="G17" s="1297"/>
      <c r="H17" s="922" t="s">
        <v>398</v>
      </c>
      <c r="I17" s="294" t="s">
        <v>715</v>
      </c>
      <c r="J17" s="2134">
        <f ca="1">ROUND(IF(AND(项目基本情况!B11="自然人",项目基本情况!B10="北京市"),J6*M17/(1+'数据-取费表'!C42),J18+J19+J20),0)</f>
        <v>0</v>
      </c>
      <c r="K17" s="1251" t="s">
        <v>716</v>
      </c>
      <c r="L17" s="1250" t="s">
        <v>717</v>
      </c>
      <c r="M17" s="2133"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678</v>
      </c>
      <c r="B18" s="294" t="s">
        <v>718</v>
      </c>
      <c r="C18" s="21">
        <f ca="1">ROUND(C14*F18,0)</f>
        <v>144743</v>
      </c>
      <c r="D18" s="294" t="s">
        <v>707</v>
      </c>
      <c r="E18" s="294" t="s">
        <v>708</v>
      </c>
      <c r="F18" s="314">
        <f>'数据-取费表'!B36</f>
        <v>0.02</v>
      </c>
      <c r="G18" s="1297"/>
      <c r="H18" s="922" t="s">
        <v>397</v>
      </c>
      <c r="I18" s="294" t="s">
        <v>719</v>
      </c>
      <c r="J18" s="21">
        <f ca="1">ROUND(J6*M18/(1+'数据-取费表'!C42),0)</f>
        <v>0</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4" t="s">
        <v>721</v>
      </c>
      <c r="C19" s="21">
        <f ca="1">SUM(C14:C18)</f>
        <v>8065424</v>
      </c>
      <c r="D19" s="123" t="s">
        <v>722</v>
      </c>
      <c r="E19" s="1263"/>
      <c r="F19" s="23"/>
      <c r="G19" s="1286"/>
      <c r="H19" s="922" t="s">
        <v>399</v>
      </c>
      <c r="I19" s="294" t="s">
        <v>723</v>
      </c>
      <c r="J19" s="21">
        <f ca="1">IF(K19="按租金收入计税",ROUND(J6*M19/(1+'数据-取费表'!C42),0),ROUND(C29*M19*0.7,0))</f>
        <v>0</v>
      </c>
      <c r="K19" s="1272" t="s">
        <v>3319</v>
      </c>
      <c r="L19" s="294" t="s">
        <v>708</v>
      </c>
      <c r="M19" s="314">
        <f>IF(K19="按租金收入计税",'数据-取费表'!B51,'数据-取费表'!B50)</f>
        <v>0.12</v>
      </c>
    </row>
    <row r="20" spans="1:37" s="1298" customFormat="1" ht="18" customHeight="1">
      <c r="A20" s="922" t="s">
        <v>402</v>
      </c>
      <c r="B20" s="294" t="s">
        <v>724</v>
      </c>
      <c r="C20" s="21">
        <f ca="1">ROUND(C19*F20,0)</f>
        <v>161308</v>
      </c>
      <c r="D20" s="315" t="s">
        <v>725</v>
      </c>
      <c r="E20" s="294" t="s">
        <v>708</v>
      </c>
      <c r="F20" s="314">
        <f>'数据-取费表'!B37</f>
        <v>0.02</v>
      </c>
      <c r="G20" s="1297"/>
      <c r="H20" s="922" t="s">
        <v>676</v>
      </c>
      <c r="I20" s="147" t="s">
        <v>726</v>
      </c>
      <c r="J20" s="22">
        <f ca="1">ROUND(M20*M21,0)</f>
        <v>0</v>
      </c>
      <c r="K20" s="316" t="s">
        <v>727</v>
      </c>
      <c r="L20" s="294" t="s">
        <v>728</v>
      </c>
      <c r="M20" s="317">
        <f>'数据-取费表'!B52</f>
        <v>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4" t="s">
        <v>729</v>
      </c>
      <c r="C21" s="21" t="s">
        <v>0</v>
      </c>
      <c r="D21" s="315" t="s">
        <v>730</v>
      </c>
      <c r="E21" s="294" t="s">
        <v>731</v>
      </c>
      <c r="F21" s="314">
        <f>'数据-取费表'!B38</f>
        <v>0.02</v>
      </c>
      <c r="G21" s="1297"/>
      <c r="H21" s="318"/>
      <c r="I21" s="303"/>
      <c r="J21" s="26"/>
      <c r="K21" s="319"/>
      <c r="L21" s="294" t="s">
        <v>732</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679</v>
      </c>
      <c r="B22" s="294" t="s">
        <v>733</v>
      </c>
      <c r="C22" s="21"/>
      <c r="D22" s="123" t="str">
        <f>IF(F23&lt;=1,"单利计息。","复利计息。")&amp;"建造成本、管理费用、销售费用产生的利息。"</f>
        <v>复利计息。建造成本、管理费用、销售费用产生的利息。</v>
      </c>
      <c r="E22" s="1263"/>
      <c r="F22" s="23"/>
      <c r="G22" s="1286"/>
      <c r="H22" s="922" t="s">
        <v>402</v>
      </c>
      <c r="I22" s="294" t="s">
        <v>734</v>
      </c>
      <c r="J22" s="21">
        <f ca="1">ROUND(J14*M22,0)</f>
        <v>21032</v>
      </c>
      <c r="K22" s="1250" t="s">
        <v>735</v>
      </c>
      <c r="L22" s="294" t="s">
        <v>708</v>
      </c>
      <c r="M22" s="320">
        <f ca="1">INDIRECT("'数据-取费表'!Ak"&amp;$G$1)</f>
        <v>2E-3</v>
      </c>
    </row>
    <row r="23" spans="1:37" s="1298" customFormat="1" ht="18" customHeight="1">
      <c r="A23" s="922" t="s">
        <v>397</v>
      </c>
      <c r="B23" s="294" t="s">
        <v>736</v>
      </c>
      <c r="C23" s="21">
        <f ca="1">IF('数据-取费表'!B22&lt;=1,ROUND(C19*F24*F23/2,0)+ROUND(C20*F24*F23/2,0),ROUND(C19*(POWER((1+F24),F23/2)-1),0)+ROUND(C20*(POWER((1+F24),F23/2)-1),0))</f>
        <v>246802</v>
      </c>
      <c r="D23" s="138" t="str">
        <f>IF(F23&lt;=1,"(建造成本+管理费用)×利率×(建设周期÷2)","(建造成本+管理费用)×((1+利率)^(建设周期÷2)-1)")</f>
        <v>(建造成本+管理费用)×((1+利率)^(建设周期÷2)-1)</v>
      </c>
      <c r="E23" s="294" t="s">
        <v>737</v>
      </c>
      <c r="F23" s="317">
        <f>'数据-取费表'!B20</f>
        <v>2</v>
      </c>
      <c r="G23" s="1297"/>
      <c r="H23" s="922" t="s">
        <v>437</v>
      </c>
      <c r="I23" s="294" t="s">
        <v>738</v>
      </c>
      <c r="J23" s="21">
        <f ca="1">ROUND(J13*M23,0)</f>
        <v>0</v>
      </c>
      <c r="K23" s="1250" t="s">
        <v>739</v>
      </c>
      <c r="L23" s="294" t="s">
        <v>708</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399</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0.03</v>
      </c>
      <c r="G24" s="1297"/>
      <c r="H24" s="1020" t="s">
        <v>679</v>
      </c>
      <c r="I24" s="1021" t="s">
        <v>724</v>
      </c>
      <c r="J24" s="1022">
        <f ca="1">ROUND(J5*M24,0)</f>
        <v>0</v>
      </c>
      <c r="K24" s="1023" t="s">
        <v>744</v>
      </c>
      <c r="L24" s="1021" t="s">
        <v>708</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2" t="s">
        <v>745</v>
      </c>
      <c r="B25" s="294" t="s">
        <v>746</v>
      </c>
      <c r="C25" s="21"/>
      <c r="D25" s="123" t="s">
        <v>747</v>
      </c>
      <c r="E25" s="1263"/>
      <c r="F25" s="23"/>
      <c r="G25" s="1286"/>
      <c r="H25" s="1010" t="s">
        <v>394</v>
      </c>
      <c r="I25" s="1025" t="s">
        <v>748</v>
      </c>
      <c r="J25" s="302">
        <f ca="1">J5-J16</f>
        <v>-21032</v>
      </c>
      <c r="K25" s="1026" t="s">
        <v>749</v>
      </c>
      <c r="L25" s="1027"/>
      <c r="M25" s="1028"/>
    </row>
    <row r="26" spans="1:37" ht="18" customHeight="1">
      <c r="A26" s="922" t="s">
        <v>397</v>
      </c>
      <c r="B26" s="294" t="s">
        <v>750</v>
      </c>
      <c r="C26" s="21">
        <f ca="1">ROUND((C19+C20)*F26,0)</f>
        <v>1234010</v>
      </c>
      <c r="D26" s="315" t="s">
        <v>751</v>
      </c>
      <c r="E26" s="305" t="s">
        <v>752</v>
      </c>
      <c r="F26" s="304">
        <f ca="1">INDIRECT("'数据-取费表'!q"&amp;$G$1)</f>
        <v>0.15</v>
      </c>
      <c r="G26" s="1286"/>
      <c r="H26" s="291" t="s">
        <v>395</v>
      </c>
      <c r="I26" s="292" t="s">
        <v>753</v>
      </c>
      <c r="J26" s="293">
        <f ca="1">IF(J5&lt;&gt;0,ROUND(J25*(1-((1+M28)/(1+M26))^M27)/(M26-M28),0),0)</f>
        <v>0</v>
      </c>
      <c r="K26" s="316" t="s">
        <v>754</v>
      </c>
      <c r="L26" s="294" t="s">
        <v>755</v>
      </c>
      <c r="M26" s="304">
        <f ca="1">INDIRECT("'数据-取费表'!I"&amp;$G$1)</f>
        <v>5.5E-2</v>
      </c>
    </row>
    <row r="27" spans="1:37" ht="18" customHeight="1">
      <c r="A27" s="922" t="s">
        <v>399</v>
      </c>
      <c r="B27" s="294" t="s">
        <v>756</v>
      </c>
      <c r="C27" s="21">
        <f ca="1">ROUND(F21*F26,4)</f>
        <v>3.0000000000000001E-3</v>
      </c>
      <c r="D27" s="315" t="s">
        <v>757</v>
      </c>
      <c r="E27" s="312"/>
      <c r="F27" s="313"/>
      <c r="G27" s="1286"/>
      <c r="H27" s="296"/>
      <c r="I27" s="297"/>
      <c r="J27" s="298"/>
      <c r="K27" s="323" t="s">
        <v>758</v>
      </c>
      <c r="L27" s="294" t="s">
        <v>759</v>
      </c>
      <c r="M27" s="324">
        <f ca="1">INDIRECT("'数据-取费表'!ag"&amp;$G$1)</f>
        <v>0</v>
      </c>
    </row>
    <row r="28" spans="1:37" s="1298" customFormat="1" ht="18" customHeight="1">
      <c r="A28" s="922"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f ca="1">ROUND((C19+C20+C23+C26)/(1-F21-C24-C27-C28),0)</f>
        <v>10516243</v>
      </c>
      <c r="D29" s="1023"/>
      <c r="E29" s="1021"/>
      <c r="F29" s="1024"/>
      <c r="G29" s="1297"/>
      <c r="H29" s="325" t="s">
        <v>396</v>
      </c>
      <c r="I29" s="326" t="s">
        <v>764</v>
      </c>
      <c r="J29" s="327">
        <f ca="1">ROUND(J26/(1+F40)^F41,0)</f>
        <v>0</v>
      </c>
      <c r="K29" s="328" t="s">
        <v>765</v>
      </c>
      <c r="L29" s="329"/>
      <c r="M29" s="330">
        <f ca="1">INDIRECT("'数据-取费表'!k"&amp;$G$1)</f>
        <v>1608.26</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f ca="1">ROUND(C31+C36+C37+C38,0)</f>
        <v>460818</v>
      </c>
      <c r="D30" s="1018" t="s">
        <v>711</v>
      </c>
      <c r="E30" s="1019"/>
      <c r="F30" s="1003"/>
      <c r="G30" s="1286"/>
      <c r="H30" s="2465"/>
      <c r="I30" s="1299"/>
      <c r="J30" s="1300"/>
      <c r="K30" s="121"/>
      <c r="L30" s="2466"/>
      <c r="M30" s="2467"/>
    </row>
    <row r="31" spans="1:37" ht="18" customHeight="1">
      <c r="A31" s="922" t="s">
        <v>398</v>
      </c>
      <c r="B31" s="294" t="s">
        <v>715</v>
      </c>
      <c r="C31" s="2134">
        <f ca="1">ROUND(IF(AND(项目基本情况!B11="自然人",项目基本情况!B10="北京市"),C6*F31/(1+'数据-取费表'!C42),C32+C33+C34),0)</f>
        <v>407355</v>
      </c>
      <c r="D31" s="1251" t="s">
        <v>716</v>
      </c>
      <c r="E31" s="1250" t="s">
        <v>766</v>
      </c>
      <c r="F31" s="2133" t="str">
        <f>IF(项目基本情况!B11="企业","——",IF(M47="住宅",IF(F6*F7*F8/12/(1+'数据-取费表'!F30)&gt;100000,4%,2.5%),IF(F6*F7*F8/12/(1+'数据-取费表'!F30)&gt;100000,12%,7%)))</f>
        <v>——</v>
      </c>
      <c r="G31" s="1286"/>
      <c r="H31" s="2564" t="s">
        <v>2290</v>
      </c>
      <c r="I31" s="1299"/>
      <c r="J31" s="1300"/>
      <c r="K31" s="121"/>
      <c r="L31" s="2466"/>
      <c r="M31" s="2467"/>
    </row>
    <row r="32" spans="1:37" ht="18" customHeight="1">
      <c r="A32" s="922" t="s">
        <v>397</v>
      </c>
      <c r="B32" s="294" t="s">
        <v>719</v>
      </c>
      <c r="C32" s="21">
        <f ca="1">IF(项目基本情况!B11="自然人","——",ROUND(C6*F32/(1+'数据-取费表'!C42),0))</f>
        <v>129613</v>
      </c>
      <c r="D32" s="1250" t="s">
        <v>720</v>
      </c>
      <c r="E32" s="294" t="s">
        <v>708</v>
      </c>
      <c r="F32" s="322">
        <f>'数据-取费表'!B41</f>
        <v>5.6000000000000001E-2</v>
      </c>
      <c r="G32" s="1286"/>
      <c r="H32" s="2465"/>
      <c r="I32" s="1299"/>
      <c r="J32" s="1300"/>
      <c r="K32" s="121"/>
      <c r="L32" s="2466"/>
      <c r="M32" s="2467"/>
    </row>
    <row r="33" spans="1:18" ht="18" customHeight="1">
      <c r="A33" s="922" t="s">
        <v>399</v>
      </c>
      <c r="B33" s="294" t="s">
        <v>723</v>
      </c>
      <c r="C33" s="21">
        <f ca="1">IF(项目基本情况!B11="自然人","——",IF(D33="按租金收入计税",ROUND(C6*F33/(1+'数据-取费表'!C42),0),IF(D33="按房产原值计税",ROUND(C29*F33*0.7,0),INDIRECT("'数据-取费表'!Aj"&amp;$G$1))))</f>
        <v>277742</v>
      </c>
      <c r="D33" s="1272" t="s">
        <v>3319</v>
      </c>
      <c r="E33" s="294" t="s">
        <v>708</v>
      </c>
      <c r="F33" s="314">
        <f>IF(D33="按票据","——",IF(D33="按租金收入计税",'数据-取费表'!B51,'数据-取费表'!B50))</f>
        <v>0.12</v>
      </c>
      <c r="G33" s="1286"/>
      <c r="H33" s="2468"/>
      <c r="I33" s="1299"/>
      <c r="J33" s="1300"/>
      <c r="K33" s="2469"/>
      <c r="L33" s="2468"/>
      <c r="M33" s="2468"/>
    </row>
    <row r="34" spans="1:18" ht="18" customHeight="1">
      <c r="A34" s="1000" t="s">
        <v>676</v>
      </c>
      <c r="B34" s="147" t="s">
        <v>726</v>
      </c>
      <c r="C34" s="22">
        <f ca="1">IF(项目基本情况!B11="自然人","——",ROUND(F34*F35,0))</f>
        <v>0</v>
      </c>
      <c r="D34" s="316" t="s">
        <v>727</v>
      </c>
      <c r="E34" s="294" t="s">
        <v>728</v>
      </c>
      <c r="F34" s="317">
        <f>'数据-取费表'!B52</f>
        <v>0</v>
      </c>
      <c r="G34" s="1286"/>
      <c r="H34" s="2465"/>
      <c r="I34" s="1299"/>
      <c r="J34" s="1300"/>
      <c r="K34" s="2470"/>
      <c r="L34" s="2471"/>
      <c r="M34" s="2471"/>
    </row>
    <row r="35" spans="1:18" ht="18" customHeight="1">
      <c r="A35" s="1034"/>
      <c r="B35" s="1032"/>
      <c r="C35" s="26"/>
      <c r="D35" s="319"/>
      <c r="E35" s="294" t="s">
        <v>732</v>
      </c>
      <c r="F35" s="295">
        <f ca="1">INDIRECT("'数据-取费表'!r"&amp;$G$1)</f>
        <v>0</v>
      </c>
      <c r="G35" s="1286"/>
      <c r="H35" s="2465"/>
      <c r="I35" s="1299"/>
      <c r="J35" s="1300"/>
      <c r="K35" s="2469"/>
      <c r="L35" s="2468"/>
      <c r="M35" s="2468"/>
    </row>
    <row r="36" spans="1:18" ht="18" customHeight="1">
      <c r="A36" s="1033" t="s">
        <v>402</v>
      </c>
      <c r="B36" s="294" t="s">
        <v>734</v>
      </c>
      <c r="C36" s="21">
        <f ca="1">ROUND(C29*F36,0)</f>
        <v>21032</v>
      </c>
      <c r="D36" s="1250" t="s">
        <v>767</v>
      </c>
      <c r="E36" s="294" t="s">
        <v>708</v>
      </c>
      <c r="F36" s="320">
        <f ca="1">INDIRECT("'数据-取费表'!Ak"&amp;$G$1)</f>
        <v>2E-3</v>
      </c>
      <c r="G36" s="1286"/>
      <c r="H36" s="2468"/>
      <c r="I36" s="1299"/>
      <c r="J36" s="1300"/>
      <c r="K36" s="2325"/>
      <c r="L36" s="2468"/>
      <c r="M36" s="2468"/>
    </row>
    <row r="37" spans="1:18" ht="18" customHeight="1">
      <c r="A37" s="922" t="s">
        <v>437</v>
      </c>
      <c r="B37" s="294" t="s">
        <v>738</v>
      </c>
      <c r="C37" s="21">
        <f ca="1">ROUND(C13*F37,0)</f>
        <v>8098</v>
      </c>
      <c r="D37" s="1250" t="s">
        <v>739</v>
      </c>
      <c r="E37" s="294" t="s">
        <v>708</v>
      </c>
      <c r="F37" s="321">
        <f ca="1">INDIRECT("'数据-取费表'!Al"&amp;$G$1)</f>
        <v>1E-3</v>
      </c>
      <c r="G37" s="1286"/>
      <c r="H37" s="2468"/>
      <c r="I37" s="1299"/>
      <c r="J37" s="1300"/>
      <c r="K37" s="2325"/>
      <c r="L37" s="2468"/>
      <c r="M37" s="2468"/>
    </row>
    <row r="38" spans="1:18" ht="18" customHeight="1" thickBot="1">
      <c r="A38" s="1020" t="s">
        <v>679</v>
      </c>
      <c r="B38" s="1021" t="s">
        <v>724</v>
      </c>
      <c r="C38" s="1022">
        <f ca="1">ROUND(C5*F38,0)</f>
        <v>24333</v>
      </c>
      <c r="D38" s="1023" t="s">
        <v>744</v>
      </c>
      <c r="E38" s="1021" t="s">
        <v>708</v>
      </c>
      <c r="F38" s="1017">
        <f ca="1">INDIRECT("'数据-取费表'!Am"&amp;$G$1)</f>
        <v>0.01</v>
      </c>
      <c r="G38" s="1286"/>
      <c r="H38" s="2468"/>
      <c r="I38" s="1299"/>
      <c r="J38" s="1300"/>
      <c r="K38" s="2466"/>
      <c r="L38" s="2468"/>
      <c r="M38" s="2468"/>
    </row>
    <row r="39" spans="1:18" ht="24.6" customHeight="1" thickTop="1">
      <c r="A39" s="1010" t="s">
        <v>394</v>
      </c>
      <c r="B39" s="1025" t="s">
        <v>748</v>
      </c>
      <c r="C39" s="302">
        <f ca="1">C5-C30</f>
        <v>1972462</v>
      </c>
      <c r="D39" s="1026" t="s">
        <v>749</v>
      </c>
      <c r="E39" s="1027"/>
      <c r="F39" s="1028"/>
      <c r="G39" s="1286"/>
      <c r="H39" s="2468"/>
      <c r="I39" s="1299"/>
      <c r="J39" s="1300"/>
      <c r="K39" s="2466"/>
      <c r="L39" s="2468"/>
      <c r="M39" s="2468"/>
    </row>
    <row r="40" spans="1:18" ht="18" customHeight="1">
      <c r="A40" s="291" t="s">
        <v>395</v>
      </c>
      <c r="B40" s="292" t="s">
        <v>770</v>
      </c>
      <c r="C40" s="293">
        <f ca="1">ROUND(C39*(1-((1+F42)/(1+F40))^F41)/(F40-F42),0)</f>
        <v>31278473</v>
      </c>
      <c r="D40" s="316" t="s">
        <v>754</v>
      </c>
      <c r="E40" s="294" t="s">
        <v>755</v>
      </c>
      <c r="F40" s="304">
        <f ca="1">INDIRECT("'数据-取费表'!I"&amp;$G$1)</f>
        <v>5.5E-2</v>
      </c>
      <c r="G40" s="1286"/>
      <c r="H40" s="1360"/>
      <c r="I40" s="1299"/>
      <c r="J40" s="1300"/>
      <c r="K40" s="2466"/>
      <c r="L40" s="1360"/>
      <c r="M40" s="1360"/>
    </row>
    <row r="41" spans="1:18" ht="18" customHeight="1">
      <c r="A41" s="296"/>
      <c r="B41" s="297"/>
      <c r="C41" s="298"/>
      <c r="D41" s="323" t="s">
        <v>771</v>
      </c>
      <c r="E41" s="294" t="s">
        <v>759</v>
      </c>
      <c r="F41" s="324">
        <f ca="1">IF(INDIRECT("'数据-取费表'!af"&amp;$G$1)=0,INDIRECT("'数据-取费表'!ae"&amp;$G$1),INDIRECT("'数据-取费表'!af"&amp;$G$1))</f>
        <v>24</v>
      </c>
      <c r="G41" s="1286"/>
      <c r="H41" s="121"/>
      <c r="I41" s="1299"/>
      <c r="J41" s="1300"/>
      <c r="K41" s="2325"/>
      <c r="L41" s="121"/>
      <c r="M41" s="121"/>
    </row>
    <row r="42" spans="1:18" ht="18" customHeight="1">
      <c r="A42" s="300"/>
      <c r="B42" s="301"/>
      <c r="C42" s="302"/>
      <c r="D42" s="319"/>
      <c r="E42" s="294" t="s">
        <v>762</v>
      </c>
      <c r="F42" s="304">
        <f ca="1">INDIRECT("'数据-取费表'!v"&amp;$G$1)</f>
        <v>0.02</v>
      </c>
      <c r="G42" s="1286"/>
      <c r="H42" s="121"/>
      <c r="I42" s="1299"/>
      <c r="J42" s="1300"/>
      <c r="K42" s="2325"/>
      <c r="L42" s="121"/>
      <c r="M42" s="121"/>
    </row>
    <row r="43" spans="1:18" ht="18" customHeight="1" thickBot="1">
      <c r="A43" s="325" t="s">
        <v>396</v>
      </c>
      <c r="B43" s="326" t="s">
        <v>772</v>
      </c>
      <c r="C43" s="327">
        <f ca="1">ROUND(C40/F43,0)</f>
        <v>19449</v>
      </c>
      <c r="D43" s="328" t="s">
        <v>773</v>
      </c>
      <c r="E43" s="329" t="s">
        <v>774</v>
      </c>
      <c r="F43" s="330">
        <f ca="1">INDIRECT("'数据-取费表'!k"&amp;$G$1)</f>
        <v>1608.26</v>
      </c>
      <c r="G43" s="1286"/>
      <c r="H43" s="121"/>
      <c r="I43" s="121"/>
      <c r="J43" s="121"/>
      <c r="K43" s="2325"/>
      <c r="L43" s="121"/>
      <c r="M43" s="121"/>
    </row>
    <row r="44" spans="1:18" s="1286" customFormat="1" ht="18" customHeight="1">
      <c r="A44" s="1301"/>
      <c r="B44" s="1301"/>
      <c r="C44" s="1302"/>
      <c r="D44" s="1301"/>
      <c r="E44" s="1301"/>
      <c r="F44" s="1301"/>
      <c r="K44" s="1303"/>
    </row>
    <row r="45" spans="1:18" s="1286" customFormat="1" ht="18" customHeight="1" thickBot="1">
      <c r="A45" s="3123" t="s">
        <v>3335</v>
      </c>
      <c r="B45" s="1301"/>
      <c r="C45" s="1370">
        <f ca="1">ROUND((C68-C40)/10000,4)</f>
        <v>-3166.1581999999999</v>
      </c>
      <c r="D45" s="3124" t="s">
        <v>3336</v>
      </c>
      <c r="E45" s="1301"/>
      <c r="F45" s="1301"/>
      <c r="O45" s="1304" t="s">
        <v>804</v>
      </c>
      <c r="P45" s="1360"/>
      <c r="Q45" s="1360"/>
      <c r="R45" s="1360"/>
    </row>
    <row r="46" spans="1:18" s="1286" customFormat="1" ht="13.5" thickBot="1">
      <c r="A46" s="1305" t="s">
        <v>805</v>
      </c>
      <c r="C46" s="1306">
        <f ca="1">ROUND(C45,0)</f>
        <v>-3166</v>
      </c>
      <c r="D46" s="1307" t="str">
        <f>C2</f>
        <v>万元</v>
      </c>
      <c r="I46" s="1308" t="s">
        <v>806</v>
      </c>
      <c r="J46" s="1309"/>
      <c r="K46" s="1310"/>
      <c r="L46" s="1311">
        <f ca="1">IF(M47="住宅",0,IF(L48&gt;J51,L60,J60))</f>
        <v>741511</v>
      </c>
      <c r="O46" s="1312" t="s">
        <v>807</v>
      </c>
      <c r="P46" s="1313" t="s">
        <v>808</v>
      </c>
      <c r="Q46" s="1314" t="s">
        <v>809</v>
      </c>
      <c r="R46" s="1314" t="s">
        <v>810</v>
      </c>
    </row>
    <row r="47" spans="1:18" s="1286" customFormat="1" ht="13.5" thickBot="1">
      <c r="A47" s="886" t="s">
        <v>683</v>
      </c>
      <c r="B47" s="918" t="s">
        <v>684</v>
      </c>
      <c r="C47" s="918" t="s">
        <v>685</v>
      </c>
      <c r="D47" s="918" t="s">
        <v>686</v>
      </c>
      <c r="E47" s="989" t="s">
        <v>687</v>
      </c>
      <c r="F47" s="990"/>
      <c r="G47" s="681"/>
      <c r="I47" s="1315" t="s">
        <v>811</v>
      </c>
      <c r="J47" s="1316" t="s">
        <v>3535</v>
      </c>
      <c r="K47" s="1317" t="s">
        <v>812</v>
      </c>
      <c r="L47" s="1318">
        <f ca="1">INDIRECT("'数据-取费表'!d"&amp;$G$1)</f>
        <v>40</v>
      </c>
      <c r="M47" s="1282" t="str">
        <f>IF(ISNUMBER(FIND("住宅",C1)),"住宅","非住宅")</f>
        <v>非住宅</v>
      </c>
      <c r="O47" s="1319" t="s">
        <v>403</v>
      </c>
      <c r="P47" s="1320" t="s">
        <v>813</v>
      </c>
      <c r="Q47" s="1321">
        <f ca="1">C40+J29</f>
        <v>31278473</v>
      </c>
      <c r="R47" s="1321" t="s">
        <v>814</v>
      </c>
    </row>
    <row r="48" spans="1:18" s="1286" customFormat="1" ht="28.5" thickBot="1">
      <c r="A48" s="1041" t="s">
        <v>438</v>
      </c>
      <c r="B48" s="292" t="s">
        <v>688</v>
      </c>
      <c r="C48" s="1262">
        <f ca="1">C49+C53+C55</f>
        <v>0</v>
      </c>
      <c r="D48" s="1043"/>
      <c r="E48" s="1044"/>
      <c r="F48" s="902"/>
      <c r="G48" s="681"/>
      <c r="H48" s="682"/>
      <c r="I48" s="1322" t="s">
        <v>815</v>
      </c>
      <c r="J48" s="1323" t="s">
        <v>3536</v>
      </c>
      <c r="K48" s="1324" t="s">
        <v>816</v>
      </c>
      <c r="L48" s="1325">
        <f ca="1">INDIRECT("'数据-取费表'!f"&amp;$G$1)</f>
        <v>24</v>
      </c>
      <c r="O48" s="1319" t="s">
        <v>404</v>
      </c>
      <c r="P48" s="1320" t="s">
        <v>817</v>
      </c>
      <c r="Q48" s="1321">
        <f ca="1">J60</f>
        <v>741511</v>
      </c>
      <c r="R48" s="1321" t="s">
        <v>818</v>
      </c>
    </row>
    <row r="49" spans="1:18" s="1286" customFormat="1" ht="13.5" thickBot="1">
      <c r="A49" s="915" t="s">
        <v>439</v>
      </c>
      <c r="B49" s="1273" t="s">
        <v>775</v>
      </c>
      <c r="C49" s="1045">
        <f ca="1">ROUND(F49*F51*F50*(1-F52),0)</f>
        <v>0</v>
      </c>
      <c r="D49" s="986" t="s">
        <v>691</v>
      </c>
      <c r="E49" s="1274" t="s">
        <v>776</v>
      </c>
      <c r="F49" s="991"/>
      <c r="H49" s="682"/>
      <c r="I49" s="1322" t="s">
        <v>819</v>
      </c>
      <c r="J49" s="1326">
        <v>2011</v>
      </c>
      <c r="K49" s="1324" t="s">
        <v>820</v>
      </c>
      <c r="L49" s="1327"/>
      <c r="O49" s="1328" t="s">
        <v>405</v>
      </c>
      <c r="P49" s="1320" t="s">
        <v>821</v>
      </c>
      <c r="Q49" s="1321">
        <f ca="1">C29</f>
        <v>10516243</v>
      </c>
      <c r="R49" s="1321" t="s">
        <v>814</v>
      </c>
    </row>
    <row r="50" spans="1:18" s="1286" customFormat="1" ht="13.5" thickBot="1">
      <c r="A50" s="916"/>
      <c r="B50" s="919"/>
      <c r="C50" s="920"/>
      <c r="D50" s="893"/>
      <c r="E50" s="987" t="s">
        <v>693</v>
      </c>
      <c r="F50" s="988">
        <f ca="1">F7</f>
        <v>1608.26</v>
      </c>
      <c r="H50" s="682"/>
      <c r="I50" s="1322" t="s">
        <v>822</v>
      </c>
      <c r="J50" s="1329">
        <f>SUMPRODUCT((I63:I65=J47)*(J62:L62=J48)*(J63:L65))</f>
        <v>60</v>
      </c>
      <c r="K50" s="1324" t="s">
        <v>823</v>
      </c>
      <c r="L50" s="1327"/>
      <c r="M50" s="1330"/>
      <c r="O50" s="1328" t="s">
        <v>406</v>
      </c>
      <c r="P50" s="1320" t="s">
        <v>824</v>
      </c>
      <c r="Q50" s="1331">
        <f ca="1">J58</f>
        <v>0.4</v>
      </c>
      <c r="R50" s="1321"/>
    </row>
    <row r="51" spans="1:18" s="1286" customFormat="1" ht="13.5" thickBot="1">
      <c r="A51" s="917"/>
      <c r="B51" s="919"/>
      <c r="C51" s="920"/>
      <c r="D51" s="893"/>
      <c r="E51" s="921" t="s">
        <v>694</v>
      </c>
      <c r="F51" s="295">
        <f ca="1">F8</f>
        <v>365</v>
      </c>
      <c r="I51" s="1332" t="s">
        <v>825</v>
      </c>
      <c r="J51" s="1325">
        <f>IF(J49="",J50,J49+J50-YEAR('数据-取费表'!B2))</f>
        <v>46</v>
      </c>
      <c r="K51" s="1333" t="s">
        <v>826</v>
      </c>
      <c r="L51" s="1334">
        <f ca="1">ROUND(-PV(INDIRECT("'数据-取费表'!h"&amp;$G$1),J51,(C39-C13*C76),0),0)</f>
        <v>25132874</v>
      </c>
      <c r="M51" s="1335"/>
      <c r="O51" s="1328" t="s">
        <v>407</v>
      </c>
      <c r="P51" s="1320" t="s">
        <v>827</v>
      </c>
      <c r="Q51" s="1331">
        <f>J52</f>
        <v>7.4999999999999997E-2</v>
      </c>
      <c r="R51" s="1321"/>
    </row>
    <row r="52" spans="1:18" s="1286" customFormat="1" ht="13.5" thickBot="1">
      <c r="A52" s="917"/>
      <c r="B52" s="919"/>
      <c r="C52" s="920"/>
      <c r="D52" s="893"/>
      <c r="E52" s="921" t="s">
        <v>695</v>
      </c>
      <c r="F52" s="985"/>
      <c r="I52" s="1336" t="s">
        <v>828</v>
      </c>
      <c r="J52" s="1337">
        <v>7.4999999999999997E-2</v>
      </c>
      <c r="K52" s="1336" t="s">
        <v>829</v>
      </c>
      <c r="L52" s="1337"/>
      <c r="O52" s="1328" t="s">
        <v>408</v>
      </c>
      <c r="P52" s="1320" t="s">
        <v>830</v>
      </c>
      <c r="Q52" s="1321">
        <f ca="1">J53</f>
        <v>24</v>
      </c>
      <c r="R52" s="1321" t="s">
        <v>831</v>
      </c>
    </row>
    <row r="53" spans="1:18" s="1286" customFormat="1" ht="30.75" customHeight="1" thickBot="1">
      <c r="A53" s="1042" t="s">
        <v>440</v>
      </c>
      <c r="B53" s="315" t="s">
        <v>696</v>
      </c>
      <c r="C53" s="308">
        <f ca="1">ROUND(IF(F53="押一",C49/12*F11,IF(F53="押二",C49/12*2*F11,IF(F53="押三",C49/12*3*F11,C54*F11))),0)</f>
        <v>0</v>
      </c>
      <c r="D53" s="150" t="s">
        <v>2112</v>
      </c>
      <c r="E53" s="305" t="s">
        <v>697</v>
      </c>
      <c r="F53" s="1047"/>
      <c r="I53" s="1338" t="s">
        <v>832</v>
      </c>
      <c r="J53" s="2000">
        <f ca="1">IF(M47="住宅",IF(D1="——",MAX(J51,L48),MAX(J51,L48-'数据-取费表'!B24)),IF(D1="——",MIN(J51,L48),MIN(J51,L48-'数据-取费表'!B24)))</f>
        <v>24</v>
      </c>
      <c r="K53" s="3442" t="s">
        <v>833</v>
      </c>
      <c r="L53" s="3443"/>
      <c r="O53" s="1319" t="s">
        <v>409</v>
      </c>
      <c r="P53" s="1320" t="s">
        <v>834</v>
      </c>
      <c r="Q53" s="1321">
        <f ca="1">Q47+Q48</f>
        <v>32019984</v>
      </c>
      <c r="R53" s="1321" t="s">
        <v>410</v>
      </c>
    </row>
    <row r="54" spans="1:18" s="1286" customFormat="1" ht="13.5" thickBot="1">
      <c r="A54" s="915"/>
      <c r="B54" s="1371" t="s">
        <v>887</v>
      </c>
      <c r="C54" s="899"/>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835</v>
      </c>
      <c r="P54" s="1283"/>
      <c r="Q54" s="1283"/>
      <c r="R54" s="1283"/>
    </row>
    <row r="55" spans="1:18" s="1286" customFormat="1" ht="13.5" thickBot="1">
      <c r="A55" s="1014" t="s">
        <v>437</v>
      </c>
      <c r="B55" s="1271" t="s">
        <v>699</v>
      </c>
      <c r="C55" s="1015"/>
      <c r="D55" s="150"/>
      <c r="E55" s="1276"/>
      <c r="F55" s="1339"/>
      <c r="I55" s="1342" t="s">
        <v>836</v>
      </c>
      <c r="J55" s="1343">
        <f ca="1">ROUND(IF(J47="钢混",J57/J50,1-(1-2%)*(J50-J57)/J50),3)</f>
        <v>0.36699999999999999</v>
      </c>
      <c r="K55" s="1344" t="s">
        <v>837</v>
      </c>
      <c r="L55" s="1345"/>
      <c r="O55" s="1312" t="s">
        <v>807</v>
      </c>
      <c r="P55" s="1313" t="s">
        <v>808</v>
      </c>
      <c r="Q55" s="1314" t="s">
        <v>809</v>
      </c>
      <c r="R55" s="1314" t="s">
        <v>810</v>
      </c>
    </row>
    <row r="56" spans="1:18" s="1286" customFormat="1" ht="36" customHeight="1" thickTop="1" thickBot="1">
      <c r="A56" s="897">
        <v>2</v>
      </c>
      <c r="B56" s="898" t="s">
        <v>700</v>
      </c>
      <c r="C56" s="224">
        <f ca="1">C13</f>
        <v>8097507</v>
      </c>
      <c r="D56" s="1346"/>
      <c r="E56" s="1347"/>
      <c r="F56" s="1339"/>
      <c r="I56" s="1348" t="s">
        <v>838</v>
      </c>
      <c r="J56" s="1349" t="s">
        <v>3581</v>
      </c>
      <c r="K56" s="1322" t="s">
        <v>839</v>
      </c>
      <c r="L56" s="1325" t="str">
        <f ca="1">IF(L48&lt;J51,"——",L48-J51)</f>
        <v>——</v>
      </c>
      <c r="O56" s="1319" t="s">
        <v>403</v>
      </c>
      <c r="P56" s="1320" t="s">
        <v>813</v>
      </c>
      <c r="Q56" s="1321">
        <f ca="1">C40+J29</f>
        <v>31278473</v>
      </c>
      <c r="R56" s="1321" t="s">
        <v>814</v>
      </c>
    </row>
    <row r="57" spans="1:18" s="1286" customFormat="1" ht="24.75" thickBot="1">
      <c r="A57" s="1350"/>
      <c r="B57" s="890" t="s">
        <v>763</v>
      </c>
      <c r="C57" s="230">
        <f ca="1">C29</f>
        <v>10516243</v>
      </c>
      <c r="D57" s="1351"/>
      <c r="E57" s="1352"/>
      <c r="F57" s="1353"/>
      <c r="I57" s="1354" t="s">
        <v>840</v>
      </c>
      <c r="J57" s="1355">
        <f ca="1">IF(OR(M47="住宅",J51&lt;L48,J56="是"),"——",J51-L48)</f>
        <v>22</v>
      </c>
      <c r="K57" s="1322" t="s">
        <v>888</v>
      </c>
      <c r="L57" s="1325" t="str">
        <f ca="1">IF(L48&lt;J51,"——",IF(L55="比较法",L49,IF(L55="基准地价",L50,L51)))</f>
        <v>——</v>
      </c>
      <c r="O57" s="1319" t="s">
        <v>404</v>
      </c>
      <c r="P57" s="1320" t="s">
        <v>842</v>
      </c>
      <c r="Q57" s="1321">
        <f ca="1">L60</f>
        <v>0</v>
      </c>
      <c r="R57" s="1321" t="s">
        <v>843</v>
      </c>
    </row>
    <row r="58" spans="1:18" s="1286" customFormat="1" ht="24.75" thickBot="1">
      <c r="A58" s="307" t="s">
        <v>393</v>
      </c>
      <c r="B58" s="898" t="s">
        <v>710</v>
      </c>
      <c r="C58" s="308">
        <f ca="1">ROUND(C59+C64+C65+C66,0)</f>
        <v>29130</v>
      </c>
      <c r="D58" s="900" t="s">
        <v>711</v>
      </c>
      <c r="E58" s="901"/>
      <c r="F58" s="902"/>
      <c r="I58" s="1354" t="s">
        <v>844</v>
      </c>
      <c r="J58" s="1356">
        <f ca="1">IF(J55&lt;0.4,0.4,J55)</f>
        <v>0.4</v>
      </c>
      <c r="K58" s="1333" t="s">
        <v>891</v>
      </c>
      <c r="L58" s="1325" t="e">
        <f ca="1">ROUND(POWER(1+L52,L47-L48)*(POWER(1+L52,L48)-1)/(POWER(1+L52,L47)-1),4)</f>
        <v>#DIV/0!</v>
      </c>
      <c r="O58" s="1328" t="s">
        <v>405</v>
      </c>
      <c r="P58" s="1320" t="s">
        <v>846</v>
      </c>
      <c r="Q58" s="1321">
        <f>IF(L55="比较法",L49,IF(L55="基准地价",L50,0))</f>
        <v>0</v>
      </c>
      <c r="R58" s="1321" t="s">
        <v>814</v>
      </c>
    </row>
    <row r="59" spans="1:18" s="1286" customFormat="1" ht="24.75" thickBot="1">
      <c r="A59" s="922" t="s">
        <v>398</v>
      </c>
      <c r="B59" s="890" t="s">
        <v>715</v>
      </c>
      <c r="C59" s="2134">
        <f ca="1">ROUND(IF(AND(项目基本情况!B11="自然人",项目基本情况!B10="北京市"),C49*F59/(1+'数据-取费表'!C42),C60+C61+C62),0)</f>
        <v>0</v>
      </c>
      <c r="D59" s="903" t="s">
        <v>716</v>
      </c>
      <c r="E59" s="904" t="s">
        <v>717</v>
      </c>
      <c r="F59" s="2133" t="str">
        <f>IF(项目基本情况!B11="企业","——",IF('数据-取费表'!B10="住宅",IF(F49*F50*F51/12/(1+'数据-取费表'!F30)&gt;100000,4%,2.5%),IF(F49*F50*F51/12/(1+'数据-取费表'!F30)&gt;100000,12%,7%)))</f>
        <v>——</v>
      </c>
      <c r="I59" s="1354" t="s">
        <v>847</v>
      </c>
      <c r="J59" s="1355">
        <f ca="1">IF(OR(M47="住宅",J51&lt;L48,J56="是"),"——",ROUND(C29*J58,0))</f>
        <v>4206497</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848</v>
      </c>
      <c r="Q59" s="1331">
        <f>L52</f>
        <v>0</v>
      </c>
      <c r="R59" s="1321"/>
    </row>
    <row r="60" spans="1:18" s="1286" customFormat="1" ht="16.5" thickBot="1">
      <c r="A60" s="922" t="s">
        <v>397</v>
      </c>
      <c r="B60" s="890" t="s">
        <v>719</v>
      </c>
      <c r="C60" s="21">
        <f ca="1">IF(项目基本情况!B11="自然人","——",ROUND(C48*F60/(1+'数据-取费表'!C42),0))</f>
        <v>0</v>
      </c>
      <c r="D60" s="904" t="s">
        <v>720</v>
      </c>
      <c r="E60" s="890" t="s">
        <v>708</v>
      </c>
      <c r="F60" s="322">
        <f t="shared" ref="F60:F66" si="0">F32</f>
        <v>5.6000000000000001E-2</v>
      </c>
      <c r="I60" s="1357" t="s">
        <v>849</v>
      </c>
      <c r="J60" s="1358">
        <f ca="1">IF(OR(M47="住宅",J51&lt;L48,J56="是"),"0",ROUND(J59/(1+J52)^J53,0))</f>
        <v>741511</v>
      </c>
      <c r="K60" s="1359" t="s">
        <v>850</v>
      </c>
      <c r="L60" s="1358">
        <f ca="1">IF(OR(M47="住宅",L48&lt;J51),0,ROUND(L57*(L58/L59-1),0))</f>
        <v>0</v>
      </c>
      <c r="O60" s="1328" t="s">
        <v>407</v>
      </c>
      <c r="P60" s="1320" t="s">
        <v>851</v>
      </c>
      <c r="Q60" s="1321" t="e">
        <f ca="1">L58</f>
        <v>#DIV/0!</v>
      </c>
      <c r="R60" s="1321" t="s">
        <v>852</v>
      </c>
    </row>
    <row r="61" spans="1:18" s="1286" customFormat="1" ht="13.5" thickBot="1">
      <c r="A61" s="922" t="s">
        <v>777</v>
      </c>
      <c r="B61" s="890" t="s">
        <v>723</v>
      </c>
      <c r="C61" s="21">
        <f ca="1">IF(项目基本情况!B11="自然人","——",IF(D61="按租金收入计税",ROUND(C49*F61/(1+'数据-取费表'!C42),0),IF(D61="按房产原值计税",ROUND(C57*F61*0.7,0),INDIRECT("'数据-取费表'!Aj"&amp;$G$1))))</f>
        <v>0</v>
      </c>
      <c r="D61" s="1272" t="s">
        <v>3319</v>
      </c>
      <c r="E61" s="890" t="s">
        <v>708</v>
      </c>
      <c r="F61" s="314">
        <f t="shared" si="0"/>
        <v>0.12</v>
      </c>
      <c r="I61" s="1360"/>
      <c r="J61" s="1360"/>
      <c r="K61" s="1360"/>
      <c r="L61" s="1360"/>
      <c r="O61" s="1328" t="s">
        <v>408</v>
      </c>
      <c r="P61" s="1320" t="str">
        <f>K59</f>
        <v>建筑物剩余耐用年限下的土地年期修正系数Kn</v>
      </c>
      <c r="Q61" s="1321" t="e">
        <f ca="1">L59</f>
        <v>#DIV/0!</v>
      </c>
      <c r="R61" s="1321" t="s">
        <v>853</v>
      </c>
    </row>
    <row r="62" spans="1:18" s="1286" customFormat="1" ht="13.5" thickBot="1">
      <c r="A62" s="922" t="s">
        <v>780</v>
      </c>
      <c r="B62" s="889" t="s">
        <v>726</v>
      </c>
      <c r="C62" s="22">
        <f ca="1">IF(项目基本情况!B11="自然人","——",ROUND(F62*F63,0))</f>
        <v>0</v>
      </c>
      <c r="D62" s="905" t="s">
        <v>727</v>
      </c>
      <c r="E62" s="890" t="s">
        <v>728</v>
      </c>
      <c r="F62" s="317">
        <f t="shared" si="0"/>
        <v>0</v>
      </c>
      <c r="I62" s="1361" t="s">
        <v>854</v>
      </c>
      <c r="J62" s="610" t="s">
        <v>855</v>
      </c>
      <c r="K62" s="610" t="s">
        <v>856</v>
      </c>
      <c r="L62" s="610" t="s">
        <v>857</v>
      </c>
      <c r="M62" s="1362" t="s">
        <v>858</v>
      </c>
      <c r="O62" s="1319" t="s">
        <v>409</v>
      </c>
      <c r="P62" s="1320" t="s">
        <v>834</v>
      </c>
      <c r="Q62" s="1321">
        <f ca="1">Q56+Q57</f>
        <v>31278473</v>
      </c>
      <c r="R62" s="1321" t="s">
        <v>410</v>
      </c>
    </row>
    <row r="63" spans="1:18" s="1286" customFormat="1" ht="13.5" thickBot="1">
      <c r="A63" s="318"/>
      <c r="B63" s="896"/>
      <c r="C63" s="26"/>
      <c r="D63" s="906"/>
      <c r="E63" s="890" t="s">
        <v>732</v>
      </c>
      <c r="F63" s="295">
        <f t="shared" ca="1" si="0"/>
        <v>0</v>
      </c>
      <c r="I63" s="1361" t="s">
        <v>860</v>
      </c>
      <c r="J63" s="610">
        <v>70</v>
      </c>
      <c r="K63" s="610">
        <v>50</v>
      </c>
      <c r="L63" s="610">
        <v>80</v>
      </c>
      <c r="M63" s="1363">
        <v>0.02</v>
      </c>
      <c r="O63" s="1304" t="s">
        <v>861</v>
      </c>
      <c r="P63" s="1283"/>
      <c r="Q63" s="1283"/>
      <c r="R63" s="1283"/>
    </row>
    <row r="64" spans="1:18" s="1286" customFormat="1" ht="13.5" thickBot="1">
      <c r="A64" s="922" t="s">
        <v>402</v>
      </c>
      <c r="B64" s="890" t="s">
        <v>734</v>
      </c>
      <c r="C64" s="21">
        <f ca="1">ROUND(C57*F64,0)</f>
        <v>21032</v>
      </c>
      <c r="D64" s="904" t="s">
        <v>767</v>
      </c>
      <c r="E64" s="890" t="s">
        <v>708</v>
      </c>
      <c r="F64" s="320">
        <f t="shared" ca="1" si="0"/>
        <v>2E-3</v>
      </c>
      <c r="I64" s="1361" t="s">
        <v>862</v>
      </c>
      <c r="J64" s="610">
        <v>50</v>
      </c>
      <c r="K64" s="610">
        <v>35</v>
      </c>
      <c r="L64" s="610">
        <v>60</v>
      </c>
      <c r="M64" s="1362">
        <v>0</v>
      </c>
      <c r="O64" s="1312" t="s">
        <v>807</v>
      </c>
      <c r="P64" s="1313" t="s">
        <v>808</v>
      </c>
      <c r="Q64" s="1314" t="s">
        <v>809</v>
      </c>
      <c r="R64" s="1314" t="s">
        <v>810</v>
      </c>
    </row>
    <row r="65" spans="1:18" s="1286" customFormat="1" ht="13.5" thickBot="1">
      <c r="A65" s="922" t="s">
        <v>788</v>
      </c>
      <c r="B65" s="890" t="s">
        <v>738</v>
      </c>
      <c r="C65" s="21">
        <f ca="1">ROUND(C56*F65,0)</f>
        <v>8098</v>
      </c>
      <c r="D65" s="904" t="s">
        <v>739</v>
      </c>
      <c r="E65" s="890" t="s">
        <v>708</v>
      </c>
      <c r="F65" s="321">
        <f t="shared" ca="1" si="0"/>
        <v>1E-3</v>
      </c>
      <c r="I65" s="1361" t="s">
        <v>863</v>
      </c>
      <c r="J65" s="610">
        <v>40</v>
      </c>
      <c r="K65" s="610">
        <v>30</v>
      </c>
      <c r="L65" s="610">
        <v>50</v>
      </c>
      <c r="M65" s="1363">
        <v>0.02</v>
      </c>
      <c r="O65" s="1319" t="s">
        <v>403</v>
      </c>
      <c r="P65" s="1320" t="s">
        <v>813</v>
      </c>
      <c r="Q65" s="1321">
        <f ca="1">C40+J29</f>
        <v>31278473</v>
      </c>
      <c r="R65" s="1321" t="s">
        <v>814</v>
      </c>
    </row>
    <row r="66" spans="1:18" s="1286" customFormat="1" ht="16.5" thickBot="1">
      <c r="A66" s="922" t="s">
        <v>789</v>
      </c>
      <c r="B66" s="890" t="s">
        <v>724</v>
      </c>
      <c r="C66" s="21">
        <f ca="1">ROUND(C48*F66,0)</f>
        <v>0</v>
      </c>
      <c r="D66" s="904" t="s">
        <v>744</v>
      </c>
      <c r="E66" s="890" t="s">
        <v>708</v>
      </c>
      <c r="F66" s="304">
        <f t="shared" ca="1" si="0"/>
        <v>0.01</v>
      </c>
      <c r="O66" s="1319" t="s">
        <v>404</v>
      </c>
      <c r="P66" s="1320" t="s">
        <v>842</v>
      </c>
      <c r="Q66" s="1321">
        <f ca="1">L60</f>
        <v>0</v>
      </c>
      <c r="R66" s="1321" t="s">
        <v>865</v>
      </c>
    </row>
    <row r="67" spans="1:18" s="1286" customFormat="1" ht="16.5" thickBot="1">
      <c r="A67" s="897" t="s">
        <v>394</v>
      </c>
      <c r="B67" s="907" t="s">
        <v>748</v>
      </c>
      <c r="C67" s="308">
        <f ca="1">C48-C58</f>
        <v>-29130</v>
      </c>
      <c r="D67" s="903" t="s">
        <v>749</v>
      </c>
      <c r="E67" s="908"/>
      <c r="F67" s="909"/>
      <c r="O67" s="1328" t="s">
        <v>405</v>
      </c>
      <c r="P67" s="1320" t="s">
        <v>846</v>
      </c>
      <c r="Q67" s="1364">
        <f ca="1">L51</f>
        <v>25132874</v>
      </c>
      <c r="R67" s="1321" t="s">
        <v>866</v>
      </c>
    </row>
    <row r="68" spans="1:18" s="1286" customFormat="1" ht="16.5" thickBot="1">
      <c r="A68" s="887" t="s">
        <v>395</v>
      </c>
      <c r="B68" s="888" t="s">
        <v>770</v>
      </c>
      <c r="C68" s="293">
        <f ca="1">ROUND(C67*(1-((1+F70)/(1+F68))^F69)/(F68-F70),0)</f>
        <v>-383109</v>
      </c>
      <c r="D68" s="905" t="s">
        <v>754</v>
      </c>
      <c r="E68" s="890" t="s">
        <v>755</v>
      </c>
      <c r="F68" s="304">
        <f ca="1">F40</f>
        <v>5.5E-2</v>
      </c>
      <c r="O68" s="1328" t="s">
        <v>406</v>
      </c>
      <c r="P68" s="1365" t="s">
        <v>867</v>
      </c>
      <c r="Q68" s="1321">
        <f ca="1">ROUND(Q69-Q70*Q71,0)</f>
        <v>1405637</v>
      </c>
      <c r="R68" s="1321" t="s">
        <v>414</v>
      </c>
    </row>
    <row r="69" spans="1:18" s="1286" customFormat="1" ht="13.5" thickBot="1">
      <c r="A69" s="891"/>
      <c r="B69" s="892"/>
      <c r="C69" s="298"/>
      <c r="D69" s="910" t="s">
        <v>758</v>
      </c>
      <c r="E69" s="890" t="s">
        <v>759</v>
      </c>
      <c r="F69" s="324">
        <f ca="1">F41</f>
        <v>24</v>
      </c>
      <c r="O69" s="1328" t="s">
        <v>411</v>
      </c>
      <c r="P69" s="1365" t="s">
        <v>868</v>
      </c>
      <c r="Q69" s="1321">
        <f ca="1">C39</f>
        <v>1972462</v>
      </c>
      <c r="R69" s="1321" t="s">
        <v>814</v>
      </c>
    </row>
    <row r="70" spans="1:18" s="1286" customFormat="1" ht="13.5" thickBot="1">
      <c r="A70" s="894"/>
      <c r="B70" s="895"/>
      <c r="C70" s="302"/>
      <c r="D70" s="906"/>
      <c r="E70" s="890" t="s">
        <v>762</v>
      </c>
      <c r="F70" s="985"/>
      <c r="O70" s="1328" t="s">
        <v>412</v>
      </c>
      <c r="P70" s="1365" t="s">
        <v>869</v>
      </c>
      <c r="Q70" s="1321">
        <f ca="1">C13</f>
        <v>8097507</v>
      </c>
      <c r="R70" s="1321" t="s">
        <v>814</v>
      </c>
    </row>
    <row r="71" spans="1:18" s="1286" customFormat="1" ht="13.5" thickBot="1">
      <c r="A71" s="911" t="s">
        <v>396</v>
      </c>
      <c r="B71" s="912" t="s">
        <v>772</v>
      </c>
      <c r="C71" s="327">
        <f ca="1">ROUND(C68/F71,0)</f>
        <v>-238</v>
      </c>
      <c r="D71" s="913" t="s">
        <v>773</v>
      </c>
      <c r="E71" s="914" t="s">
        <v>774</v>
      </c>
      <c r="F71" s="330">
        <f ca="1">F43</f>
        <v>1608.26</v>
      </c>
      <c r="O71" s="1328" t="s">
        <v>413</v>
      </c>
      <c r="P71" s="1365" t="s">
        <v>870</v>
      </c>
      <c r="Q71" s="1331">
        <f ca="1">C76</f>
        <v>7.0000000000000007E-2</v>
      </c>
      <c r="R71" s="1321"/>
    </row>
    <row r="72" spans="1:18" s="1286" customFormat="1" ht="13.5" thickBot="1">
      <c r="B72" s="685"/>
      <c r="C72" s="685"/>
      <c r="O72" s="1328" t="s">
        <v>407</v>
      </c>
      <c r="P72" s="1320" t="s">
        <v>848</v>
      </c>
      <c r="Q72" s="1331">
        <f>L52</f>
        <v>0</v>
      </c>
      <c r="R72" s="1321"/>
    </row>
    <row r="73" spans="1:18" ht="16.5" thickBot="1">
      <c r="A73" s="1286"/>
      <c r="B73" s="685"/>
      <c r="C73" s="685"/>
      <c r="D73" s="1286"/>
      <c r="E73" s="1286"/>
      <c r="F73" s="1286"/>
      <c r="O73" s="1328" t="s">
        <v>408</v>
      </c>
      <c r="P73" s="1320" t="s">
        <v>851</v>
      </c>
      <c r="Q73" s="1321" t="e">
        <f ca="1">L58</f>
        <v>#DIV/0!</v>
      </c>
      <c r="R73" s="1321" t="s">
        <v>852</v>
      </c>
    </row>
    <row r="74" spans="1:18" ht="13.5" thickBot="1">
      <c r="A74" s="1286"/>
      <c r="B74" s="265" t="s">
        <v>871</v>
      </c>
      <c r="C74" s="1367"/>
      <c r="D74" s="1286"/>
      <c r="E74" s="1286"/>
      <c r="F74" s="1286"/>
      <c r="O74" s="1328" t="s">
        <v>415</v>
      </c>
      <c r="P74" s="1320" t="str">
        <f>K59</f>
        <v>建筑物剩余耐用年限下的土地年期修正系数Kn</v>
      </c>
      <c r="Q74" s="1321" t="e">
        <f ca="1">L59</f>
        <v>#DIV/0!</v>
      </c>
      <c r="R74" s="1321" t="s">
        <v>853</v>
      </c>
    </row>
    <row r="75" spans="1:18" ht="13.5" thickBot="1">
      <c r="A75" s="1286"/>
      <c r="B75" s="331" t="s">
        <v>791</v>
      </c>
      <c r="C75" s="332">
        <f ca="1">ROUND(C13*C76,0)</f>
        <v>566825</v>
      </c>
      <c r="D75" s="1286"/>
      <c r="E75" s="1286"/>
      <c r="F75" s="1286"/>
      <c r="K75" s="1303"/>
      <c r="L75" s="1286"/>
      <c r="O75" s="1319" t="s">
        <v>409</v>
      </c>
      <c r="P75" s="1320" t="s">
        <v>834</v>
      </c>
      <c r="Q75" s="1321">
        <f ca="1">Q65+Q66</f>
        <v>31278473</v>
      </c>
      <c r="R75" s="1321" t="s">
        <v>410</v>
      </c>
    </row>
    <row r="76" spans="1:18">
      <c r="B76" s="333" t="s">
        <v>792</v>
      </c>
      <c r="C76" s="334">
        <f ca="1">INDIRECT("'数据-取费表'!j"&amp;$G$1)</f>
        <v>7.0000000000000007E-2</v>
      </c>
      <c r="I76" s="1286"/>
      <c r="J76" s="1286"/>
      <c r="K76" s="1303"/>
      <c r="L76" s="1286"/>
    </row>
    <row r="77" spans="1:18">
      <c r="B77" s="335" t="s">
        <v>793</v>
      </c>
      <c r="C77" s="336"/>
      <c r="I77" s="1286"/>
      <c r="J77" s="1286"/>
      <c r="K77" s="1303"/>
      <c r="L77" s="1286"/>
    </row>
    <row r="78" spans="1:18">
      <c r="B78" s="262" t="s">
        <v>794</v>
      </c>
      <c r="C78" s="337"/>
    </row>
    <row r="79" spans="1:18">
      <c r="B79" s="331" t="s">
        <v>795</v>
      </c>
      <c r="C79" s="266">
        <f ca="1">1-C80</f>
        <v>0.71300000000000008</v>
      </c>
    </row>
    <row r="80" spans="1:18">
      <c r="B80" s="331" t="s">
        <v>796</v>
      </c>
      <c r="C80" s="266">
        <f ca="1">ROUND(C75/C39,3)</f>
        <v>0.28699999999999998</v>
      </c>
    </row>
    <row r="81" spans="2:3">
      <c r="B81" s="262" t="s">
        <v>797</v>
      </c>
      <c r="C81" s="230"/>
    </row>
    <row r="82" spans="2:3">
      <c r="B82" s="265" t="s">
        <v>798</v>
      </c>
      <c r="C82" s="267">
        <f ca="1">1-C83</f>
        <v>0.74099999999999999</v>
      </c>
    </row>
    <row r="83" spans="2:3">
      <c r="B83" s="265" t="s">
        <v>799</v>
      </c>
      <c r="C83" s="266">
        <f ca="1">ROUND(C13/C40,3)</f>
        <v>0.25900000000000001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3A3C99DD-D374-4645-8A7C-1D3695634F31}">
      <formula1>"比较法,基准地价,收益还原"</formula1>
    </dataValidation>
    <dataValidation type="list" allowBlank="1" showInputMessage="1" showErrorMessage="1" sqref="J56" xr:uid="{37729DA8-124B-497F-98EB-B5C3BBD7C6B8}">
      <formula1>估价范围判定</formula1>
    </dataValidation>
    <dataValidation type="list" allowBlank="1" showInputMessage="1" showErrorMessage="1" sqref="J48" xr:uid="{D045CF87-4844-4516-8E06-163192FE2675}">
      <formula1>"非生产用房,生产用房,受腐蚀的生产用房"</formula1>
    </dataValidation>
    <dataValidation type="list" allowBlank="1" showInputMessage="1" showErrorMessage="1" sqref="J47" xr:uid="{DD440A80-5F25-4951-BBAC-5DF69CDDB88C}">
      <formula1>"钢,钢混,砖混"</formula1>
    </dataValidation>
    <dataValidation type="list" allowBlank="1" showInputMessage="1" showErrorMessage="1" sqref="C1" xr:uid="{B831A219-427F-401B-B5E3-F2B0127CD57A}">
      <formula1>项目类型</formula1>
    </dataValidation>
    <dataValidation type="list" allowBlank="1" showInputMessage="1" showErrorMessage="1" sqref="D33 D61" xr:uid="{491BB515-1F1E-4627-BEC9-E3EB8A1D5850}">
      <formula1>"按租金收入计税,按房产原值计税,按票据"</formula1>
    </dataValidation>
    <dataValidation type="list" allowBlank="1" showInputMessage="1" showErrorMessage="1" sqref="K19" xr:uid="{394E02F4-BB7C-4B0A-9A45-0A697DF27E23}">
      <formula1>"按租金收入计税,按房产原值计税"</formula1>
    </dataValidation>
    <dataValidation type="list" allowBlank="1" showInputMessage="1" showErrorMessage="1" sqref="F10 F53 M10" xr:uid="{C28924B4-F88C-4B0A-9953-4D7231C78C7E}">
      <formula1>"押一,押二,押三,自定义"</formula1>
    </dataValidation>
    <dataValidation type="list" allowBlank="1" showInputMessage="1" showErrorMessage="1" sqref="D1" xr:uid="{DF697BF4-A709-4697-AE12-ACD3F2A455B4}">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75E11-90FE-4238-9BB8-E76DA82084B9}">
  <sheetPr>
    <tabColor rgb="FFFF0000"/>
  </sheetPr>
  <dimension ref="A1:AJ512"/>
  <sheetViews>
    <sheetView view="pageBreakPreview" topLeftCell="A53" zoomScaleNormal="100" zoomScaleSheetLayoutView="100" zoomScalePageLayoutView="80" workbookViewId="0">
      <selection activeCell="I78" sqref="I78"/>
    </sheetView>
  </sheetViews>
  <sheetFormatPr defaultColWidth="12.625" defaultRowHeight="21.75" customHeight="1"/>
  <cols>
    <col min="1" max="2" width="12.625" style="1555"/>
    <col min="3" max="4" width="12.625" style="1555" customWidth="1"/>
    <col min="5" max="9" width="12.625" style="1555"/>
    <col min="10" max="11" width="12.625" style="684" customWidth="1"/>
    <col min="12" max="12" width="12.625" style="684"/>
    <col min="13" max="13" width="14.125" style="684" bestFit="1" customWidth="1"/>
    <col min="14" max="26" width="12.625" style="684"/>
    <col min="27" max="35" width="12.625" style="1617"/>
    <col min="36" max="16384" width="12.625" style="1555"/>
  </cols>
  <sheetData>
    <row r="1" spans="1:12" ht="21.75" customHeight="1" thickBot="1">
      <c r="A1" s="1515" t="s">
        <v>1258</v>
      </c>
      <c r="B1" s="646"/>
      <c r="C1" s="1614"/>
      <c r="D1" s="646"/>
      <c r="E1" s="646"/>
      <c r="F1" s="1615" t="s">
        <v>1259</v>
      </c>
      <c r="G1" s="1447"/>
      <c r="H1" s="1615" t="str">
        <f>IF(G1="现房","——","估价对象范围")</f>
        <v>估价对象范围</v>
      </c>
      <c r="I1" s="1616"/>
    </row>
    <row r="2" spans="1:12" ht="21.75" customHeight="1" thickBot="1">
      <c r="A2" s="3379" t="str">
        <f>项目基本情况!S2</f>
        <v>北京市房地产</v>
      </c>
      <c r="B2" s="3380"/>
      <c r="C2" s="3380"/>
      <c r="D2" s="3380"/>
      <c r="E2" s="3380"/>
      <c r="F2" s="3380"/>
      <c r="G2" s="3380"/>
      <c r="H2" s="3380"/>
      <c r="I2" s="3381"/>
    </row>
    <row r="3" spans="1:12" ht="12.75">
      <c r="A3" s="3383" t="s">
        <v>1260</v>
      </c>
      <c r="B3" s="3384"/>
      <c r="C3" s="3384"/>
      <c r="D3" s="3384"/>
      <c r="E3" s="3384"/>
      <c r="F3" s="3384"/>
      <c r="G3" s="3384"/>
      <c r="H3" s="3384"/>
      <c r="I3" s="3384"/>
    </row>
    <row r="4" spans="1:12" ht="14.25">
      <c r="A4" s="1618" t="s">
        <v>1261</v>
      </c>
      <c r="B4" s="1619" t="s">
        <v>1262</v>
      </c>
      <c r="C4" s="1620" t="s">
        <v>3559</v>
      </c>
      <c r="D4" s="1620" t="s">
        <v>3547</v>
      </c>
      <c r="E4" s="3385" t="s">
        <v>1263</v>
      </c>
      <c r="F4" s="3386"/>
      <c r="G4" s="3386"/>
      <c r="H4" s="3386"/>
      <c r="I4" s="3387"/>
      <c r="K4" s="138" t="str">
        <f>IF(ISNUMBER(FIND("比较法",'结果表-39-4'!C4)),"比较法",IF(ISNUMBER(FIND("成本法",'结果表-39-4'!C4)),"成本法",IF(ISNUMBER(FIND("假设开发法",'结果表-39-4'!C4)),"假设开发法",IF(ISNUMBER(FIND("收益法",'结果表-39-4'!C4)),"收益法","基准地价系数修正法"))))</f>
        <v>成本法</v>
      </c>
      <c r="L4" s="138" t="str">
        <f>IF(ISNUMBER(FIND("比较法",'结果表-39-4'!D4)),"比较法",IF(ISNUMBER(FIND("成本法",'结果表-39-4'!D4)),"成本法",IF(ISNUMBER(FIND("假设开发法",'结果表-39-4'!D4)),"假设开发法",IF(ISNUMBER(FIND("收益法",'结果表-39-4'!D4)),"收益法","基准地价系数修正法"))))</f>
        <v>收益法</v>
      </c>
    </row>
    <row r="5" spans="1:12" ht="12.75">
      <c r="A5" s="3359" t="s">
        <v>1264</v>
      </c>
      <c r="B5" s="3346">
        <v>25</v>
      </c>
      <c r="C5" s="3362"/>
      <c r="D5" s="3382"/>
      <c r="E5" s="123" t="s">
        <v>1265</v>
      </c>
      <c r="F5" s="1621"/>
      <c r="G5" s="1621"/>
      <c r="H5" s="1621"/>
      <c r="I5" s="1275"/>
    </row>
    <row r="6" spans="1:12" ht="12.75">
      <c r="A6" s="3359"/>
      <c r="B6" s="3346"/>
      <c r="C6" s="3363"/>
      <c r="D6" s="3382"/>
      <c r="E6" s="123" t="s">
        <v>1266</v>
      </c>
      <c r="F6" s="1621"/>
      <c r="G6" s="1621"/>
      <c r="H6" s="1621"/>
      <c r="I6" s="1275"/>
    </row>
    <row r="7" spans="1:12" ht="12.75">
      <c r="A7" s="3359"/>
      <c r="B7" s="3346"/>
      <c r="C7" s="3364"/>
      <c r="D7" s="3382"/>
      <c r="E7" s="123" t="s">
        <v>1267</v>
      </c>
      <c r="F7" s="1621"/>
      <c r="G7" s="1621"/>
      <c r="H7" s="1621"/>
      <c r="I7" s="1275"/>
    </row>
    <row r="8" spans="1:12" ht="12.75">
      <c r="A8" s="3359" t="s">
        <v>1268</v>
      </c>
      <c r="B8" s="3346">
        <v>15</v>
      </c>
      <c r="C8" s="3362"/>
      <c r="D8" s="3382"/>
      <c r="E8" s="123" t="s">
        <v>1269</v>
      </c>
      <c r="F8" s="1621"/>
      <c r="G8" s="1621"/>
      <c r="H8" s="1621"/>
      <c r="I8" s="1275"/>
    </row>
    <row r="9" spans="1:12" ht="12.75">
      <c r="A9" s="3359"/>
      <c r="B9" s="3346"/>
      <c r="C9" s="3364"/>
      <c r="D9" s="3382"/>
      <c r="E9" s="123" t="s">
        <v>1270</v>
      </c>
      <c r="F9" s="1621"/>
      <c r="G9" s="1621"/>
      <c r="H9" s="1621"/>
      <c r="I9" s="1275"/>
    </row>
    <row r="10" spans="1:12" ht="12.75">
      <c r="A10" s="3359" t="s">
        <v>1271</v>
      </c>
      <c r="B10" s="3346">
        <v>15</v>
      </c>
      <c r="C10" s="3362"/>
      <c r="D10" s="3382"/>
      <c r="E10" s="123" t="s">
        <v>1272</v>
      </c>
      <c r="F10" s="1621"/>
      <c r="G10" s="1621"/>
      <c r="H10" s="1621"/>
      <c r="I10" s="1275"/>
    </row>
    <row r="11" spans="1:12" ht="12.75">
      <c r="A11" s="3359"/>
      <c r="B11" s="3346"/>
      <c r="C11" s="3364"/>
      <c r="D11" s="3382"/>
      <c r="E11" s="123" t="s">
        <v>1273</v>
      </c>
      <c r="F11" s="1621"/>
      <c r="G11" s="1621"/>
      <c r="H11" s="1621"/>
      <c r="I11" s="1275"/>
    </row>
    <row r="12" spans="1:12" ht="12.75">
      <c r="A12" s="3359" t="s">
        <v>1274</v>
      </c>
      <c r="B12" s="3346">
        <v>15</v>
      </c>
      <c r="C12" s="3362"/>
      <c r="D12" s="3382"/>
      <c r="E12" s="123" t="s">
        <v>1275</v>
      </c>
      <c r="F12" s="1621"/>
      <c r="G12" s="1621"/>
      <c r="H12" s="1621"/>
      <c r="I12" s="1275"/>
    </row>
    <row r="13" spans="1:12" ht="12.75">
      <c r="A13" s="3359"/>
      <c r="B13" s="3346"/>
      <c r="C13" s="3364"/>
      <c r="D13" s="3382"/>
      <c r="E13" s="123" t="s">
        <v>1276</v>
      </c>
      <c r="F13" s="1621"/>
      <c r="G13" s="1621"/>
      <c r="H13" s="1621"/>
      <c r="I13" s="1275"/>
    </row>
    <row r="14" spans="1:12" ht="12.75">
      <c r="A14" s="3359" t="s">
        <v>1277</v>
      </c>
      <c r="B14" s="3346">
        <v>30</v>
      </c>
      <c r="C14" s="3362">
        <v>3</v>
      </c>
      <c r="D14" s="3382">
        <v>7</v>
      </c>
      <c r="E14" s="123" t="s">
        <v>1278</v>
      </c>
      <c r="F14" s="1621"/>
      <c r="G14" s="1621"/>
      <c r="H14" s="1621"/>
      <c r="I14" s="1275"/>
    </row>
    <row r="15" spans="1:12" ht="12.75">
      <c r="A15" s="3359"/>
      <c r="B15" s="3346"/>
      <c r="C15" s="3363"/>
      <c r="D15" s="3382"/>
      <c r="E15" s="123" t="s">
        <v>1279</v>
      </c>
      <c r="F15" s="1621"/>
      <c r="G15" s="1621"/>
      <c r="H15" s="1621"/>
      <c r="I15" s="1275"/>
    </row>
    <row r="16" spans="1:12" ht="12.75">
      <c r="A16" s="3359"/>
      <c r="B16" s="3346"/>
      <c r="C16" s="3364"/>
      <c r="D16" s="3382"/>
      <c r="E16" s="123" t="s">
        <v>1280</v>
      </c>
      <c r="F16" s="1621"/>
      <c r="G16" s="1621"/>
      <c r="H16" s="1621"/>
      <c r="I16" s="1275"/>
    </row>
    <row r="17" spans="1:36" ht="15">
      <c r="A17" s="1622" t="s">
        <v>1281</v>
      </c>
      <c r="B17" s="54"/>
      <c r="C17" s="124">
        <f>SUM(C5:C16)</f>
        <v>3</v>
      </c>
      <c r="D17" s="124">
        <f>SUM(D5:D16)</f>
        <v>7</v>
      </c>
      <c r="E17" s="121"/>
      <c r="F17" s="121"/>
      <c r="G17" s="121"/>
      <c r="H17" s="121"/>
      <c r="I17" s="121"/>
      <c r="K17" s="294"/>
      <c r="L17" s="294" t="s">
        <v>1282</v>
      </c>
      <c r="M17" s="294" t="s">
        <v>1283</v>
      </c>
    </row>
    <row r="18" spans="1:36" ht="31.9" customHeight="1" thickBot="1">
      <c r="A18" s="1623" t="s">
        <v>1284</v>
      </c>
      <c r="B18" s="1536"/>
      <c r="C18" s="125">
        <f>ROUND(C17/SUM(C17:D17),2)</f>
        <v>0.3</v>
      </c>
      <c r="D18" s="125">
        <f>1-C18</f>
        <v>0.7</v>
      </c>
      <c r="E18" s="3369" t="s">
        <v>2124</v>
      </c>
      <c r="F18" s="3370"/>
      <c r="G18" s="3370"/>
      <c r="H18" s="3370"/>
      <c r="I18" s="3370"/>
      <c r="K18" s="294" t="s">
        <v>1285</v>
      </c>
      <c r="L18" s="294">
        <f>IF(C1="",'数据-汇总表'!E3,SUMIF(项目类型,C1,'数据-汇总表'!E17:E26)+SUMIF(项目类型,C1,'数据-汇总表'!I17:I26))</f>
        <v>4179.0200000000004</v>
      </c>
      <c r="M18" s="294">
        <f>IF(C1="",'数据-汇总表'!E3,SUMIF(项目类型,C1,'数据-汇总表'!E17:E26))</f>
        <v>4179.0200000000004</v>
      </c>
    </row>
    <row r="19" spans="1:36" ht="15">
      <c r="A19" s="1624" t="s">
        <v>1286</v>
      </c>
      <c r="B19" s="1625" t="s">
        <v>1287</v>
      </c>
      <c r="C19" s="126">
        <f ca="1">SUMIF(INDIRECT("'"&amp;C4&amp;"'"&amp;"!A:A"),'结果表-39-4'!B19,INDIRECT("'"&amp;C4&amp;"'"&amp;"!B:B"))</f>
        <v>1784.4681</v>
      </c>
      <c r="D19" s="127">
        <f ca="1">SUMIF(INDIRECT("'"&amp;D4&amp;"'"&amp;"!A:A"),'结果表-39-4'!B19,INDIRECT("'"&amp;D4&amp;"'"&amp;"!B:B"))</f>
        <v>2661.3472000000002</v>
      </c>
      <c r="E19" s="1624" t="s">
        <v>1288</v>
      </c>
      <c r="F19" s="1625" t="s">
        <v>1287</v>
      </c>
      <c r="G19" s="128">
        <f ca="1">ROUND(C19*$C$18+D19*$D$18,0)</f>
        <v>2398</v>
      </c>
      <c r="H19" s="1626"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27"/>
      <c r="B20" s="43" t="s">
        <v>1291</v>
      </c>
      <c r="C20" s="129">
        <f ca="1">SUMIF(INDIRECT("'"&amp;C4&amp;"'"&amp;"!A:A"),'结果表-39-4'!B20,INDIRECT("'"&amp;C4&amp;"'"&amp;"!B:B"))</f>
        <v>28889</v>
      </c>
      <c r="D20" s="130">
        <f ca="1">SUMIF(INDIRECT("'"&amp;D4&amp;"'"&amp;"!A:A"),'结果表-39-4'!B20,INDIRECT("'"&amp;D4&amp;"'"&amp;"!B:B"))</f>
        <v>43085</v>
      </c>
      <c r="E20" s="1627"/>
      <c r="F20" s="43" t="s">
        <v>1291</v>
      </c>
      <c r="G20" s="131">
        <f ca="1">ROUND(C20*$C$18+D20*$D$18,0)</f>
        <v>38826</v>
      </c>
      <c r="H20" s="754"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28" t="s">
        <v>1292</v>
      </c>
      <c r="I21" s="121"/>
    </row>
    <row r="22" spans="1:36" ht="15" thickBot="1">
      <c r="A22" s="1558" t="s">
        <v>1294</v>
      </c>
      <c r="B22" s="1629"/>
      <c r="C22" s="1630"/>
      <c r="D22" s="680">
        <f ca="1">IF(C19&lt;D19,D19/C19-1,C19/D19-1)</f>
        <v>0.49139522303592886</v>
      </c>
      <c r="E22" s="121"/>
      <c r="F22" s="121"/>
      <c r="G22" s="121"/>
      <c r="H22" s="121"/>
      <c r="I22" s="121"/>
    </row>
    <row r="23" spans="1:36" ht="13.5" thickBot="1">
      <c r="A23" s="646"/>
      <c r="B23" s="646"/>
      <c r="C23" s="646"/>
      <c r="D23" s="646"/>
      <c r="E23" s="121"/>
      <c r="F23" s="121"/>
      <c r="G23" s="121"/>
      <c r="H23" s="121"/>
      <c r="I23" s="121"/>
    </row>
    <row r="24" spans="1:36" ht="14.25">
      <c r="A24" s="3353" t="s">
        <v>1295</v>
      </c>
      <c r="B24" s="1625" t="s">
        <v>1287</v>
      </c>
      <c r="C24" s="128">
        <f>IF(B30=0,0,D30)</f>
        <v>0</v>
      </c>
      <c r="D24" s="1631"/>
      <c r="E24" s="121"/>
      <c r="F24" s="121"/>
      <c r="G24" s="121"/>
      <c r="H24" s="121"/>
      <c r="I24" s="121"/>
    </row>
    <row r="25" spans="1:36" ht="14.25">
      <c r="A25" s="3354"/>
      <c r="B25" s="43" t="s">
        <v>1291</v>
      </c>
      <c r="C25" s="133">
        <f>IF(B30=0,0,C30)</f>
        <v>0</v>
      </c>
      <c r="D25" s="1632"/>
      <c r="E25" s="121"/>
      <c r="F25" s="121"/>
      <c r="G25" s="121"/>
      <c r="H25" s="121"/>
      <c r="I25" s="121"/>
    </row>
    <row r="26" spans="1:36" ht="13.5" customHeight="1">
      <c r="A26" s="1633" t="s">
        <v>1296</v>
      </c>
      <c r="B26" s="134" t="s">
        <v>1297</v>
      </c>
      <c r="C26" s="134" t="s">
        <v>1298</v>
      </c>
      <c r="D26" s="135" t="s">
        <v>1299</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1300</v>
      </c>
      <c r="B30" s="134"/>
      <c r="C30" s="134"/>
      <c r="D30" s="134"/>
      <c r="E30" s="2121" t="s">
        <v>2125</v>
      </c>
      <c r="F30" s="121"/>
      <c r="G30" s="121"/>
      <c r="H30" s="121"/>
      <c r="I30" s="121"/>
    </row>
    <row r="31" spans="1:36" s="2127" customFormat="1" ht="26.45" customHeight="1" thickTop="1" thickBot="1">
      <c r="A31" s="2122"/>
      <c r="B31" s="2123"/>
      <c r="C31" s="2123"/>
      <c r="D31" s="2123"/>
      <c r="E31" s="2123"/>
      <c r="F31" s="2123"/>
      <c r="G31" s="2123"/>
      <c r="H31" s="2123"/>
      <c r="I31" s="2124" t="s">
        <v>2126</v>
      </c>
      <c r="J31" s="2458"/>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4" t="s">
        <v>1301</v>
      </c>
      <c r="B32" s="1529"/>
      <c r="C32" s="136">
        <f ca="1">IF(D32="总价",G19-C24,G20-C25)</f>
        <v>2398</v>
      </c>
      <c r="D32" s="1635" t="s">
        <v>3556</v>
      </c>
      <c r="E32" s="121"/>
      <c r="F32" s="121"/>
      <c r="G32" s="121"/>
      <c r="H32" s="121"/>
      <c r="I32" s="121"/>
    </row>
    <row r="33" spans="1:15" ht="15">
      <c r="A33" s="734" t="s">
        <v>1302</v>
      </c>
      <c r="B33" s="123"/>
      <c r="C33" s="1636" t="s">
        <v>3557</v>
      </c>
      <c r="D33" s="1637" t="s">
        <v>3547</v>
      </c>
      <c r="E33" s="1638" t="s">
        <v>1303</v>
      </c>
      <c r="F33" s="1639" t="str">
        <f>IF(D32="楼面单价","取值（单价）","取值（总价）")</f>
        <v>取值（总价）</v>
      </c>
      <c r="G33" s="121"/>
      <c r="H33" s="121"/>
      <c r="I33" s="121"/>
    </row>
    <row r="34" spans="1:15" ht="15">
      <c r="A34" s="1640"/>
      <c r="B34" s="1641" t="s">
        <v>1304</v>
      </c>
      <c r="C34" s="140">
        <f ca="1">IF(C33="自定义",F34,C32-C35)</f>
        <v>2069</v>
      </c>
      <c r="D34" s="802">
        <f ca="1">IF(C33="自定义",ROUND(C34/C32,3),IF(C33="收益比率",SUMIF(INDIRECT("'"&amp;D33&amp;"'"&amp;"!b:b"),"土地收益比率",INDIRECT("'"&amp;D33&amp;"'"&amp;"!c:c")),SUMIF(INDIRECT("'"&amp;D33&amp;"'"&amp;"!b:b"),"土地成本比率",INDIRECT("'"&amp;D33&amp;"'"&amp;"!c:c"))))</f>
        <v>0.86299999999999999</v>
      </c>
      <c r="E34" s="1642" t="s">
        <v>1305</v>
      </c>
      <c r="F34" s="1237"/>
      <c r="G34" s="121"/>
      <c r="H34" s="121"/>
      <c r="I34" s="121"/>
    </row>
    <row r="35" spans="1:15" ht="15.75" thickBot="1">
      <c r="A35" s="1643"/>
      <c r="B35" s="1644" t="s">
        <v>1306</v>
      </c>
      <c r="C35" s="1084">
        <f ca="1">IF(C33="自定义",F35,ROUND(C32*D35,0))</f>
        <v>329</v>
      </c>
      <c r="D35" s="1085">
        <f ca="1">IF(C33="自定义",ROUND(C35/C32,3),IF(C33="收益比率",SUMIF(INDIRECT("'"&amp;D33&amp;"'"&amp;"!b:b"),"建筑物收益比率",INDIRECT("'"&amp;D33&amp;"'"&amp;"!c:c")),SUMIF(INDIRECT("'"&amp;D33&amp;"'"&amp;"!b:b"),"建筑物成本比率",INDIRECT("'"&amp;D33&amp;"'"&amp;"!c:c"))))</f>
        <v>0.13700000000000001</v>
      </c>
      <c r="E35" s="1645" t="s">
        <v>1307</v>
      </c>
      <c r="F35" s="146"/>
      <c r="G35" s="121"/>
      <c r="H35" s="121"/>
      <c r="I35" s="121"/>
    </row>
    <row r="36" spans="1:15" ht="15.75" thickBot="1">
      <c r="A36" s="3373" t="s">
        <v>1308</v>
      </c>
      <c r="B36" s="1646" t="s">
        <v>1309</v>
      </c>
      <c r="C36" s="137"/>
      <c r="D36" s="1647"/>
      <c r="E36" s="1561"/>
      <c r="F36" s="1648"/>
      <c r="G36" s="121"/>
      <c r="H36" s="121"/>
      <c r="I36" s="121"/>
    </row>
    <row r="37" spans="1:15" ht="15.75" thickBot="1">
      <c r="A37" s="3374"/>
      <c r="B37" s="1549" t="s">
        <v>1310</v>
      </c>
      <c r="C37" s="139"/>
      <c r="D37" s="1065"/>
      <c r="E37" s="1065"/>
      <c r="F37" s="1648"/>
      <c r="G37" s="121"/>
      <c r="H37" s="121"/>
      <c r="I37" s="121"/>
    </row>
    <row r="38" spans="1:15" ht="15.75" thickBot="1">
      <c r="A38" s="3375"/>
      <c r="B38" s="1649" t="s">
        <v>1311</v>
      </c>
      <c r="C38" s="641"/>
      <c r="D38" s="1650" t="s">
        <v>1312</v>
      </c>
      <c r="E38" s="1065"/>
      <c r="F38" s="1648"/>
      <c r="G38" s="121"/>
      <c r="H38" s="121"/>
      <c r="I38" s="121"/>
    </row>
    <row r="39" spans="1:15" ht="15">
      <c r="A39" s="1627" t="s">
        <v>1313</v>
      </c>
      <c r="B39" s="1651" t="s">
        <v>1297</v>
      </c>
      <c r="C39" s="1652" t="s">
        <v>1298</v>
      </c>
      <c r="D39" s="1652" t="s">
        <v>1316</v>
      </c>
      <c r="E39" s="1653" t="s">
        <v>1299</v>
      </c>
      <c r="F39" s="1648"/>
      <c r="G39" s="121"/>
      <c r="H39" s="121"/>
      <c r="I39" s="121"/>
    </row>
    <row r="40" spans="1:15" ht="14.25">
      <c r="A40" s="1654" t="s">
        <v>1318</v>
      </c>
      <c r="B40" s="141"/>
      <c r="C40" s="142"/>
      <c r="D40" s="142"/>
      <c r="E40" s="143"/>
      <c r="F40" s="1648"/>
      <c r="G40" s="121"/>
      <c r="H40" s="121"/>
      <c r="I40" s="121"/>
    </row>
    <row r="41" spans="1:15" ht="14.25">
      <c r="A41" s="1654" t="s">
        <v>1319</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1320</v>
      </c>
      <c r="B44" s="1658"/>
      <c r="C44" s="1658"/>
      <c r="D44" s="1659"/>
      <c r="E44" s="1659"/>
      <c r="F44" s="1660"/>
      <c r="G44" s="1660"/>
      <c r="H44" s="1660"/>
      <c r="I44" s="1660"/>
      <c r="J44" s="1661" t="s">
        <v>1321</v>
      </c>
      <c r="K44" s="4"/>
      <c r="L44" s="4"/>
      <c r="M44" s="4"/>
      <c r="N44" s="4"/>
      <c r="O44" s="4"/>
    </row>
    <row r="45" spans="1:15" ht="14.25" customHeight="1" thickBot="1">
      <c r="A45" s="3350" t="s">
        <v>1322</v>
      </c>
      <c r="B45" s="3351"/>
      <c r="C45" s="3352"/>
      <c r="D45" s="147">
        <f ca="1">ROUND(H101*F45,0)</f>
        <v>2398</v>
      </c>
      <c r="E45" s="148" t="s">
        <v>1323</v>
      </c>
      <c r="F45" s="149">
        <v>1</v>
      </c>
      <c r="G45" s="150" t="s">
        <v>1324</v>
      </c>
      <c r="H45" s="121"/>
      <c r="I45" s="121"/>
      <c r="J45" s="3428" t="s">
        <v>1325</v>
      </c>
      <c r="K45" s="3428"/>
      <c r="L45" s="3428"/>
      <c r="M45" s="3428"/>
      <c r="N45" s="3428"/>
      <c r="O45" s="3428"/>
    </row>
    <row r="46" spans="1:15" ht="14.25" customHeight="1">
      <c r="A46" s="3347" t="s">
        <v>1326</v>
      </c>
      <c r="B46" s="3348"/>
      <c r="C46" s="3348"/>
      <c r="D46" s="3348"/>
      <c r="E46" s="3348"/>
      <c r="F46" s="3348"/>
      <c r="G46" s="3349"/>
      <c r="H46" s="1662"/>
      <c r="I46" s="151"/>
      <c r="J46" s="2304">
        <v>1</v>
      </c>
      <c r="K46" s="3409" t="s">
        <v>1327</v>
      </c>
      <c r="L46" s="3409"/>
      <c r="M46" s="3429"/>
      <c r="N46" s="3429"/>
      <c r="O46" s="3429"/>
    </row>
    <row r="47" spans="1:15" ht="12" customHeight="1">
      <c r="A47" s="152" t="s">
        <v>1328</v>
      </c>
      <c r="B47" s="153"/>
      <c r="C47" s="154"/>
      <c r="D47" s="1018" t="s">
        <v>1329</v>
      </c>
      <c r="E47" s="294" t="s">
        <v>1330</v>
      </c>
      <c r="F47" s="155" t="s">
        <v>1331</v>
      </c>
      <c r="G47" s="2327" t="s">
        <v>1332</v>
      </c>
      <c r="H47" s="2328"/>
      <c r="I47" s="151"/>
      <c r="J47" s="2304">
        <v>2</v>
      </c>
      <c r="K47" s="3409" t="s">
        <v>1333</v>
      </c>
      <c r="L47" s="3409"/>
      <c r="M47" s="3430">
        <f>'数据-取费表'!B2</f>
        <v>45873</v>
      </c>
      <c r="N47" s="3430"/>
      <c r="O47" s="3430"/>
    </row>
    <row r="48" spans="1:15" ht="25.5">
      <c r="A48" s="3378" t="s">
        <v>1334</v>
      </c>
      <c r="B48" s="3361"/>
      <c r="C48" s="3361"/>
      <c r="D48" s="12">
        <f ca="1">IF(H48="情况1",0,IF(H48="情况2",D52,IF(H48="情况3",D53,IF(H48="情况4",D54))))</f>
        <v>7</v>
      </c>
      <c r="E48" s="1250" t="str">
        <f>IF(H48="情况4","(销售额-原购置价)×税（费）率","销售额×税（费）率")</f>
        <v>(销售额-原购置价)×税（费）率</v>
      </c>
      <c r="F48" s="2329">
        <f>IF(H48="情况1","免征",'数据-取费表'!B41)</f>
        <v>5.6000000000000001E-2</v>
      </c>
      <c r="G48" s="2330" t="s">
        <v>1335</v>
      </c>
      <c r="H48" s="2331" t="s">
        <v>3575</v>
      </c>
      <c r="I48" s="1662"/>
      <c r="J48" s="2304">
        <v>3</v>
      </c>
      <c r="K48" s="3409" t="s">
        <v>1336</v>
      </c>
      <c r="L48" s="3409"/>
      <c r="M48" s="3431">
        <f ca="1">H101</f>
        <v>2398</v>
      </c>
      <c r="N48" s="3431"/>
      <c r="O48" s="3431"/>
    </row>
    <row r="49" spans="1:35" ht="25.5" customHeight="1">
      <c r="A49" s="2146" t="s">
        <v>1337</v>
      </c>
      <c r="B49" s="3345" t="s">
        <v>1338</v>
      </c>
      <c r="C49" s="3345"/>
      <c r="D49" s="1472">
        <v>0</v>
      </c>
      <c r="E49" s="316" t="s">
        <v>1339</v>
      </c>
      <c r="F49" s="2227" t="s">
        <v>28</v>
      </c>
      <c r="G49" s="3415"/>
      <c r="H49" s="2128" t="s">
        <v>2127</v>
      </c>
      <c r="I49" s="2129"/>
      <c r="J49" s="2304">
        <v>4</v>
      </c>
      <c r="K49" s="3409" t="str">
        <f>IF(项目基本情况!E8="房地产抵押价值","房地产抵押价值","抵押担保权已注销时的房地产抵押价值")</f>
        <v>房地产抵押价值</v>
      </c>
      <c r="L49" s="3409"/>
      <c r="M49" s="3431">
        <f ca="1">IF(项目基本情况!E8="房地产抵押价值",H107,H109)</f>
        <v>2398</v>
      </c>
      <c r="N49" s="3431"/>
      <c r="O49" s="3431"/>
    </row>
    <row r="50" spans="1:35" ht="25.5" customHeight="1">
      <c r="A50" s="2332"/>
      <c r="B50" s="3345" t="s">
        <v>1340</v>
      </c>
      <c r="C50" s="3345"/>
      <c r="D50" s="2183"/>
      <c r="E50" s="323"/>
      <c r="F50" s="2227"/>
      <c r="G50" s="3416"/>
      <c r="H50" s="2130" t="s">
        <v>2128</v>
      </c>
      <c r="I50" s="2129"/>
      <c r="J50" s="3428" t="s">
        <v>1341</v>
      </c>
      <c r="K50" s="3428"/>
      <c r="L50" s="3428"/>
      <c r="M50" s="3428"/>
      <c r="N50" s="3428"/>
      <c r="O50" s="3428"/>
    </row>
    <row r="51" spans="1:35" ht="20.45" customHeight="1">
      <c r="A51" s="2333"/>
      <c r="B51" s="3345" t="s">
        <v>1342</v>
      </c>
      <c r="C51" s="3345"/>
      <c r="D51" s="1018"/>
      <c r="E51" s="319"/>
      <c r="F51" s="2227"/>
      <c r="G51" s="3417"/>
      <c r="H51" s="2130" t="s">
        <v>2129</v>
      </c>
      <c r="I51" s="2129"/>
      <c r="J51" s="2305" t="s">
        <v>1343</v>
      </c>
      <c r="K51" s="3409" t="s">
        <v>1344</v>
      </c>
      <c r="L51" s="3409"/>
      <c r="M51" s="2305" t="s">
        <v>1345</v>
      </c>
      <c r="N51" s="2305" t="s">
        <v>1346</v>
      </c>
      <c r="O51" s="2305" t="s">
        <v>1347</v>
      </c>
    </row>
    <row r="52" spans="1:35" ht="24" customHeight="1">
      <c r="A52" s="2147" t="s">
        <v>1348</v>
      </c>
      <c r="B52" s="3345" t="s">
        <v>1349</v>
      </c>
      <c r="C52" s="3345"/>
      <c r="D52" s="1018">
        <f ca="1">ROUND(D45*'数据-取费表'!B41/(1+'数据-取费表'!C42),0)</f>
        <v>128</v>
      </c>
      <c r="E52" s="1250" t="s">
        <v>1350</v>
      </c>
      <c r="F52" s="2334">
        <f>'数据-取费表'!B41</f>
        <v>5.6000000000000001E-2</v>
      </c>
      <c r="G52" s="2335"/>
      <c r="H52" s="2325"/>
      <c r="I52" s="1663"/>
      <c r="J52" s="2304">
        <v>1</v>
      </c>
      <c r="K52" s="3410" t="s">
        <v>1351</v>
      </c>
      <c r="L52" s="3410"/>
      <c r="M52" s="2306">
        <f ca="1">D48</f>
        <v>7</v>
      </c>
      <c r="N52" s="2304" t="str">
        <f>E48</f>
        <v>(销售额-原购置价)×税（费）率</v>
      </c>
      <c r="O52" s="2307">
        <f>F48</f>
        <v>5.6000000000000001E-2</v>
      </c>
    </row>
    <row r="53" spans="1:35" ht="12" customHeight="1">
      <c r="A53" s="2147" t="s">
        <v>1352</v>
      </c>
      <c r="B53" s="3371" t="s">
        <v>2275</v>
      </c>
      <c r="C53" s="3372"/>
      <c r="D53" s="1018">
        <f ca="1">ROUND(D45*'数据-取费表'!B41/(1+'数据-取费表'!C42),0)</f>
        <v>128</v>
      </c>
      <c r="E53" s="1250" t="s">
        <v>1350</v>
      </c>
      <c r="F53" s="2334">
        <f>'数据-取费表'!B41</f>
        <v>5.6000000000000001E-2</v>
      </c>
      <c r="G53" s="2335"/>
      <c r="H53" s="2325"/>
      <c r="I53" s="1663"/>
      <c r="J53" s="2304">
        <v>2</v>
      </c>
      <c r="K53" s="3410" t="s">
        <v>1353</v>
      </c>
      <c r="L53" s="3410"/>
      <c r="M53" s="2306">
        <f t="shared" ref="M53:O54" ca="1" si="0">D55</f>
        <v>1</v>
      </c>
      <c r="N53" s="2304" t="str">
        <f t="shared" si="0"/>
        <v>销售额×税（费）率</v>
      </c>
      <c r="O53" s="2307">
        <f t="shared" si="0"/>
        <v>5.0000000000000001E-4</v>
      </c>
    </row>
    <row r="54" spans="1:35" ht="12" customHeight="1">
      <c r="A54" s="2147" t="s">
        <v>1354</v>
      </c>
      <c r="B54" s="3371" t="s">
        <v>2276</v>
      </c>
      <c r="C54" s="3372"/>
      <c r="D54" s="1018">
        <f ca="1">C68</f>
        <v>7</v>
      </c>
      <c r="E54" s="319" t="s">
        <v>1355</v>
      </c>
      <c r="F54" s="2334">
        <f>'数据-取费表'!B41</f>
        <v>5.6000000000000001E-2</v>
      </c>
      <c r="G54" s="2335"/>
      <c r="H54" s="2336"/>
      <c r="I54" s="1663"/>
      <c r="J54" s="2304">
        <v>3</v>
      </c>
      <c r="K54" s="3410" t="s">
        <v>1356</v>
      </c>
      <c r="L54" s="3410"/>
      <c r="M54" s="2306">
        <f t="shared" ca="1" si="0"/>
        <v>0</v>
      </c>
      <c r="N54" s="2304" t="str">
        <f t="shared" si="0"/>
        <v>增值额×税（费）率</v>
      </c>
      <c r="O54" s="2308" t="str">
        <f t="shared" si="0"/>
        <v>——</v>
      </c>
    </row>
    <row r="55" spans="1:35" ht="24" customHeight="1">
      <c r="A55" s="3360" t="s">
        <v>1357</v>
      </c>
      <c r="B55" s="3361"/>
      <c r="C55" s="3361"/>
      <c r="D55" s="12">
        <f ca="1">IF(H55="个人住宅",0,ROUND(D45*I55,0))</f>
        <v>1</v>
      </c>
      <c r="E55" s="1250" t="s">
        <v>1358</v>
      </c>
      <c r="F55" s="2334">
        <f>IF(H55="正常",I55,"免征")</f>
        <v>5.0000000000000001E-4</v>
      </c>
      <c r="G55" s="2335"/>
      <c r="H55" s="2331" t="s">
        <v>3576</v>
      </c>
      <c r="I55" s="157">
        <f>'数据-取费表'!B49</f>
        <v>5.0000000000000001E-4</v>
      </c>
      <c r="J55" s="2304" t="str">
        <f>IF(H59="非个人房产","",4)</f>
        <v/>
      </c>
      <c r="K55" s="3410" t="str">
        <f>IF(H59="非个人房产","——","个人所得税")</f>
        <v>——</v>
      </c>
      <c r="L55" s="3410"/>
      <c r="M55" s="2309" t="str">
        <f>D59</f>
        <v>——</v>
      </c>
      <c r="N55" s="1877" t="str">
        <f>E59</f>
        <v>——</v>
      </c>
      <c r="O55" s="2310" t="str">
        <f>F59</f>
        <v>——</v>
      </c>
    </row>
    <row r="56" spans="1:35" ht="24.75">
      <c r="A56" s="3360" t="s">
        <v>1359</v>
      </c>
      <c r="B56" s="3361"/>
      <c r="C56" s="3361"/>
      <c r="D56" s="12">
        <f ca="1">IF(H56="个人住宅",D57,D58)</f>
        <v>0</v>
      </c>
      <c r="E56" s="1250" t="s">
        <v>1360</v>
      </c>
      <c r="F56" s="2334" t="str">
        <f>IF(H56="正常",F58,"免征")</f>
        <v>——</v>
      </c>
      <c r="G56" s="2337" t="s">
        <v>1361</v>
      </c>
      <c r="H56" s="2338" t="s">
        <v>3576</v>
      </c>
      <c r="I56" s="1664"/>
      <c r="J56" s="2304" t="str">
        <f>IF(项目基本情况!K6="上海银行",IF(J55="",4,J55+1),"")</f>
        <v/>
      </c>
      <c r="K56" s="3433" t="str">
        <f>IF(项目基本情况!K6="上海银行","其他处置费用","")</f>
        <v/>
      </c>
      <c r="L56" s="3434"/>
      <c r="M56" s="2306" t="str">
        <f>IF(项目基本情况!K6="上海银行",M69,"")</f>
        <v/>
      </c>
      <c r="N56" s="3433" t="str">
        <f>IF(项目基本情况!K6="上海银行","包含处置中涉及的律师、诉讼、拍卖、评估等费用","")</f>
        <v/>
      </c>
      <c r="O56" s="3436"/>
    </row>
    <row r="57" spans="1:35" ht="12.75">
      <c r="A57" s="2147" t="s">
        <v>1337</v>
      </c>
      <c r="B57" s="3371" t="s">
        <v>1362</v>
      </c>
      <c r="C57" s="3372"/>
      <c r="D57" s="1472">
        <v>0</v>
      </c>
      <c r="E57" s="316" t="s">
        <v>1339</v>
      </c>
      <c r="F57" s="294"/>
      <c r="G57" s="2335"/>
      <c r="H57" s="2339"/>
      <c r="I57" s="1664"/>
      <c r="J57" s="3410">
        <f>IF(AND(J55="",J56=""),4,IF(项目基本情况!K6="上海银行",'结果表-39-4'!J56+1,'结果表-39-4'!J55+1))</f>
        <v>4</v>
      </c>
      <c r="K57" s="3410" t="s">
        <v>1363</v>
      </c>
      <c r="L57" s="2311" t="s">
        <v>1364</v>
      </c>
      <c r="M57" s="2312"/>
      <c r="N57" s="2313">
        <f ca="1">SUMIF(M52:M56,"&lt;9e307")</f>
        <v>8</v>
      </c>
      <c r="O57" s="2314"/>
      <c r="P57" s="2459">
        <f ca="1">N57/M49</f>
        <v>3.336113427856547E-3</v>
      </c>
    </row>
    <row r="58" spans="1:35" ht="24.75">
      <c r="A58" s="2147" t="s">
        <v>1348</v>
      </c>
      <c r="B58" s="3371" t="s">
        <v>1365</v>
      </c>
      <c r="C58" s="3345"/>
      <c r="D58" s="12">
        <f ca="1">IF(H58="转让取得",C81,C97)</f>
        <v>0</v>
      </c>
      <c r="E58" s="1250" t="s">
        <v>1360</v>
      </c>
      <c r="F58" s="294" t="s">
        <v>28</v>
      </c>
      <c r="G58" s="2335"/>
      <c r="H58" s="2338" t="s">
        <v>3577</v>
      </c>
      <c r="I58" s="1664"/>
      <c r="J58" s="3410"/>
      <c r="K58" s="3410"/>
      <c r="L58" s="2311" t="s">
        <v>1366</v>
      </c>
      <c r="M58" s="2315"/>
      <c r="N58" s="2316" t="str">
        <f ca="1">NUMBERSTRING(INT(N57*10000),2)&amp;"元整"</f>
        <v>捌万元整</v>
      </c>
      <c r="O58" s="2317"/>
    </row>
    <row r="59" spans="1:35" ht="24.75" thickBot="1">
      <c r="A59" s="3413" t="s">
        <v>1367</v>
      </c>
      <c r="B59" s="3414"/>
      <c r="C59" s="3414"/>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1361</v>
      </c>
      <c r="H59" s="2132" t="s">
        <v>3578</v>
      </c>
      <c r="I59" s="2131" t="s">
        <v>2130</v>
      </c>
      <c r="J59" s="3411">
        <f>J57+1</f>
        <v>5</v>
      </c>
      <c r="K59" s="3410" t="s">
        <v>1368</v>
      </c>
      <c r="L59" s="2304" t="s">
        <v>1364</v>
      </c>
      <c r="M59" s="2318"/>
      <c r="N59" s="2319">
        <f ca="1">M49-N57</f>
        <v>2390</v>
      </c>
      <c r="O59" s="2320"/>
    </row>
    <row r="60" spans="1:35" ht="12" customHeight="1">
      <c r="A60" s="1665"/>
      <c r="B60" s="646"/>
      <c r="C60" s="646"/>
      <c r="D60" s="646"/>
      <c r="E60" s="1460"/>
      <c r="F60" s="1664"/>
      <c r="G60" s="1664"/>
      <c r="H60" s="151"/>
      <c r="I60" s="121"/>
      <c r="J60" s="3412"/>
      <c r="K60" s="3410"/>
      <c r="L60" s="2311" t="s">
        <v>1366</v>
      </c>
      <c r="M60" s="2315"/>
      <c r="N60" s="2316" t="str">
        <f ca="1">NUMBERSTRING(INT(N59*10000),2)&amp;"元整"</f>
        <v>贰仟叁佰玖拾万元整</v>
      </c>
      <c r="O60" s="2317"/>
    </row>
    <row r="61" spans="1:35" ht="13.5" thickBot="1">
      <c r="A61" s="3358" t="s">
        <v>1369</v>
      </c>
      <c r="B61" s="3358"/>
      <c r="C61" s="3358"/>
      <c r="D61" s="3358"/>
      <c r="E61" s="3358"/>
      <c r="F61" s="1664"/>
      <c r="G61" s="1664"/>
      <c r="H61" s="151"/>
      <c r="I61" s="121"/>
      <c r="J61" s="2304">
        <f>J59+1</f>
        <v>6</v>
      </c>
      <c r="K61" s="3410" t="s">
        <v>1370</v>
      </c>
      <c r="L61" s="3410"/>
      <c r="M61" s="2321"/>
      <c r="N61" s="2322">
        <f ca="1">ROUND(N59*10000/'数据-汇总表'!E3,0)</f>
        <v>5719</v>
      </c>
      <c r="O61" s="2323"/>
    </row>
    <row r="62" spans="1:35" ht="12.75">
      <c r="A62" s="3376" t="s">
        <v>1371</v>
      </c>
      <c r="B62" s="3377"/>
      <c r="C62" s="1859"/>
      <c r="D62" s="1859" t="s">
        <v>1372</v>
      </c>
      <c r="E62" s="158" t="s">
        <v>1373</v>
      </c>
      <c r="F62" s="1664"/>
      <c r="G62" s="1664"/>
      <c r="H62" s="151"/>
      <c r="I62" s="121"/>
    </row>
    <row r="63" spans="1:35" ht="12.75">
      <c r="A63" s="165" t="s">
        <v>330</v>
      </c>
      <c r="B63" s="159" t="s">
        <v>1374</v>
      </c>
      <c r="C63" s="2344">
        <f ca="1">ROUND((C64+C65)/(1+'数据-取费表'!C42),0)</f>
        <v>2284</v>
      </c>
      <c r="D63" s="159"/>
      <c r="E63" s="160"/>
      <c r="F63" s="1664"/>
      <c r="G63" s="1664"/>
      <c r="H63" s="151"/>
      <c r="I63" s="121"/>
      <c r="J63" s="3435" t="s">
        <v>1375</v>
      </c>
      <c r="K63" s="1239" t="s">
        <v>1376</v>
      </c>
      <c r="L63" s="1239">
        <f ca="1">IF(M49&gt;10000,M49*0.5%,IF(AND(M49&gt;1000,M49&lt;=10000),M49*1%,IF(AND(M49&gt;100,M49&lt;=1000),M49*3%,IF(AND(M49&gt;10,M49&lt;=100),M49*5%,M49*8%))))</f>
        <v>23.98</v>
      </c>
      <c r="M63" s="294">
        <f ca="1">ROUND(L63,1)</f>
        <v>24</v>
      </c>
      <c r="N63" s="2324"/>
      <c r="Z63" s="1617"/>
      <c r="AI63" s="1555"/>
    </row>
    <row r="64" spans="1:35" ht="14.25" customHeight="1">
      <c r="A64" s="161" t="s">
        <v>325</v>
      </c>
      <c r="B64" s="162" t="s">
        <v>1377</v>
      </c>
      <c r="C64" s="2345">
        <f ca="1">D45</f>
        <v>2398</v>
      </c>
      <c r="D64" s="162" t="s">
        <v>26</v>
      </c>
      <c r="E64" s="164"/>
      <c r="F64" s="1664"/>
      <c r="G64" s="1664"/>
      <c r="H64" s="151"/>
      <c r="I64" s="121"/>
      <c r="J64" s="3435"/>
      <c r="K64" s="1239" t="s">
        <v>1378</v>
      </c>
      <c r="L64" s="1239">
        <f ca="1">IF(M49&gt;2000,M49*0.5%,IF(AND(M49&gt;1000,M49&lt;=2000),M49*0.6%,IF(AND(M49&gt;500,M49&lt;=1000),M49*0.7%,IF(AND(M49&gt;200,M49&lt;=500),M49*0.8%,IF(AND(M49&gt;100,M49&lt;=200),M49*0.9%,IF(AND(M49&gt;50,M49&lt;=100),M49*1%,IF(AND(M49&gt;20,M49&lt;=50),M49*1.5%,IF(AND(M49&gt;10,M49&lt;=20),M49*2%,IF(AND(M49&gt;1,M49&lt;=10),M49*2.5%)))))))))</f>
        <v>11.99</v>
      </c>
      <c r="M64" s="294">
        <f t="shared" ref="M64:M65" ca="1" si="1">ROUND(L64,1)</f>
        <v>12</v>
      </c>
      <c r="N64" s="2325" t="s">
        <v>1379</v>
      </c>
      <c r="Z64" s="1617"/>
      <c r="AI64" s="1555"/>
    </row>
    <row r="65" spans="1:35" ht="14.25" customHeight="1">
      <c r="A65" s="161" t="s">
        <v>326</v>
      </c>
      <c r="B65" s="162" t="s">
        <v>1380</v>
      </c>
      <c r="C65" s="2346"/>
      <c r="D65" s="162"/>
      <c r="E65" s="164"/>
      <c r="F65" s="1664"/>
      <c r="G65" s="1664"/>
      <c r="H65" s="151"/>
      <c r="I65" s="121"/>
      <c r="J65" s="3435"/>
      <c r="K65" s="1239" t="s">
        <v>1381</v>
      </c>
      <c r="L65" s="1239">
        <f ca="1">IF(M49&gt;1000,M49*0.1%,IF(AND(M49&gt;500,M49&lt;=1000),M49*0.5%,IF(AND(M49&gt;50,M49&lt;=500),M49*1%,IF(AND(M49&gt;1,M49&lt;=50),M49*1.5%))))</f>
        <v>2.3980000000000001</v>
      </c>
      <c r="M65" s="294">
        <f t="shared" ca="1" si="1"/>
        <v>2.4</v>
      </c>
      <c r="N65" s="2325" t="s">
        <v>1379</v>
      </c>
      <c r="Z65" s="1617"/>
      <c r="AI65" s="1555"/>
    </row>
    <row r="66" spans="1:35" ht="14.25" customHeight="1">
      <c r="A66" s="165" t="s">
        <v>327</v>
      </c>
      <c r="B66" s="166" t="s">
        <v>1382</v>
      </c>
      <c r="C66" s="2347">
        <f>ROUND(面积位置!W3/10000/1.05,0)</f>
        <v>2167</v>
      </c>
      <c r="D66" s="166" t="s">
        <v>26</v>
      </c>
      <c r="E66" s="1245" t="s">
        <v>667</v>
      </c>
      <c r="F66" s="1664"/>
      <c r="G66" s="1664"/>
      <c r="H66" s="151"/>
      <c r="I66" s="121"/>
      <c r="J66" s="3435"/>
      <c r="K66" s="1239" t="s">
        <v>1383</v>
      </c>
      <c r="L66" s="1239">
        <f ca="1">M49*0.5%</f>
        <v>11.99</v>
      </c>
      <c r="M66" s="294">
        <f ca="1">IF(L66&gt;0.5,0.5,ROUND(L66,0))</f>
        <v>0.5</v>
      </c>
      <c r="N66" s="2325" t="s">
        <v>1384</v>
      </c>
      <c r="Z66" s="1617"/>
      <c r="AI66" s="1555"/>
    </row>
    <row r="67" spans="1:35" ht="14.25" customHeight="1">
      <c r="A67" s="165" t="s">
        <v>328</v>
      </c>
      <c r="B67" s="166" t="s">
        <v>1385</v>
      </c>
      <c r="C67" s="2348">
        <f ca="1">C63-C66</f>
        <v>117</v>
      </c>
      <c r="D67" s="162" t="s">
        <v>26</v>
      </c>
      <c r="E67" s="164"/>
      <c r="F67" s="1664"/>
      <c r="G67" s="1664"/>
      <c r="H67" s="151"/>
      <c r="I67" s="121"/>
      <c r="J67" s="3435"/>
      <c r="K67" s="1239" t="s">
        <v>1386</v>
      </c>
      <c r="L67" s="1239">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4"/>
      <c r="Z67" s="1617"/>
      <c r="AI67" s="1555"/>
    </row>
    <row r="68" spans="1:35" ht="14.25" customHeight="1" thickBot="1">
      <c r="A68" s="168" t="s">
        <v>329</v>
      </c>
      <c r="B68" s="169" t="s">
        <v>1387</v>
      </c>
      <c r="C68" s="2349">
        <f ca="1">IF(C67&lt;=0,0,ROUND(C67*D68,0))</f>
        <v>7</v>
      </c>
      <c r="D68" s="2350">
        <f>'数据-取费表'!B41</f>
        <v>5.6000000000000001E-2</v>
      </c>
      <c r="E68" s="170"/>
      <c r="F68" s="1664"/>
      <c r="G68" s="1664"/>
      <c r="H68" s="151"/>
      <c r="I68" s="121"/>
      <c r="J68" s="3435"/>
      <c r="K68" s="1239" t="s">
        <v>1388</v>
      </c>
      <c r="L68" s="1239">
        <f ca="1">IF(M49&gt;10000,M49*0.5%,IF(AND(M49&gt;5000,M49&lt;=10000),M49*1%,IF(AND(M49&gt;1000,M49&lt;=5000),M49*2%,IF(AND(M49&gt;200,M49&lt;=1000),M49*3%,M49*5%))))</f>
        <v>47.96</v>
      </c>
      <c r="M68" s="294">
        <f ca="1">ROUND(L68,1)</f>
        <v>48</v>
      </c>
      <c r="N68" s="2324"/>
      <c r="Z68" s="1617"/>
      <c r="AI68" s="1555"/>
    </row>
    <row r="69" spans="1:35" ht="16.5" customHeight="1">
      <c r="A69" s="1666"/>
      <c r="B69" s="1667"/>
      <c r="C69" s="1668"/>
      <c r="D69" s="1669"/>
      <c r="E69" s="1670"/>
      <c r="F69" s="1460"/>
      <c r="G69" s="1460"/>
      <c r="H69" s="1461"/>
      <c r="I69" s="646"/>
      <c r="J69" s="3435"/>
      <c r="K69" s="1239" t="s">
        <v>1389</v>
      </c>
      <c r="L69" s="1239"/>
      <c r="M69" s="294">
        <f ca="1">ROUND(SUM(M63:M68),0)</f>
        <v>89</v>
      </c>
      <c r="N69" s="2326">
        <f ca="1">M69/M49</f>
        <v>3.711426188490409E-2</v>
      </c>
      <c r="Z69" s="1617"/>
      <c r="AI69" s="1555"/>
    </row>
    <row r="70" spans="1:35" s="642" customFormat="1" ht="15" thickBot="1">
      <c r="A70" s="3397" t="s">
        <v>1390</v>
      </c>
      <c r="B70" s="3398"/>
      <c r="C70" s="3398"/>
      <c r="D70" s="3398"/>
      <c r="E70" s="3398"/>
      <c r="F70" s="3398"/>
      <c r="G70" s="3398"/>
      <c r="H70" s="3398"/>
      <c r="I70" s="1671"/>
      <c r="J70" s="459"/>
      <c r="K70" s="459"/>
      <c r="L70" s="459"/>
      <c r="M70" s="459"/>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2" customFormat="1" ht="14.25">
      <c r="A71" s="3376" t="s">
        <v>1371</v>
      </c>
      <c r="B71" s="3377"/>
      <c r="C71" s="1859"/>
      <c r="D71" s="1859" t="s">
        <v>1372</v>
      </c>
      <c r="E71" s="171" t="s">
        <v>1373</v>
      </c>
      <c r="F71" s="172"/>
      <c r="G71" s="172"/>
      <c r="H71" s="173"/>
      <c r="I71" s="1674"/>
      <c r="J71" s="459"/>
      <c r="K71" s="459"/>
      <c r="L71" s="459"/>
      <c r="M71" s="459"/>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2" customFormat="1" ht="14.25">
      <c r="A72" s="165" t="s">
        <v>330</v>
      </c>
      <c r="B72" s="166" t="s">
        <v>1391</v>
      </c>
      <c r="C72" s="2348">
        <f ca="1">ROUND(D45/(1+'数据-取费表'!C42),0)</f>
        <v>2284</v>
      </c>
      <c r="D72" s="162" t="s">
        <v>26</v>
      </c>
      <c r="E72" s="1251"/>
      <c r="F72" s="1249"/>
      <c r="G72" s="1249"/>
      <c r="H72" s="174"/>
      <c r="I72" s="1674"/>
      <c r="J72" s="459"/>
      <c r="K72" s="459"/>
      <c r="L72" s="459"/>
      <c r="M72" s="459"/>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2" customFormat="1" ht="14.25">
      <c r="A73" s="165" t="s">
        <v>327</v>
      </c>
      <c r="B73" s="155" t="s">
        <v>1392</v>
      </c>
      <c r="C73" s="2348">
        <f ca="1">C74+C78</f>
        <v>3042</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2" customFormat="1" ht="24">
      <c r="A74" s="161" t="s">
        <v>325</v>
      </c>
      <c r="B74" s="162" t="s">
        <v>1393</v>
      </c>
      <c r="C74" s="162">
        <f>ROUND(IF(G77="2016年5月1日后购买",C75/(1+'数据-取费表'!C42)+C76+C77,C75+C76+C77),0)</f>
        <v>3028</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2" customFormat="1" ht="14.25">
      <c r="A75" s="161" t="s">
        <v>331</v>
      </c>
      <c r="B75" s="162" t="s">
        <v>1394</v>
      </c>
      <c r="C75" s="2351">
        <f>ROUND(面积位置!W3/10000,0)</f>
        <v>2276</v>
      </c>
      <c r="D75" s="162" t="s">
        <v>26</v>
      </c>
      <c r="E75" s="176" t="s">
        <v>1395</v>
      </c>
      <c r="F75" s="2352" t="s">
        <v>3586</v>
      </c>
      <c r="G75" s="176" t="s">
        <v>1396</v>
      </c>
      <c r="H75" s="2353">
        <v>6</v>
      </c>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2" customFormat="1" ht="24.75" customHeight="1">
      <c r="A76" s="161" t="s">
        <v>332</v>
      </c>
      <c r="B76" s="177" t="s">
        <v>1397</v>
      </c>
      <c r="C76" s="162">
        <f>IF(F75="购房发票",ROUND(C75*H75*D76,0),0)</f>
        <v>683</v>
      </c>
      <c r="D76" s="2354">
        <v>0.05</v>
      </c>
      <c r="E76" s="3371" t="s">
        <v>1398</v>
      </c>
      <c r="F76" s="3345"/>
      <c r="G76" s="3345"/>
      <c r="H76" s="3396"/>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2" customFormat="1" ht="24.75" customHeight="1">
      <c r="A77" s="161" t="s">
        <v>333</v>
      </c>
      <c r="B77" s="162" t="s">
        <v>1399</v>
      </c>
      <c r="C77" s="162">
        <f>ROUND(IF(G77="个人住宅",0,IF(G77="2016年5月1日前购买",C75*D77,C75*D77/(1+'数据-取费表'!C42))),0)</f>
        <v>69</v>
      </c>
      <c r="D77" s="2355">
        <f>'数据-取费表'!B48+'数据-取费表'!B49</f>
        <v>3.0499999999999999E-2</v>
      </c>
      <c r="E77" s="12" t="s">
        <v>1400</v>
      </c>
      <c r="F77" s="178"/>
      <c r="G77" s="1676" t="s">
        <v>3580</v>
      </c>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2" customFormat="1" ht="24.75" customHeight="1">
      <c r="A78" s="161" t="s">
        <v>326</v>
      </c>
      <c r="B78" s="162" t="s">
        <v>1401</v>
      </c>
      <c r="C78" s="2356">
        <f ca="1">ROUND(D45*D78/(1+'数据-取费表'!C42),0)</f>
        <v>14</v>
      </c>
      <c r="D78" s="2357">
        <f>'数据-取费表'!B43</f>
        <v>6.000000000000001E-3</v>
      </c>
      <c r="E78" s="3355" t="s">
        <v>1402</v>
      </c>
      <c r="F78" s="3356"/>
      <c r="G78" s="3356"/>
      <c r="H78" s="3365"/>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2" customFormat="1" ht="14.25">
      <c r="A79" s="165" t="s">
        <v>328</v>
      </c>
      <c r="B79" s="166" t="s">
        <v>1403</v>
      </c>
      <c r="C79" s="2348">
        <f ca="1">C72-C73</f>
        <v>-758</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2" customFormat="1" ht="24">
      <c r="A80" s="165" t="s">
        <v>335</v>
      </c>
      <c r="B80" s="166" t="s">
        <v>1404</v>
      </c>
      <c r="C80" s="2358">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2" customFormat="1" ht="24.75" thickBot="1">
      <c r="A81" s="168" t="s">
        <v>336</v>
      </c>
      <c r="B81" s="169" t="s">
        <v>1405</v>
      </c>
      <c r="C81" s="2359">
        <f ca="1">ROUND(IF(C79&lt;=0,0,IF(C80&gt;=200%,C79*60%-C73*35%,IF(C80&gt;=100%,C79*50%-C73*15%,IF(C80&gt;=50%,C79*40%-C73*5%,IF(C80&lt;50%,C79*30%,0))))),0)</f>
        <v>0</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2" customFormat="1" ht="7.5" customHeight="1">
      <c r="A82" s="4"/>
      <c r="B82" s="647"/>
      <c r="C82" s="4"/>
      <c r="D82" s="4"/>
      <c r="E82" s="647"/>
      <c r="F82" s="647"/>
      <c r="G82" s="647"/>
      <c r="H82" s="648"/>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2" customFormat="1" ht="15" thickBot="1">
      <c r="A83" s="3397" t="s">
        <v>1406</v>
      </c>
      <c r="B83" s="3398"/>
      <c r="C83" s="3398"/>
      <c r="D83" s="3398"/>
      <c r="E83" s="3398"/>
      <c r="F83" s="3398"/>
      <c r="G83" s="3398"/>
      <c r="H83" s="3398"/>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2" customFormat="1" ht="14.25">
      <c r="A84" s="3376" t="s">
        <v>1371</v>
      </c>
      <c r="B84" s="3377"/>
      <c r="C84" s="1859"/>
      <c r="D84" s="1859" t="s">
        <v>1372</v>
      </c>
      <c r="E84" s="171" t="s">
        <v>1373</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2" customFormat="1" ht="14.25">
      <c r="A85" s="165" t="s">
        <v>330</v>
      </c>
      <c r="B85" s="166" t="s">
        <v>1391</v>
      </c>
      <c r="C85" s="2348">
        <f ca="1">ROUND(D45/(1+'数据-取费表'!C42),0)</f>
        <v>2284</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2" customFormat="1" ht="14.25">
      <c r="A86" s="165" t="s">
        <v>327</v>
      </c>
      <c r="B86" s="155" t="s">
        <v>1392</v>
      </c>
      <c r="C86" s="2348">
        <f ca="1">IF(H88="仅含出让金",C87+C90+C91+C92+C93+C94,C87+C91+C92+C93+C94)</f>
        <v>14</v>
      </c>
      <c r="D86" s="2361"/>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2" customFormat="1" ht="14.25">
      <c r="A87" s="161" t="s">
        <v>325</v>
      </c>
      <c r="B87" s="162" t="s">
        <v>1407</v>
      </c>
      <c r="C87" s="2356">
        <f>C88+C89</f>
        <v>0</v>
      </c>
      <c r="D87" s="2357"/>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2" customFormat="1" ht="14.25">
      <c r="A88" s="161" t="s">
        <v>331</v>
      </c>
      <c r="B88" s="162" t="s">
        <v>1408</v>
      </c>
      <c r="C88" s="2362"/>
      <c r="D88" s="2357"/>
      <c r="E88" s="185" t="s">
        <v>1409</v>
      </c>
      <c r="F88" s="2142"/>
      <c r="G88" s="186" t="s">
        <v>1410</v>
      </c>
      <c r="H88" s="1678"/>
      <c r="I88" s="1675"/>
      <c r="J88" s="2302" t="s">
        <v>2272</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2" customFormat="1" ht="14.25">
      <c r="A89" s="161" t="s">
        <v>332</v>
      </c>
      <c r="B89" s="162" t="s">
        <v>1399</v>
      </c>
      <c r="C89" s="2356">
        <f>ROUND(C88*D89,0)</f>
        <v>0</v>
      </c>
      <c r="D89" s="2357">
        <f>'数据-取费表'!B48+'数据-取费表'!B49</f>
        <v>3.0499999999999999E-2</v>
      </c>
      <c r="E89" s="185" t="s">
        <v>1411</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2" customFormat="1" ht="14.25">
      <c r="A90" s="161" t="s">
        <v>326</v>
      </c>
      <c r="B90" s="162" t="s">
        <v>1412</v>
      </c>
      <c r="C90" s="2362"/>
      <c r="D90" s="2357"/>
      <c r="E90" s="185" t="str">
        <f>IF(H88="-","土地取得成本中已包含该笔费用"," ")</f>
        <v xml:space="preserve"> </v>
      </c>
      <c r="F90" s="2142"/>
      <c r="G90" s="3437" t="s">
        <v>2122</v>
      </c>
      <c r="H90" s="3438"/>
      <c r="I90" s="1675"/>
      <c r="J90" s="2302" t="s">
        <v>2273</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2" customFormat="1" ht="27.75" customHeight="1">
      <c r="A91" s="161" t="s">
        <v>1413</v>
      </c>
      <c r="B91" s="162" t="s">
        <v>1414</v>
      </c>
      <c r="C91" s="2356">
        <f>IF(H91="——",成本法!C33,I91)</f>
        <v>0</v>
      </c>
      <c r="D91" s="2357"/>
      <c r="E91" s="3355" t="s">
        <v>1415</v>
      </c>
      <c r="F91" s="3356"/>
      <c r="G91" s="3356"/>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2" customFormat="1" ht="25.5" customHeight="1">
      <c r="A92" s="161" t="s">
        <v>1416</v>
      </c>
      <c r="B92" s="162" t="s">
        <v>1417</v>
      </c>
      <c r="C92" s="2356">
        <f>ROUND((C87+C90+C91)*D92,0)</f>
        <v>0</v>
      </c>
      <c r="D92" s="2363"/>
      <c r="E92" s="3355" t="s">
        <v>1418</v>
      </c>
      <c r="F92" s="3356"/>
      <c r="G92" s="3356"/>
      <c r="H92" s="3365"/>
      <c r="I92" s="1675"/>
      <c r="J92" s="2303" t="s">
        <v>2274</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2" customFormat="1" ht="25.5" customHeight="1">
      <c r="A93" s="161" t="s">
        <v>1419</v>
      </c>
      <c r="B93" s="162" t="s">
        <v>1401</v>
      </c>
      <c r="C93" s="2356">
        <f ca="1">ROUND(D45*D93/(1+'数据-取费表'!C42),0)</f>
        <v>14</v>
      </c>
      <c r="D93" s="2357">
        <f>'数据-取费表'!B43</f>
        <v>6.000000000000001E-3</v>
      </c>
      <c r="E93" s="3355" t="s">
        <v>1402</v>
      </c>
      <c r="F93" s="3356"/>
      <c r="G93" s="3356"/>
      <c r="H93" s="3365"/>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2" customFormat="1" ht="36.75" customHeight="1">
      <c r="A94" s="161" t="s">
        <v>1420</v>
      </c>
      <c r="B94" s="162" t="s">
        <v>1421</v>
      </c>
      <c r="C94" s="2362">
        <f>ROUND((C87+C90+C91)*D94,0)</f>
        <v>0</v>
      </c>
      <c r="D94" s="2357">
        <v>0.2</v>
      </c>
      <c r="E94" s="3366" t="s">
        <v>1422</v>
      </c>
      <c r="F94" s="3367"/>
      <c r="G94" s="3367"/>
      <c r="H94" s="3368"/>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2" customFormat="1" ht="14.25">
      <c r="A95" s="165" t="s">
        <v>328</v>
      </c>
      <c r="B95" s="166" t="s">
        <v>1403</v>
      </c>
      <c r="C95" s="2348">
        <f ca="1">ROUND(C85-C86,0)</f>
        <v>2270</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2" customFormat="1" ht="24">
      <c r="A96" s="165" t="s">
        <v>335</v>
      </c>
      <c r="B96" s="166" t="s">
        <v>1404</v>
      </c>
      <c r="C96" s="2358">
        <f ca="1">IF(C95&lt;=0,0,C95/C86)</f>
        <v>162.14285714285714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2" customFormat="1" ht="24.75" thickBot="1">
      <c r="A97" s="168" t="s">
        <v>336</v>
      </c>
      <c r="B97" s="169" t="s">
        <v>1405</v>
      </c>
      <c r="C97" s="2359">
        <f ca="1">ROUND(IF(C95&lt;=0,0,IF(C96&gt;=200%,C95*60%-C86*35%,IF(C96&gt;=100%,C95*50%-C86*15%,IF(C96&gt;=50%,C95*40%-C86*5%,IF(C96&lt;50%,C95*30%,0))))),0)</f>
        <v>1357</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6"/>
      <c r="C98" s="646"/>
      <c r="D98" s="646"/>
      <c r="E98" s="1460"/>
      <c r="F98" s="1460"/>
      <c r="G98" s="1460"/>
      <c r="H98" s="1461"/>
      <c r="I98" s="121"/>
    </row>
    <row r="99" spans="1:35" ht="21.75" customHeight="1" thickBot="1">
      <c r="A99" s="1458" t="s">
        <v>1423</v>
      </c>
      <c r="B99" s="646"/>
      <c r="C99" s="646"/>
      <c r="D99" s="646"/>
      <c r="E99" s="1460"/>
      <c r="F99" s="1460"/>
      <c r="G99" s="1460"/>
      <c r="H99" s="1461"/>
      <c r="I99" s="121"/>
    </row>
    <row r="100" spans="1:35" ht="18.75" customHeight="1">
      <c r="A100" s="3339" t="s">
        <v>1424</v>
      </c>
      <c r="B100" s="3340"/>
      <c r="C100" s="3340"/>
      <c r="D100" s="3357"/>
      <c r="E100" s="3340" t="s">
        <v>1425</v>
      </c>
      <c r="F100" s="3340"/>
      <c r="G100" s="3340"/>
      <c r="H100" s="3357"/>
      <c r="I100" s="121"/>
    </row>
    <row r="101" spans="1:35" ht="18.75" customHeight="1">
      <c r="A101" s="3418" t="s">
        <v>1426</v>
      </c>
      <c r="B101" s="3419"/>
      <c r="C101" s="2365" t="str">
        <f>C4</f>
        <v>成本法-39-4</v>
      </c>
      <c r="D101" s="2366" t="str">
        <f>D4</f>
        <v>收益法-39-4</v>
      </c>
      <c r="E101" s="3432" t="s">
        <v>1427</v>
      </c>
      <c r="F101" s="3389"/>
      <c r="G101" s="1681" t="s">
        <v>1428</v>
      </c>
      <c r="H101" s="2375">
        <f ca="1">H118</f>
        <v>2398</v>
      </c>
      <c r="I101" s="121"/>
    </row>
    <row r="102" spans="1:35" ht="18.75" customHeight="1">
      <c r="A102" s="3391" t="s">
        <v>1429</v>
      </c>
      <c r="B102" s="2364" t="s">
        <v>1428</v>
      </c>
      <c r="C102" s="2365">
        <f ca="1">IF(D32="楼面单价",ROUND(C19,0),C19)</f>
        <v>1784.4681</v>
      </c>
      <c r="D102" s="2366">
        <f ca="1">IF(D32="楼面单价",ROUND(D19,0),D19)</f>
        <v>2661.3472000000002</v>
      </c>
      <c r="E102" s="3432"/>
      <c r="F102" s="3389"/>
      <c r="G102" s="1681" t="s">
        <v>1430</v>
      </c>
      <c r="H102" s="2335">
        <f ca="1">I118</f>
        <v>5738</v>
      </c>
      <c r="I102" s="121"/>
    </row>
    <row r="103" spans="1:35" ht="42.75" customHeight="1">
      <c r="A103" s="3391"/>
      <c r="B103" s="2364" t="s">
        <v>1430</v>
      </c>
      <c r="C103" s="2367">
        <f ca="1">C20</f>
        <v>28889</v>
      </c>
      <c r="D103" s="2368">
        <f ca="1">D20</f>
        <v>43085</v>
      </c>
      <c r="E103" s="3426" t="s">
        <v>1431</v>
      </c>
      <c r="F103" s="3427"/>
      <c r="G103" s="1682" t="s">
        <v>1432</v>
      </c>
      <c r="H103" s="2375">
        <f>IF(D36="正常操作",H104+H105+H106,H105+H106)</f>
        <v>0</v>
      </c>
      <c r="I103" s="121"/>
    </row>
    <row r="104" spans="1:35" ht="18.75" customHeight="1">
      <c r="A104" s="3391" t="s">
        <v>1433</v>
      </c>
      <c r="B104" s="2369" t="s">
        <v>1428</v>
      </c>
      <c r="C104" s="2370">
        <f ca="1">H118</f>
        <v>2398</v>
      </c>
      <c r="D104" s="2371"/>
      <c r="E104" s="1549" t="s">
        <v>1434</v>
      </c>
      <c r="F104" s="1542"/>
      <c r="G104" s="1682" t="s">
        <v>1432</v>
      </c>
      <c r="H104" s="2376">
        <f>IF(D36="同一抵押权人同一抵押物续贷",C36&amp;"（续贷，未扣减，详见特别提示）",C36)</f>
        <v>0</v>
      </c>
      <c r="I104" s="121"/>
    </row>
    <row r="105" spans="1:35" ht="18.75" customHeight="1" thickBot="1">
      <c r="A105" s="3392"/>
      <c r="B105" s="2372" t="s">
        <v>1430</v>
      </c>
      <c r="C105" s="2373">
        <f ca="1">I118</f>
        <v>5738</v>
      </c>
      <c r="D105" s="2374"/>
      <c r="E105" s="1549" t="s">
        <v>1435</v>
      </c>
      <c r="F105" s="1542"/>
      <c r="G105" s="1682" t="s">
        <v>1432</v>
      </c>
      <c r="H105" s="2377">
        <f>C37</f>
        <v>0</v>
      </c>
      <c r="I105" s="121"/>
    </row>
    <row r="106" spans="1:35" ht="18.75" customHeight="1">
      <c r="A106" s="646" t="s">
        <v>1436</v>
      </c>
      <c r="B106" s="646"/>
      <c r="C106" s="646"/>
      <c r="D106" s="646"/>
      <c r="E106" s="1683" t="s">
        <v>1437</v>
      </c>
      <c r="F106" s="1542"/>
      <c r="G106" s="1682" t="s">
        <v>1432</v>
      </c>
      <c r="H106" s="2377">
        <f>C38</f>
        <v>0</v>
      </c>
      <c r="I106" s="121"/>
    </row>
    <row r="107" spans="1:35" ht="18.75" customHeight="1">
      <c r="A107" s="121"/>
      <c r="B107" s="121"/>
      <c r="C107" s="121"/>
      <c r="D107" s="121"/>
      <c r="E107" s="3388" t="str">
        <f>IF(项目基本情况!E8="已注销","——","3.房地产抵押价值")</f>
        <v>3.房地产抵押价值</v>
      </c>
      <c r="F107" s="3389"/>
      <c r="G107" s="1681" t="s">
        <v>1428</v>
      </c>
      <c r="H107" s="2375">
        <f ca="1">IF(E107="——","——",H101-H103)</f>
        <v>2398</v>
      </c>
      <c r="I107" s="121"/>
    </row>
    <row r="108" spans="1:35" ht="18.75" customHeight="1">
      <c r="A108" s="121"/>
      <c r="B108" s="121"/>
      <c r="C108" s="121"/>
      <c r="D108" s="121"/>
      <c r="E108" s="3388"/>
      <c r="F108" s="3389"/>
      <c r="G108" s="1681" t="s">
        <v>1430</v>
      </c>
      <c r="H108" s="2335">
        <f ca="1">IF(H107=H101,H102,ROUND(H107*10000/'数据-汇总表'!E3,0))</f>
        <v>5738</v>
      </c>
      <c r="I108" s="121"/>
    </row>
    <row r="109" spans="1:35" ht="18.75" customHeight="1">
      <c r="A109" s="121"/>
      <c r="B109" s="121"/>
      <c r="C109" s="121"/>
      <c r="D109" s="121"/>
      <c r="E109" s="3388" t="str">
        <f>IF(项目基本情况!E8="已注销及未注销","4.抵押担保权已注销时的房地产抵押价值",IF(项目基本情况!E8="已注销","3.抵押担保权已注销时的房地产抵押价值","——"))</f>
        <v>——</v>
      </c>
      <c r="F109" s="3389"/>
      <c r="G109" s="1681" t="s">
        <v>1428</v>
      </c>
      <c r="H109" s="2378" t="str">
        <f>IF(E109="——","——",H101-H105-H106)</f>
        <v>——</v>
      </c>
      <c r="I109" s="121"/>
    </row>
    <row r="110" spans="1:35" ht="18.75" customHeight="1">
      <c r="A110" s="121"/>
      <c r="B110" s="121"/>
      <c r="C110" s="121"/>
      <c r="D110" s="121"/>
      <c r="E110" s="3388"/>
      <c r="F110" s="3389"/>
      <c r="G110" s="1681" t="s">
        <v>1430</v>
      </c>
      <c r="H110" s="2335" t="str">
        <f>IF(H109="——","——",ROUND(H109*10000/'数据-汇总表'!E3,0))</f>
        <v>——</v>
      </c>
      <c r="I110" s="121"/>
    </row>
    <row r="111" spans="1:35" ht="18.75" customHeight="1">
      <c r="A111" s="121"/>
      <c r="B111" s="121"/>
      <c r="C111" s="121"/>
      <c r="D111" s="121"/>
      <c r="E111" s="3420" t="str">
        <f>IF(项目基本情况!E9="抵押净值",IF(OR(项目基本情况!E8="已注销",项目基本情况!E8="房地产抵押价值"),"4.抵押净值","5.抵押净值"),"——")</f>
        <v>4.抵押净值</v>
      </c>
      <c r="F111" s="3390"/>
      <c r="G111" s="1681" t="s">
        <v>1428</v>
      </c>
      <c r="H111" s="2375">
        <f ca="1">IF(E111="——","——",N59)</f>
        <v>2390</v>
      </c>
      <c r="I111" s="121"/>
    </row>
    <row r="112" spans="1:35" ht="18.75" customHeight="1" thickBot="1">
      <c r="A112" s="121"/>
      <c r="B112" s="121"/>
      <c r="C112" s="121"/>
      <c r="D112" s="121"/>
      <c r="E112" s="3421"/>
      <c r="F112" s="3422"/>
      <c r="G112" s="1684" t="s">
        <v>1430</v>
      </c>
      <c r="H112" s="2379">
        <f ca="1">IF(E111="——","——",N61)</f>
        <v>5719</v>
      </c>
      <c r="I112" s="121"/>
    </row>
    <row r="113" spans="1:27" ht="18.75" customHeight="1">
      <c r="A113" s="121"/>
      <c r="B113" s="121"/>
      <c r="C113" s="121"/>
      <c r="D113" s="121"/>
      <c r="E113" s="3393" t="s">
        <v>1436</v>
      </c>
      <c r="F113" s="3393"/>
      <c r="G113" s="3393"/>
      <c r="H113" s="3393"/>
      <c r="I113" s="121"/>
    </row>
    <row r="114" spans="1:27" ht="3.75" customHeight="1">
      <c r="A114" s="646"/>
      <c r="B114" s="646"/>
      <c r="C114" s="646"/>
      <c r="D114" s="646"/>
      <c r="E114" s="1665"/>
      <c r="F114" s="1665"/>
      <c r="G114" s="1665"/>
      <c r="H114" s="1665"/>
      <c r="I114" s="646"/>
    </row>
    <row r="115" spans="1:27" ht="18.75" customHeight="1">
      <c r="A115" s="3403" t="s">
        <v>1438</v>
      </c>
      <c r="B115" s="3404"/>
      <c r="C115" s="3404"/>
      <c r="D115" s="3404"/>
      <c r="E115" s="3404"/>
      <c r="F115" s="3404"/>
      <c r="G115" s="3404"/>
      <c r="H115" s="3404"/>
      <c r="I115" s="3405"/>
    </row>
    <row r="116" spans="1:27" ht="27" customHeight="1">
      <c r="A116" s="3359" t="s">
        <v>1439</v>
      </c>
      <c r="B116" s="3394" t="s">
        <v>1440</v>
      </c>
      <c r="C116" s="3394" t="s">
        <v>1441</v>
      </c>
      <c r="D116" s="3407" t="s">
        <v>1442</v>
      </c>
      <c r="E116" s="3408"/>
      <c r="F116" s="3402" t="s">
        <v>1443</v>
      </c>
      <c r="G116" s="3402"/>
      <c r="H116" s="3359" t="s">
        <v>1444</v>
      </c>
      <c r="I116" s="3359"/>
    </row>
    <row r="117" spans="1:27" ht="18.75" customHeight="1">
      <c r="A117" s="3359"/>
      <c r="B117" s="3395"/>
      <c r="C117" s="3395"/>
      <c r="D117" s="2144" t="s">
        <v>1445</v>
      </c>
      <c r="E117" s="2144" t="s">
        <v>1446</v>
      </c>
      <c r="F117" s="2144" t="s">
        <v>1445</v>
      </c>
      <c r="G117" s="2144" t="s">
        <v>1447</v>
      </c>
      <c r="H117" s="2144" t="s">
        <v>1445</v>
      </c>
      <c r="I117" s="2144" t="s">
        <v>1447</v>
      </c>
    </row>
    <row r="118" spans="1:27" ht="24.75" customHeight="1">
      <c r="A118" s="2380" t="str">
        <f>项目基本情况!S2</f>
        <v>北京市房地产</v>
      </c>
      <c r="B118" s="2144">
        <f>M18</f>
        <v>4179.0200000000004</v>
      </c>
      <c r="C118" s="2144">
        <f>M19</f>
        <v>0</v>
      </c>
      <c r="D118" s="2144">
        <f ca="1">ROUND(IF(D32="总价",C34,E118*B118/10000),0)</f>
        <v>2069</v>
      </c>
      <c r="E118" s="2144">
        <f ca="1">ROUND(IF(C33="自定义",IF(D32="楼面单价",C34,D118*10000/B118),I118-G118),0)</f>
        <v>4951</v>
      </c>
      <c r="F118" s="2144">
        <f ca="1">ROUND(IF(D32="总价",C35,G118*B118/10000),0)</f>
        <v>329</v>
      </c>
      <c r="G118" s="2144">
        <f ca="1">ROUND(IF(D32="楼面单价",C35,F118*10000/B118),0)</f>
        <v>787</v>
      </c>
      <c r="H118" s="2144">
        <f ca="1">ROUND(IF(D32="总价",C32,I118*B118/10000),0)</f>
        <v>2398</v>
      </c>
      <c r="I118" s="2144">
        <f ca="1">ROUND(IF(D32="楼面单价",C32,H118*10000/B118),0)</f>
        <v>5738</v>
      </c>
    </row>
    <row r="119" spans="1:27" ht="18.75" customHeight="1">
      <c r="A119" s="3359" t="s">
        <v>1448</v>
      </c>
      <c r="B119" s="3359"/>
      <c r="C119" s="3359"/>
      <c r="D119" s="3399" t="str">
        <f ca="1">NUMBERSTRING(INT(D118*10000),2)&amp;"元整"</f>
        <v>贰仟零陆拾玖万元整</v>
      </c>
      <c r="E119" s="3401"/>
      <c r="F119" s="3399" t="str">
        <f ca="1">NUMBERSTRING(INT(F118*10000),2)&amp;"元整"</f>
        <v>叁佰贰拾玖万元整</v>
      </c>
      <c r="G119" s="3401"/>
      <c r="H119" s="3399" t="str">
        <f ca="1">NUMBERSTRING(INT(H118*10000),2)&amp;"元整"</f>
        <v>贰仟叁佰玖拾捌万元整</v>
      </c>
      <c r="I119" s="3401"/>
    </row>
    <row r="120" spans="1:27" ht="18.75" customHeight="1">
      <c r="A120" s="3423" t="str">
        <f>IF(项目基本情况!B9="房地产市场价值","",MID(E103,3,LEN(E103)-2))</f>
        <v>估价师知悉的法定优先受偿款</v>
      </c>
      <c r="B120" s="3424"/>
      <c r="C120" s="3425"/>
      <c r="D120" s="3423">
        <f>H103</f>
        <v>0</v>
      </c>
      <c r="E120" s="3424"/>
      <c r="F120" s="3424"/>
      <c r="G120" s="3424"/>
      <c r="H120" s="3424"/>
      <c r="I120" s="342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99" t="s">
        <v>1448</v>
      </c>
      <c r="B121" s="3400"/>
      <c r="C121" s="3401"/>
      <c r="D121" s="3399" t="str">
        <f>IF(D120=0,"零元整",NUMBERSTRING(INT(D120*10000),2)&amp;"元整")</f>
        <v>零元整</v>
      </c>
      <c r="E121" s="3400"/>
      <c r="F121" s="3400"/>
      <c r="G121" s="3400"/>
      <c r="H121" s="3400"/>
      <c r="I121" s="3401"/>
      <c r="AA121" s="684"/>
    </row>
    <row r="122" spans="1:27" ht="18.75" customHeight="1">
      <c r="A122" s="3390" t="str">
        <f>IF(项目基本情况!B9="房地产市场价值","",MID(E107,3,LEN(E107)-2))</f>
        <v>房地产抵押价值</v>
      </c>
      <c r="B122" s="3390"/>
      <c r="C122" s="3390"/>
      <c r="D122" s="3423">
        <f ca="1">H107</f>
        <v>2398</v>
      </c>
      <c r="E122" s="3424"/>
      <c r="F122" s="3424"/>
      <c r="G122" s="3424"/>
      <c r="H122" s="3424"/>
      <c r="I122" s="3425"/>
      <c r="AA122" s="684"/>
    </row>
    <row r="123" spans="1:27" ht="18.75" customHeight="1">
      <c r="A123" s="3359" t="s">
        <v>1448</v>
      </c>
      <c r="B123" s="3359"/>
      <c r="C123" s="3359"/>
      <c r="D123" s="3399" t="str">
        <f ca="1">NUMBERSTRING(INT(D122*10000),2)&amp;"元整"</f>
        <v>贰仟叁佰玖拾捌万元整</v>
      </c>
      <c r="E123" s="3400"/>
      <c r="F123" s="3400"/>
      <c r="G123" s="3400"/>
      <c r="H123" s="3400"/>
      <c r="I123" s="3401"/>
      <c r="AA123" s="684"/>
    </row>
    <row r="124" spans="1:27" ht="18.75" customHeight="1">
      <c r="A124" s="3390" t="str">
        <f>IF(项目基本情况!B9="房地产市场价值","",MID(E109,3,LEN(E109)-2))</f>
        <v/>
      </c>
      <c r="B124" s="3390"/>
      <c r="C124" s="3390"/>
      <c r="D124" s="3423" t="str">
        <f>H109</f>
        <v>——</v>
      </c>
      <c r="E124" s="3424"/>
      <c r="F124" s="3424"/>
      <c r="G124" s="3424"/>
      <c r="H124" s="3424"/>
      <c r="I124" s="3425"/>
      <c r="AA124" s="684"/>
    </row>
    <row r="125" spans="1:27" ht="18.75" customHeight="1">
      <c r="A125" s="3359" t="s">
        <v>1448</v>
      </c>
      <c r="B125" s="3359"/>
      <c r="C125" s="3359"/>
      <c r="D125" s="3399" t="e">
        <f>NUMBERSTRING(INT(D124*10000),2)&amp;"元整"</f>
        <v>#VALUE!</v>
      </c>
      <c r="E125" s="3400"/>
      <c r="F125" s="3400"/>
      <c r="G125" s="3400"/>
      <c r="H125" s="3400"/>
      <c r="I125" s="3401"/>
      <c r="AA125" s="684"/>
    </row>
    <row r="126" spans="1:27" ht="18.75" customHeight="1">
      <c r="A126" s="3390" t="str">
        <f>IF(项目基本情况!B9="房地产市场价值","",MID(E111,3,LEN(E111)-2))</f>
        <v>抵押净值</v>
      </c>
      <c r="B126" s="3390"/>
      <c r="C126" s="3390"/>
      <c r="D126" s="3423">
        <f ca="1">H111</f>
        <v>2390</v>
      </c>
      <c r="E126" s="3424"/>
      <c r="F126" s="3424"/>
      <c r="G126" s="3424"/>
      <c r="H126" s="3424"/>
      <c r="I126" s="3425"/>
      <c r="AA126" s="684"/>
    </row>
    <row r="127" spans="1:27" ht="18.75" customHeight="1">
      <c r="A127" s="3359" t="s">
        <v>1448</v>
      </c>
      <c r="B127" s="3359"/>
      <c r="C127" s="3359"/>
      <c r="D127" s="3399" t="str">
        <f ca="1">NUMBERSTRING(INT(D126*10000),2)&amp;"元整"</f>
        <v>贰仟叁佰玖拾万元整</v>
      </c>
      <c r="E127" s="3400"/>
      <c r="F127" s="3400"/>
      <c r="G127" s="3400"/>
      <c r="H127" s="3400"/>
      <c r="I127" s="3401"/>
      <c r="AA127" s="684"/>
    </row>
    <row r="128" spans="1:27" ht="21.75" customHeight="1">
      <c r="A128" s="3406" t="s">
        <v>1449</v>
      </c>
      <c r="B128" s="3406"/>
      <c r="C128" s="3406"/>
      <c r="D128" s="3406"/>
      <c r="E128" s="3406"/>
      <c r="F128" s="3406"/>
      <c r="G128" s="3406"/>
      <c r="H128" s="3406"/>
      <c r="I128" s="3406"/>
      <c r="AA128" s="684"/>
    </row>
    <row r="129" spans="1:35" ht="21.75" customHeight="1">
      <c r="A129" s="1685" t="s">
        <v>1450</v>
      </c>
      <c r="B129" s="1686"/>
      <c r="C129" s="1687" t="s">
        <v>1451</v>
      </c>
      <c r="D129" s="1688"/>
      <c r="E129" s="1688"/>
      <c r="F129" s="1688"/>
      <c r="G129" s="1688"/>
      <c r="H129" s="1689"/>
      <c r="I129" s="1690"/>
      <c r="AA129" s="684"/>
    </row>
    <row r="130" spans="1:35" ht="21.75" customHeight="1">
      <c r="A130" s="1691">
        <v>1</v>
      </c>
      <c r="B130" s="1692"/>
      <c r="C130" s="1692"/>
      <c r="D130" s="688"/>
      <c r="E130" s="688"/>
      <c r="F130" s="688"/>
      <c r="G130" s="688"/>
      <c r="H130" s="687"/>
      <c r="I130" s="1693"/>
      <c r="AA130" s="684"/>
    </row>
    <row r="131" spans="1:35" ht="21.75" customHeight="1">
      <c r="A131" s="1691">
        <v>2</v>
      </c>
      <c r="B131" s="1692"/>
      <c r="C131" s="1692"/>
      <c r="D131" s="688"/>
      <c r="E131" s="688"/>
      <c r="F131" s="688"/>
      <c r="G131" s="688"/>
      <c r="H131" s="687"/>
      <c r="I131" s="1693"/>
      <c r="AA131" s="684"/>
    </row>
    <row r="132" spans="1:35" ht="21.75" customHeight="1">
      <c r="A132" s="1691">
        <v>3</v>
      </c>
      <c r="B132" s="1692"/>
      <c r="C132" s="1692"/>
      <c r="D132" s="688"/>
      <c r="E132" s="688"/>
      <c r="F132" s="688"/>
      <c r="G132" s="688"/>
      <c r="H132" s="687"/>
      <c r="I132" s="1693"/>
      <c r="AA132" s="684"/>
    </row>
    <row r="133" spans="1:35" ht="21.75" customHeight="1">
      <c r="A133" s="1694"/>
      <c r="B133" s="1695"/>
      <c r="C133" s="1695"/>
      <c r="D133" s="1696"/>
      <c r="E133" s="1696"/>
      <c r="F133" s="1696"/>
      <c r="G133" s="1696"/>
      <c r="H133" s="1697"/>
      <c r="I133" s="1698"/>
    </row>
    <row r="134" spans="1:35" ht="21.75" customHeight="1">
      <c r="A134" s="1692"/>
      <c r="B134" s="1692"/>
      <c r="C134" s="1692"/>
      <c r="D134" s="688"/>
      <c r="E134" s="688"/>
      <c r="F134" s="688"/>
      <c r="G134" s="688"/>
      <c r="H134" s="687"/>
      <c r="I134" s="684"/>
    </row>
    <row r="135" spans="1:35" ht="21.75" customHeight="1">
      <c r="A135" s="684"/>
      <c r="B135" s="684"/>
      <c r="C135" s="684"/>
      <c r="D135" s="684"/>
      <c r="E135" s="684"/>
      <c r="F135" s="1699" t="s">
        <v>1452</v>
      </c>
      <c r="G135" s="1700"/>
      <c r="H135" s="1700"/>
      <c r="I135" s="1701" t="s">
        <v>1453</v>
      </c>
    </row>
    <row r="136" spans="1:35" ht="21.75" customHeight="1">
      <c r="A136" s="684"/>
      <c r="B136" s="1702"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0"/>
      <c r="C138" s="1700"/>
      <c r="D138" s="1700"/>
      <c r="E138" s="1700"/>
      <c r="F138" s="1700"/>
      <c r="G138" s="1700"/>
      <c r="H138" s="1700"/>
      <c r="I138" s="1701" t="s">
        <v>1455</v>
      </c>
    </row>
    <row r="139" spans="1:35" ht="21.75" customHeight="1">
      <c r="A139" s="684"/>
      <c r="B139" s="1702" t="s">
        <v>1456</v>
      </c>
      <c r="C139" s="684"/>
      <c r="D139" s="684"/>
      <c r="E139" s="684"/>
      <c r="F139" s="684"/>
      <c r="G139" s="684"/>
      <c r="H139" s="684"/>
      <c r="I139" s="684"/>
    </row>
    <row r="140" spans="1:35" ht="21.75" customHeight="1">
      <c r="A140" s="684"/>
      <c r="B140" s="1702"/>
      <c r="C140" s="684"/>
      <c r="D140" s="684"/>
      <c r="E140" s="684"/>
      <c r="F140" s="684"/>
      <c r="G140" s="684"/>
      <c r="H140" s="684"/>
      <c r="I140" s="684"/>
    </row>
    <row r="141" spans="1:35" ht="21.75" customHeight="1">
      <c r="A141" s="684"/>
      <c r="B141" s="1700"/>
      <c r="C141" s="1700"/>
      <c r="D141" s="1700"/>
      <c r="E141" s="1700"/>
      <c r="F141" s="1700"/>
      <c r="G141" s="1700"/>
      <c r="H141" s="1700"/>
      <c r="I141" s="1701" t="s">
        <v>1455</v>
      </c>
    </row>
    <row r="142" spans="1:35" ht="21.75" customHeight="1">
      <c r="A142" s="684"/>
      <c r="B142" s="1702"/>
      <c r="C142" s="1703"/>
      <c r="D142" s="1704"/>
      <c r="E142" s="1704"/>
      <c r="F142" s="1608"/>
      <c r="G142" s="684"/>
      <c r="H142" s="684"/>
      <c r="I142" s="684"/>
    </row>
    <row r="143" spans="1:35" s="122" customFormat="1" ht="21.75" customHeight="1">
      <c r="A143" s="684"/>
      <c r="B143" s="1702"/>
      <c r="C143" s="1703"/>
      <c r="D143" s="1704"/>
      <c r="E143" s="1704"/>
      <c r="F143" s="1608"/>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7"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7"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7"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7"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7"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7"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7"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7"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7"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7"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7"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7"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7"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7"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7"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7"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7"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7"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7"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7"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7"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7"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7"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7"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7"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7"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7"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7"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7"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7"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7"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7"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7"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7"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7"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7"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7"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7"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7"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7"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7"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7"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7"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7"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7"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7"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7"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7"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7"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7"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7"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7"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7"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7"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7"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7"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7"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7"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7"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7"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7"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7"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7"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7"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7"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7"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7"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7"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7"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7"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7"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7"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7"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7"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7"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7"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7"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7"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7"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7"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7"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7"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7"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7"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7"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7"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7"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7"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7"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7"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7"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7"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7"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7"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7"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7"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7"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7"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7"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7"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7"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7"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7"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7"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xr:uid="{798E4C4E-7310-4F91-840D-E41426E5B3F1}">
      <formula1>估价方法</formula1>
    </dataValidation>
    <dataValidation type="list" allowBlank="1" showInputMessage="1" showErrorMessage="1" sqref="H55:H56" xr:uid="{E1E71B5E-51B0-4A60-BF00-73694BB279DD}">
      <formula1>"个人住宅,正常"</formula1>
    </dataValidation>
    <dataValidation type="list" allowBlank="1" showInputMessage="1" showErrorMessage="1" sqref="H48" xr:uid="{31E9348F-3BE7-4968-B6B5-7271DA6E4122}">
      <formula1>"情况1,情况2,情况3,情况4"</formula1>
    </dataValidation>
    <dataValidation type="list" allowBlank="1" showInputMessage="1" showErrorMessage="1" sqref="H58" xr:uid="{6D9CACF8-3AAF-420A-9867-0FC6DC809FCF}">
      <formula1>"转让取得,自行开发建设"</formula1>
    </dataValidation>
    <dataValidation type="list" allowBlank="1" showInputMessage="1" showErrorMessage="1" sqref="D32" xr:uid="{2A51B244-63A4-4530-9637-6D7CE074FC65}">
      <formula1>"总价,楼面单价"</formula1>
    </dataValidation>
    <dataValidation type="list" allowBlank="1" showInputMessage="1" showErrorMessage="1" sqref="F45" xr:uid="{4717A4C8-D57D-4E38-84C3-3F476009E3AF}">
      <formula1>"100%,70%,56%"</formula1>
    </dataValidation>
    <dataValidation type="list" allowBlank="1" showInputMessage="1" showErrorMessage="1" sqref="C33" xr:uid="{EDCF9AF8-3EE9-43C6-B1BA-A8F9D0CC618D}">
      <formula1>"成本比率,收益比率,自定义"</formula1>
    </dataValidation>
    <dataValidation type="list" allowBlank="1" showInputMessage="1" showErrorMessage="1" sqref="H91" xr:uid="{0C2BB593-4E05-4662-9966-C6589606FCE1}">
      <formula1>"企业提供（在右侧录入）,——"</formula1>
    </dataValidation>
    <dataValidation type="list" allowBlank="1" showInputMessage="1" showErrorMessage="1" sqref="H88" xr:uid="{0541DCA8-9E89-4AD0-BF28-8BBD8CFF3410}">
      <formula1>"仅含出让金,出让金+开发费"</formula1>
    </dataValidation>
    <dataValidation type="list" allowBlank="1" showInputMessage="1" showErrorMessage="1" sqref="F75" xr:uid="{91B17BF4-0B05-4096-96A0-746CEFF982E8}">
      <formula1>"买卖合同,购房发票"</formula1>
    </dataValidation>
    <dataValidation type="list" allowBlank="1" showInputMessage="1" showErrorMessage="1" sqref="D36" xr:uid="{249604DE-B240-4FF2-85F9-533E2D3FBF43}">
      <formula1>"同一抵押权人同一抵押物续贷,注销后放款,正常操作"</formula1>
    </dataValidation>
    <dataValidation type="list" allowBlank="1" showInputMessage="1" showErrorMessage="1" sqref="B116:B117" xr:uid="{40930523-4993-43D6-B327-03BE778B9304}">
      <formula1>"建筑面积,规划建筑面积,（规划）建筑面积"</formula1>
    </dataValidation>
    <dataValidation type="list" allowBlank="1" showInputMessage="1" showErrorMessage="1" sqref="C116:C117" xr:uid="{803A42C3-EC0D-4645-8F35-BC1B5D6CDFB5}">
      <formula1>"土地面积,分摊土地面积,（分摊）土地面积"</formula1>
    </dataValidation>
    <dataValidation type="list" allowBlank="1" showInputMessage="1" showErrorMessage="1" sqref="D116:E116" xr:uid="{E4414350-17D7-42FE-8C51-20E85E315301}">
      <formula1>"出让国有建设用地使用权价值,划拨国有建设用地使用权价值"</formula1>
    </dataValidation>
    <dataValidation type="list" allowBlank="1" showInputMessage="1" showErrorMessage="1" sqref="F116:G116" xr:uid="{DF05ACD0-7B3F-4980-A07B-F6FE6C14C865}">
      <formula1>"建筑物价值,在建建筑物价值,建筑物/在建建筑物价值"</formula1>
    </dataValidation>
    <dataValidation type="list" allowBlank="1" showInputMessage="1" showErrorMessage="1" sqref="C129" xr:uid="{86B1A7CE-7047-4D12-A3A7-0813FEA28C18}">
      <formula1>"无,有"</formula1>
    </dataValidation>
    <dataValidation type="list" showInputMessage="1" showErrorMessage="1" sqref="G1" xr:uid="{0BA091FA-A315-4B15-9F16-0720D2AED051}">
      <formula1>"现房,在建,土地,-"</formula1>
    </dataValidation>
    <dataValidation type="list" allowBlank="1" showInputMessage="1" showErrorMessage="1" sqref="I1" xr:uid="{094EFA01-BE5A-486B-AF9D-3777251DB921}">
      <formula1>"项目局部,项目全部,——"</formula1>
    </dataValidation>
    <dataValidation type="list" allowBlank="1" showInputMessage="1" showErrorMessage="1" sqref="C1" xr:uid="{939BEB55-595A-4777-959F-F3F03986114E}">
      <formula1>项目类型</formula1>
    </dataValidation>
    <dataValidation type="list" allowBlank="1" showInputMessage="1" showErrorMessage="1" sqref="G77" xr:uid="{25ABA368-EB7C-4728-B91D-C2B7BE6C1EF7}">
      <formula1>"个人住宅,2016年5月1日前购买,2016年5月1日后购买"</formula1>
    </dataValidation>
    <dataValidation type="list" allowBlank="1" showInputMessage="1" showErrorMessage="1" sqref="E103" xr:uid="{D65E725D-FCBD-46F3-B821-97D22FF334C6}">
      <formula1>"2.估价师知悉的法定优先受偿款,2.估价师知悉的除抵押担保权以外的法定优先受偿款"</formula1>
    </dataValidation>
    <dataValidation type="list" allowBlank="1" showInputMessage="1" showErrorMessage="1" sqref="H59" xr:uid="{CC12670E-4632-4292-94F5-1F68E69D51ED}">
      <formula1>"非个人房产,个人住宅（满五唯一有凭证）,个人其他（有凭证）,个人其他（无凭证）"</formula1>
    </dataValidation>
    <dataValidation type="list" allowBlank="1" showInputMessage="1" showErrorMessage="1" sqref="D92" xr:uid="{06A6CD90-4BBB-4725-B2F4-05DD06EAF37B}">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4" t="s">
        <v>894</v>
      </c>
    </row>
    <row r="3" spans="1:1" ht="18">
      <c r="A3" s="1375" t="str">
        <f>项目基本情况!B5&amp;"："</f>
        <v>：</v>
      </c>
    </row>
    <row r="4" spans="1:1" ht="18">
      <c r="A4" s="1376" t="str">
        <f>"受贵公司委托，我公司对"&amp;项目基本情况!S1&amp;"进行了预评估。"</f>
        <v>受贵公司委托，我公司对北京市房地产抵押价值进行了预评估。</v>
      </c>
    </row>
    <row r="5" spans="1:1" ht="18.75">
      <c r="A5" s="1377" t="s">
        <v>895</v>
      </c>
    </row>
    <row r="6" spans="1:1" ht="18.75">
      <c r="A6" s="1378" t="s">
        <v>896</v>
      </c>
    </row>
    <row r="7" spans="1:1" ht="36">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估价对象为北京市房地产，为所有。根据《国有土地使用证》[]，估价对象（分摊）出让国有建设用地使用权面积为0平方米，建筑面积为4179.02平方米。</v>
      </c>
    </row>
    <row r="8" spans="1:1" ht="57.75">
      <c r="A8" s="1379" t="s">
        <v>897</v>
      </c>
    </row>
    <row r="9" spans="1:1" ht="18.75">
      <c r="A9" s="1378" t="s">
        <v>898</v>
      </c>
    </row>
    <row r="10" spans="1:1" ht="54">
      <c r="A10" s="1376" t="str">
        <f>"估价对象为"&amp;项目基本情况!S2&amp;IF('结果表-203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估价对象为北京市房地产,属开发建设的，该项目尚在开发建设中。根据《国有土地使用证》[]，估价对象（分摊）出让国有建设用地使用权面积为0平方米，规划建筑面积为4179.02平方米。</v>
      </c>
    </row>
    <row r="11" spans="1:1" ht="76.5">
      <c r="A11" s="1379" t="s">
        <v>899</v>
      </c>
    </row>
    <row r="12" spans="1:1" ht="18.75">
      <c r="A12" s="1377" t="s">
        <v>900</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901</v>
      </c>
    </row>
    <row r="15" spans="1:1" ht="18">
      <c r="A15" s="1380" t="str">
        <f>TEXT(项目基本情况!D3,"yyyy年m月d日;;")&amp;IF(项目基本情况!D3=项目基本情况!B3,"（评估专业人员实地查勘之日）","")</f>
        <v>2025年8月4日（评估专业人员实地查勘之日）</v>
      </c>
    </row>
    <row r="16" spans="1:1" ht="18.75">
      <c r="A16" s="1375" t="s">
        <v>902</v>
      </c>
    </row>
    <row r="17" spans="1:1" ht="75">
      <c r="A17" s="1376" t="s">
        <v>903</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5" t="s">
        <v>892</v>
      </c>
    </row>
    <row r="24" spans="1:1" ht="18">
      <c r="A24" s="1381" t="str">
        <f>"本次评估采用的主估价方法为"&amp;'结果表-203'!K4&amp;"和"&amp;'结果表-203'!L4&amp;"。"</f>
        <v>本次评估采用的主估价方法为成本法和收益法。</v>
      </c>
    </row>
    <row r="25" spans="1:1" ht="18">
      <c r="A25" s="1381"/>
    </row>
    <row r="26" spans="1:1" ht="18.75">
      <c r="A26" s="1382"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92B3B-35B5-4743-8C0E-1C51279941BD}">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68" t="s">
        <v>3532</v>
      </c>
      <c r="C1" s="1711" t="s">
        <v>1559</v>
      </c>
      <c r="D1" s="190"/>
      <c r="E1" s="190"/>
      <c r="F1" s="190"/>
      <c r="G1" s="1056">
        <f>MATCH(B1,'数据-取费表'!A6:A16,0)+5</f>
        <v>6</v>
      </c>
      <c r="H1" s="992" t="str">
        <f>IF(ISERROR(FIND("住宅",B1)),"非住宅","住宅")</f>
        <v>非住宅</v>
      </c>
    </row>
    <row r="2" spans="1:8" s="192" customFormat="1" ht="18" customHeight="1">
      <c r="A2" s="193" t="s">
        <v>681</v>
      </c>
      <c r="B2" s="3117">
        <f ca="1">ROUND(IF(D2="——",C52/10000,C52/10000-E2),4)</f>
        <v>1784.4681</v>
      </c>
      <c r="C2" s="191" t="s">
        <v>1459</v>
      </c>
      <c r="D2" s="1705" t="s">
        <v>43</v>
      </c>
      <c r="E2" s="1083" t="e">
        <f ca="1">SUMIF(INDIRECT("'"&amp;G2&amp;"'"&amp;"!A:A"),"承租人权益价值",INDIRECT("'"&amp;G2&amp;"'"&amp;"!c:c"))</f>
        <v>#REF!</v>
      </c>
      <c r="F2" s="1706" t="s">
        <v>1459</v>
      </c>
      <c r="G2" s="1707"/>
    </row>
    <row r="3" spans="1:8" s="192" customFormat="1" ht="18" customHeight="1" thickBot="1">
      <c r="A3" s="195" t="s">
        <v>682</v>
      </c>
      <c r="B3" s="196">
        <f ca="1">ROUND(B2*10000/(IF(B1="",'数据-汇总表'!E3,INDIRECT("'数据-取费表'!k"&amp;$G$1))),0)</f>
        <v>28889</v>
      </c>
      <c r="C3" s="191" t="s">
        <v>1461</v>
      </c>
      <c r="D3" s="191"/>
      <c r="E3" s="191"/>
      <c r="F3" s="191"/>
      <c r="G3" s="191"/>
    </row>
    <row r="4" spans="1:8" s="200" customFormat="1" ht="15.75">
      <c r="A4" s="197" t="s">
        <v>1462</v>
      </c>
      <c r="B4" s="198"/>
      <c r="C4" s="198"/>
      <c r="D4" s="198"/>
      <c r="E4" s="198"/>
      <c r="F4" s="198"/>
      <c r="G4" s="199"/>
    </row>
    <row r="5" spans="1:8" s="206" customFormat="1" ht="13.5" customHeight="1">
      <c r="A5" s="247" t="s">
        <v>337</v>
      </c>
      <c r="B5" s="202" t="s">
        <v>1464</v>
      </c>
      <c r="C5" s="203">
        <f ca="1">C6+C7+C8</f>
        <v>10472235.020000001</v>
      </c>
      <c r="D5" s="203" t="s">
        <v>1465</v>
      </c>
      <c r="E5" s="204" t="s">
        <v>1466</v>
      </c>
      <c r="F5" s="204" t="s">
        <v>1467</v>
      </c>
      <c r="G5" s="205"/>
    </row>
    <row r="6" spans="1:8" s="206" customFormat="1" ht="13.5" customHeight="1">
      <c r="A6" s="726" t="s">
        <v>346</v>
      </c>
      <c r="B6" s="207" t="s">
        <v>1469</v>
      </c>
      <c r="C6" s="208">
        <f>基准地价修正!T2*基准地价修正!U2</f>
        <v>10042404.020000001</v>
      </c>
      <c r="D6" s="209"/>
      <c r="E6" s="210"/>
      <c r="F6" s="210"/>
      <c r="G6" s="211"/>
    </row>
    <row r="7" spans="1:8" s="206" customFormat="1" ht="13.5" customHeight="1">
      <c r="A7" s="726" t="s">
        <v>347</v>
      </c>
      <c r="B7" s="207" t="s">
        <v>1471</v>
      </c>
      <c r="C7" s="212">
        <f>ROUND(C6*F7,0)</f>
        <v>306293</v>
      </c>
      <c r="D7" s="212"/>
      <c r="E7" s="210"/>
      <c r="F7" s="213">
        <f>IF(项目基本情况!B8="出让",0,'数据-取费表'!B48+'数据-取费表'!B49)</f>
        <v>3.0499999999999999E-2</v>
      </c>
      <c r="G7" s="211"/>
    </row>
    <row r="8" spans="1:8" s="215" customFormat="1">
      <c r="A8" s="726" t="s">
        <v>348</v>
      </c>
      <c r="B8" s="207" t="s">
        <v>1473</v>
      </c>
      <c r="C8" s="212">
        <f ca="1">IF(G8="已包含在土地购买价格中",0,C9+C10)</f>
        <v>123538</v>
      </c>
      <c r="D8" s="214"/>
      <c r="E8" s="212"/>
      <c r="F8" s="213"/>
      <c r="G8" s="1708" t="s">
        <v>3537</v>
      </c>
    </row>
    <row r="9" spans="1:8" s="206" customFormat="1" ht="13.5" customHeight="1">
      <c r="A9" s="727" t="s">
        <v>355</v>
      </c>
      <c r="B9" s="216" t="s">
        <v>1474</v>
      </c>
      <c r="C9" s="217">
        <f ca="1">ROUND(D9*E9,0)</f>
        <v>0</v>
      </c>
      <c r="D9" s="789">
        <f ca="1">IF(B1="",'数据-汇总表'!E5,IF(INDIRECT("'数据-取费表'!c"&amp;$G$1)="住宅",INDIRECT("'数据-取费表'!k"&amp;$G$1),0))</f>
        <v>0</v>
      </c>
      <c r="E9" s="217">
        <f>'数据-取费表'!B27</f>
        <v>160</v>
      </c>
      <c r="F9" s="213"/>
      <c r="G9" s="218"/>
    </row>
    <row r="10" spans="1:8" s="206" customFormat="1" ht="13.5" customHeight="1">
      <c r="A10" s="727" t="s">
        <v>356</v>
      </c>
      <c r="B10" s="216" t="s">
        <v>1476</v>
      </c>
      <c r="C10" s="217">
        <f ca="1">ROUND(D10*E10,0)</f>
        <v>123538</v>
      </c>
      <c r="D10" s="789">
        <f ca="1">IF(B1="",'数据-汇总表'!E6,IF(INDIRECT("'数据-取费表'!c"&amp;$G$1)="住宅",INDIRECT("'数据-取费表'!s"&amp;$G$1),INDIRECT("'数据-取费表'!k"&amp;$G$1)+INDIRECT("'数据-取费表'!s"&amp;$G$1)))</f>
        <v>617.69000000000005</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1478</v>
      </c>
      <c r="C12" s="203">
        <v>0</v>
      </c>
      <c r="D12" s="210"/>
      <c r="E12" s="220"/>
      <c r="F12" s="213">
        <v>3.0499999999999999E-2</v>
      </c>
      <c r="G12" s="211"/>
    </row>
    <row r="13" spans="1:8" s="206" customFormat="1" ht="13.5" hidden="1" customHeight="1">
      <c r="A13" s="219" t="s">
        <v>6</v>
      </c>
      <c r="B13" s="207" t="s">
        <v>1479</v>
      </c>
      <c r="C13" s="203"/>
      <c r="D13" s="210"/>
      <c r="E13" s="210"/>
      <c r="F13" s="210"/>
      <c r="G13" s="211"/>
    </row>
    <row r="14" spans="1:8" s="206" customFormat="1" ht="13.5" hidden="1" customHeight="1">
      <c r="A14" s="219" t="s">
        <v>7</v>
      </c>
      <c r="B14" s="207" t="s">
        <v>1473</v>
      </c>
      <c r="C14" s="203"/>
      <c r="D14" s="210"/>
      <c r="E14" s="210"/>
      <c r="F14" s="210"/>
      <c r="G14" s="211" t="s">
        <v>1481</v>
      </c>
    </row>
    <row r="15" spans="1:8" s="206" customFormat="1" ht="13.5" hidden="1" customHeight="1">
      <c r="A15" s="219" t="s">
        <v>8</v>
      </c>
      <c r="B15" s="207" t="s">
        <v>1482</v>
      </c>
      <c r="C15" s="212"/>
      <c r="D15" s="210"/>
      <c r="E15" s="210"/>
      <c r="F15" s="210"/>
      <c r="G15" s="211" t="s">
        <v>1483</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t="str">
        <f>IF(G19="已包含在土地取得成本中","0",ROUND(D19*E19,0))</f>
        <v>0</v>
      </c>
      <c r="D19" s="204">
        <f ca="1">D9+D10</f>
        <v>617.69000000000005</v>
      </c>
      <c r="E19" s="203">
        <f>'数据-取费表'!B31</f>
        <v>200</v>
      </c>
      <c r="F19" s="223"/>
      <c r="G19" s="1708" t="s">
        <v>3538</v>
      </c>
    </row>
    <row r="20" spans="1:7" s="206" customFormat="1" ht="13.5" customHeight="1">
      <c r="A20" s="247" t="s">
        <v>1489</v>
      </c>
      <c r="B20" s="202" t="s">
        <v>1490</v>
      </c>
      <c r="C20" s="224">
        <f ca="1">ROUND((C5+C19)*F20,0)</f>
        <v>209445</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224">
        <f ca="1">ROUND(SUM(C23:C25),0)</f>
        <v>644042</v>
      </c>
      <c r="D22" s="227">
        <f ca="1">C26</f>
        <v>5.9999999999999995E-4</v>
      </c>
      <c r="E22" s="228" t="s">
        <v>1494</v>
      </c>
      <c r="F22" s="229">
        <f ca="1">'数据-取费表'!B40</f>
        <v>0.03</v>
      </c>
      <c r="G22" s="226" t="str">
        <f>IF('数据-取费表'!B22&lt;=1,"单利计息","复利计息")</f>
        <v>复利计息</v>
      </c>
    </row>
    <row r="23" spans="1:7" s="206" customFormat="1" ht="13.5" customHeight="1">
      <c r="A23" s="728" t="s">
        <v>346</v>
      </c>
      <c r="B23" s="207" t="s">
        <v>1499</v>
      </c>
      <c r="C23" s="230">
        <f ca="1">ROUND(IF('数据-取费表'!B22&lt;=1,C5*F22*'数据-取费表'!B22,C5*(POWER((1+F22),'数据-取费表'!B22)-1)),0)</f>
        <v>637759</v>
      </c>
      <c r="D23" s="230"/>
      <c r="E23" s="230"/>
      <c r="F23" s="231"/>
      <c r="G23" s="232" t="s">
        <v>1500</v>
      </c>
    </row>
    <row r="24" spans="1:7" s="206" customFormat="1" ht="13.5" customHeight="1">
      <c r="A24" s="728" t="s">
        <v>347</v>
      </c>
      <c r="B24" s="207" t="s">
        <v>1502</v>
      </c>
      <c r="C24" s="230">
        <f ca="1">ROUND(IF('数据-取费表'!B22&lt;=1,C19*F22*('数据-取费表'!B19/2+'数据-取费表'!B20),C19*(POWER((1+F22),('数据-取费表'!B19/2+'数据-取费表'!B20))-1)),0)</f>
        <v>0</v>
      </c>
      <c r="D24" s="230"/>
      <c r="E24" s="230"/>
      <c r="F24" s="231"/>
      <c r="G24" s="232" t="s">
        <v>1503</v>
      </c>
    </row>
    <row r="25" spans="1:7" s="206" customFormat="1" ht="24">
      <c r="A25" s="728" t="s">
        <v>348</v>
      </c>
      <c r="B25" s="207" t="s">
        <v>1505</v>
      </c>
      <c r="C25" s="230">
        <f ca="1">ROUND(IF('数据-取费表'!B22&lt;=1,C20*F22*'数据-取费表'!B22/2,C20*(POWER((1+F22),'数据-取费表'!B22/2)-1)),0)</f>
        <v>6283</v>
      </c>
      <c r="D25" s="230"/>
      <c r="E25" s="233"/>
      <c r="F25" s="231"/>
      <c r="G25" s="234" t="s">
        <v>1506</v>
      </c>
    </row>
    <row r="26" spans="1:7" s="206" customFormat="1">
      <c r="A26" s="728"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2136336</v>
      </c>
      <c r="D27" s="227">
        <f ca="1">C29</f>
        <v>4.0000000000000001E-3</v>
      </c>
      <c r="E27" s="228" t="s">
        <v>1494</v>
      </c>
      <c r="F27" s="238">
        <f ca="1">IF(B1="",'数据-取费表'!Q16,INDIRECT("'数据-取费表'!q"&amp;$G$1))</f>
        <v>0.2</v>
      </c>
      <c r="G27" s="239" t="s">
        <v>1511</v>
      </c>
    </row>
    <row r="28" spans="1:7" s="206" customFormat="1" ht="13.5" customHeight="1">
      <c r="A28" s="728" t="s">
        <v>346</v>
      </c>
      <c r="B28" s="240" t="s">
        <v>1512</v>
      </c>
      <c r="C28" s="241">
        <f ca="1">ROUND((C5+C19+C20)*F27,0)</f>
        <v>2136336</v>
      </c>
      <c r="D28" s="227"/>
      <c r="E28" s="228"/>
      <c r="F28" s="238"/>
      <c r="G28" s="239"/>
    </row>
    <row r="29" spans="1:7" s="206" customFormat="1" ht="13.5" customHeight="1">
      <c r="A29" s="728" t="s">
        <v>347</v>
      </c>
      <c r="B29" s="240" t="s">
        <v>1513</v>
      </c>
      <c r="C29" s="230">
        <f ca="1">ROUND(C21*F27,4)</f>
        <v>4.0000000000000001E-3</v>
      </c>
      <c r="D29" s="227"/>
      <c r="E29" s="228"/>
      <c r="F29" s="238"/>
      <c r="G29" s="239"/>
    </row>
    <row r="30" spans="1:7" s="206" customFormat="1" ht="13.5" customHeight="1">
      <c r="A30" s="247" t="s">
        <v>1514</v>
      </c>
      <c r="B30" s="202" t="s">
        <v>1515</v>
      </c>
      <c r="C30" s="227">
        <f>ROUND(F30/(1+'数据-取费表'!C42),4)</f>
        <v>5.33E-2</v>
      </c>
      <c r="D30" s="228" t="s">
        <v>1494</v>
      </c>
      <c r="E30" s="233"/>
      <c r="F30" s="229">
        <f>'数据-取费表'!B41</f>
        <v>5.6000000000000001E-2</v>
      </c>
      <c r="G30" s="226" t="s">
        <v>1516</v>
      </c>
    </row>
    <row r="31" spans="1:7" ht="16.5" customHeight="1">
      <c r="A31" s="201">
        <v>1</v>
      </c>
      <c r="B31" s="202" t="s">
        <v>1517</v>
      </c>
      <c r="C31" s="203">
        <f ca="1">ROUND((C5+C19+C20+C22+C27)/(1-C21-D22-D27-C30),0)</f>
        <v>14599347</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3097715</v>
      </c>
      <c r="D33" s="224"/>
      <c r="E33" s="204"/>
      <c r="F33" s="233"/>
      <c r="G33" s="226"/>
    </row>
    <row r="34" spans="1:7" s="250" customFormat="1" ht="13.5" customHeight="1">
      <c r="A34" s="728" t="s">
        <v>346</v>
      </c>
      <c r="B34" s="207" t="s">
        <v>1521</v>
      </c>
      <c r="C34" s="212">
        <f ca="1">ROUND(IF(B1="",SUMPRODUCT('数据-取费表'!K6:K14,'数据-取费表'!L6:L14),INDIRECT("'数据-取费表'!l"&amp;$G$1)*INDIRECT("'数据-取费表'!k"&amp;$G$1)+'数据-取费表'!L14*INDIRECT("'数据-取费表'!S"&amp;$G$1)),0)</f>
        <v>2779605</v>
      </c>
      <c r="D34" s="209"/>
      <c r="E34" s="212"/>
      <c r="F34" s="249"/>
      <c r="G34" s="211"/>
    </row>
    <row r="35" spans="1:7" ht="13.5" customHeight="1">
      <c r="A35" s="728" t="s">
        <v>351</v>
      </c>
      <c r="B35" s="207" t="s">
        <v>1523</v>
      </c>
      <c r="C35" s="212">
        <f ca="1">ROUND(C34*F35,0)</f>
        <v>138980</v>
      </c>
      <c r="D35" s="212"/>
      <c r="E35" s="212"/>
      <c r="F35" s="251">
        <f>'数据-取费表'!B33</f>
        <v>0.05</v>
      </c>
      <c r="G35" s="211" t="s">
        <v>1524</v>
      </c>
    </row>
    <row r="36" spans="1:7" ht="24">
      <c r="A36" s="728" t="s">
        <v>352</v>
      </c>
      <c r="B36" s="207" t="s">
        <v>1525</v>
      </c>
      <c r="C36" s="212">
        <f ca="1">ROUND(IF(B1="",SUM('数据-取费表'!AP6:AP13)*F36,IF(INDIRECT("'数据-取费表'!c"&amp;$G$1)="住宅",INDIRECT("'数据-取费表'!k"&amp;$G$1)*INDIRECT("'数据-取费表'!l"&amp;$G$1)*F36,0)),0)</f>
        <v>0</v>
      </c>
      <c r="D36" s="212"/>
      <c r="E36" s="212"/>
      <c r="F36" s="251">
        <f>'数据-取费表'!B34</f>
        <v>0</v>
      </c>
      <c r="G36" s="252" t="s">
        <v>1526</v>
      </c>
    </row>
    <row r="37" spans="1:7" s="250" customFormat="1" ht="13.5" customHeight="1">
      <c r="A37" s="728" t="s">
        <v>353</v>
      </c>
      <c r="B37" s="207" t="s">
        <v>1527</v>
      </c>
      <c r="C37" s="241">
        <f ca="1">ROUND(E37*D37,0)</f>
        <v>123538</v>
      </c>
      <c r="D37" s="209">
        <f ca="1">D19</f>
        <v>617.69000000000005</v>
      </c>
      <c r="E37" s="241">
        <f>'数据-取费表'!B35</f>
        <v>200</v>
      </c>
      <c r="F37" s="251"/>
      <c r="G37" s="253"/>
    </row>
    <row r="38" spans="1:7" ht="13.5" customHeight="1">
      <c r="A38" s="728" t="s">
        <v>354</v>
      </c>
      <c r="B38" s="207" t="s">
        <v>1529</v>
      </c>
      <c r="C38" s="212">
        <f ca="1">ROUND(C34*F38,0)</f>
        <v>55592</v>
      </c>
      <c r="D38" s="212"/>
      <c r="E38" s="212"/>
      <c r="F38" s="251">
        <f>'数据-取费表'!B36</f>
        <v>0.02</v>
      </c>
      <c r="G38" s="211" t="s">
        <v>1524</v>
      </c>
    </row>
    <row r="39" spans="1:7" s="206" customFormat="1" ht="13.5" customHeight="1">
      <c r="A39" s="247" t="s">
        <v>1487</v>
      </c>
      <c r="B39" s="202" t="s">
        <v>1490</v>
      </c>
      <c r="C39" s="224">
        <f ca="1">ROUND(C33*F20,0)</f>
        <v>61954</v>
      </c>
      <c r="D39" s="224"/>
      <c r="E39" s="224"/>
      <c r="F39" s="225">
        <f>F20</f>
        <v>0.02</v>
      </c>
      <c r="G39" s="226" t="s">
        <v>1532</v>
      </c>
    </row>
    <row r="40" spans="1:7" s="206" customFormat="1" ht="13.5" customHeight="1">
      <c r="A40" s="247" t="s">
        <v>1489</v>
      </c>
      <c r="B40" s="202" t="s">
        <v>1493</v>
      </c>
      <c r="C40" s="227">
        <f>F21</f>
        <v>0.02</v>
      </c>
      <c r="D40" s="228" t="s">
        <v>1535</v>
      </c>
      <c r="E40" s="224"/>
      <c r="F40" s="225">
        <f>F21</f>
        <v>0.02</v>
      </c>
      <c r="G40" s="226" t="s">
        <v>1536</v>
      </c>
    </row>
    <row r="41" spans="1:7" s="206" customFormat="1" ht="13.5" customHeight="1">
      <c r="A41" s="247" t="s">
        <v>1492</v>
      </c>
      <c r="B41" s="202" t="s">
        <v>1497</v>
      </c>
      <c r="C41" s="224">
        <f ca="1">ROUND(SUM(C42:C43),0)</f>
        <v>94790</v>
      </c>
      <c r="D41" s="227">
        <f ca="1">C44</f>
        <v>5.9999999999999995E-4</v>
      </c>
      <c r="E41" s="228" t="s">
        <v>1535</v>
      </c>
      <c r="F41" s="229">
        <f ca="1">F22</f>
        <v>0.03</v>
      </c>
      <c r="G41" s="226" t="str">
        <f>IF('数据-取费表'!B22&lt;=1,"单利计息","复利计息")</f>
        <v>复利计息</v>
      </c>
    </row>
    <row r="42" spans="1:7" ht="13.5" customHeight="1">
      <c r="A42" s="728" t="s">
        <v>346</v>
      </c>
      <c r="B42" s="207" t="s">
        <v>1499</v>
      </c>
      <c r="C42" s="230">
        <f ca="1">ROUND(IF('数据-取费表'!B22&lt;=1,C33*F22*'数据-取费表'!B20/2,C33*(POWER((1+F22),'数据-取费表'!B20/2)-1)),0)</f>
        <v>92931</v>
      </c>
      <c r="D42" s="230"/>
      <c r="E42" s="230"/>
      <c r="F42" s="231"/>
      <c r="G42" s="3439" t="s">
        <v>1587</v>
      </c>
    </row>
    <row r="43" spans="1:7" ht="13.5" customHeight="1">
      <c r="A43" s="728" t="s">
        <v>347</v>
      </c>
      <c r="B43" s="207" t="s">
        <v>1502</v>
      </c>
      <c r="C43" s="230">
        <f ca="1">ROUND(IF('数据-取费表'!B22&lt;=1,C39*F22*'数据-取费表'!B20/2,C39*(POWER((1+F22),'数据-取费表'!B20/2)-1)),0)</f>
        <v>1859</v>
      </c>
      <c r="D43" s="230"/>
      <c r="E43" s="230"/>
      <c r="F43" s="231"/>
      <c r="G43" s="3440"/>
    </row>
    <row r="44" spans="1:7" ht="13.5" customHeight="1">
      <c r="A44" s="728" t="s">
        <v>348</v>
      </c>
      <c r="B44" s="207" t="s">
        <v>1505</v>
      </c>
      <c r="C44" s="230">
        <f ca="1">ROUND(IF('数据-取费表'!B22&lt;=1,C40*F22*'数据-取费表'!B20/2,C40*(POWER((1+F22),'数据-取费表'!B20/2)-1)),4)</f>
        <v>5.9999999999999995E-4</v>
      </c>
      <c r="D44" s="230"/>
      <c r="E44" s="230"/>
      <c r="F44" s="231"/>
      <c r="G44" s="3441"/>
    </row>
    <row r="45" spans="1:7" s="206" customFormat="1" ht="13.5" customHeight="1">
      <c r="A45" s="247" t="s">
        <v>1496</v>
      </c>
      <c r="B45" s="236" t="s">
        <v>1509</v>
      </c>
      <c r="C45" s="237">
        <f ca="1">C46</f>
        <v>631934</v>
      </c>
      <c r="D45" s="227">
        <f ca="1">C47</f>
        <v>4.0000000000000001E-3</v>
      </c>
      <c r="E45" s="228" t="s">
        <v>1535</v>
      </c>
      <c r="F45" s="238">
        <f ca="1">F27</f>
        <v>0.2</v>
      </c>
      <c r="G45" s="239" t="s">
        <v>1544</v>
      </c>
    </row>
    <row r="46" spans="1:7" s="206" customFormat="1" ht="13.5" customHeight="1">
      <c r="A46" s="728" t="s">
        <v>346</v>
      </c>
      <c r="B46" s="240" t="s">
        <v>1545</v>
      </c>
      <c r="C46" s="241">
        <f ca="1">ROUND((C33+C39)*F27,0)</f>
        <v>631934</v>
      </c>
      <c r="D46" s="255"/>
      <c r="E46" s="228"/>
      <c r="F46" s="238"/>
      <c r="G46" s="239"/>
    </row>
    <row r="47" spans="1:7" s="206" customFormat="1" ht="13.5" customHeight="1">
      <c r="A47" s="728" t="s">
        <v>347</v>
      </c>
      <c r="B47" s="240" t="s">
        <v>1546</v>
      </c>
      <c r="C47" s="230">
        <f ca="1">ROUND(C40*F27,4)</f>
        <v>4.0000000000000001E-3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4214720</v>
      </c>
      <c r="D49" s="224"/>
      <c r="E49" s="224"/>
      <c r="F49" s="256"/>
      <c r="G49" s="226" t="s">
        <v>1550</v>
      </c>
    </row>
    <row r="50" spans="1:7" s="250" customFormat="1">
      <c r="A50" s="247" t="s">
        <v>1551</v>
      </c>
      <c r="B50" s="202" t="s">
        <v>1552</v>
      </c>
      <c r="C50" s="224"/>
      <c r="D50" s="224"/>
      <c r="E50" s="224"/>
      <c r="F50" s="256">
        <f>IF('数据-取费表'!B24=0,'数据-取费表'!N16,1)</f>
        <v>0.77</v>
      </c>
      <c r="G50" s="239"/>
    </row>
    <row r="51" spans="1:7" ht="16.5" customHeight="1">
      <c r="A51" s="247" t="s">
        <v>1554</v>
      </c>
      <c r="B51" s="202" t="s">
        <v>1589</v>
      </c>
      <c r="C51" s="224">
        <f ca="1">ROUND(C49*F50,0)</f>
        <v>3245334</v>
      </c>
      <c r="D51" s="224"/>
      <c r="E51" s="224"/>
      <c r="F51" s="256"/>
      <c r="G51" s="226" t="s">
        <v>1556</v>
      </c>
    </row>
    <row r="52" spans="1:7" s="200" customFormat="1" ht="16.5" thickBot="1">
      <c r="A52" s="257" t="s">
        <v>1557</v>
      </c>
      <c r="B52" s="258"/>
      <c r="C52" s="259">
        <f ca="1">C31+C51</f>
        <v>17844681</v>
      </c>
      <c r="D52" s="258"/>
      <c r="E52" s="258"/>
      <c r="F52" s="258"/>
      <c r="G52" s="260"/>
    </row>
    <row r="55" spans="1:7" ht="15">
      <c r="B55" s="262" t="s">
        <v>1558</v>
      </c>
      <c r="C55" s="263"/>
    </row>
    <row r="56" spans="1:7">
      <c r="B56" s="265" t="s">
        <v>798</v>
      </c>
      <c r="C56" s="267">
        <f ca="1">1-C57</f>
        <v>0.81800000000000006</v>
      </c>
    </row>
    <row r="57" spans="1:7">
      <c r="B57" s="265" t="s">
        <v>799</v>
      </c>
      <c r="C57" s="266">
        <f ca="1">ROUND(C51/C52,3)</f>
        <v>0.182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C8F38376-BB1B-4CBC-B6B6-5689E183B85A}">
      <formula1>"已包含在土地购买价格中,未包含在土地购买价格中"</formula1>
    </dataValidation>
    <dataValidation type="list" allowBlank="1" showInputMessage="1" showErrorMessage="1" sqref="G19" xr:uid="{BB8F2197-17A7-45F1-882A-D9CEAE72F947}">
      <formula1>"已包含在土地取得成本中,未包含在土地取得成本中"</formula1>
    </dataValidation>
    <dataValidation type="list" allowBlank="1" showInputMessage="1" showErrorMessage="1" sqref="B1" xr:uid="{E127AEEA-6256-4542-8D4A-AB1421CB89AA}">
      <formula1>项目类型</formula1>
    </dataValidation>
    <dataValidation type="list" allowBlank="1" showInputMessage="1" showErrorMessage="1" sqref="G2" xr:uid="{92A07DC9-8E9A-4D5C-854F-0F3FBCE86EF7}">
      <formula1>估价方法</formula1>
    </dataValidation>
    <dataValidation type="list" allowBlank="1" showInputMessage="1" showErrorMessage="1" sqref="D2" xr:uid="{49A0F858-1462-412D-AA4B-C60785F92671}">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Normal="70" zoomScaleSheetLayoutView="100" workbookViewId="0">
      <selection activeCell="M6" sqref="M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1656</v>
      </c>
      <c r="B1" s="1728" t="s">
        <v>1762</v>
      </c>
      <c r="C1" s="1149" t="s">
        <v>1658</v>
      </c>
      <c r="D1" s="1136" t="s">
        <v>3532</v>
      </c>
      <c r="E1" s="3119" t="s">
        <v>3554</v>
      </c>
      <c r="F1" s="1729" t="s">
        <v>3555</v>
      </c>
      <c r="G1" s="1146" t="s">
        <v>1763</v>
      </c>
      <c r="H1" s="1145"/>
      <c r="I1" s="1145"/>
      <c r="J1" s="1145"/>
      <c r="K1" s="1147"/>
      <c r="L1" s="1148"/>
      <c r="M1" s="1149"/>
      <c r="N1" s="1149"/>
      <c r="O1" s="1149"/>
      <c r="P1" s="1795"/>
      <c r="Q1" s="1796"/>
      <c r="R1" s="1796"/>
      <c r="S1" s="1796"/>
      <c r="T1" s="1796"/>
      <c r="U1" s="1796"/>
      <c r="V1" s="1796"/>
      <c r="W1" s="1796"/>
      <c r="X1" s="1796"/>
      <c r="Y1" s="1796"/>
      <c r="Z1" s="1796"/>
      <c r="AA1" s="1796"/>
      <c r="AB1" s="1796"/>
      <c r="AC1" s="1797"/>
    </row>
    <row r="2" spans="1:29" s="342" customFormat="1" ht="28.5" customHeight="1" thickTop="1">
      <c r="A2" s="1132" t="s">
        <v>1458</v>
      </c>
      <c r="B2" s="1079" t="e">
        <f>IF(E1="项目模式",IF(C2="——",ROUND(C49*D3/10000,0),ROUND(C49*D3/10000,0)-D2),IF(E1="单套模式",IF(C2="——",ROUND(C49*D3/10000,4),ROUND(C49*D3/10000,4)-D2)))</f>
        <v>#DIV/0!</v>
      </c>
      <c r="C2" s="1731" t="s">
        <v>43</v>
      </c>
      <c r="D2" s="1046" t="e">
        <f ca="1">IF(E1="项目模式",SUMIF(INDIRECT("'"&amp;F2&amp;"'"&amp;"!A:A"),"承租人权益价值",INDIRECT("'"&amp;F2&amp;"'"&amp;"!c:c")),SUMIF(INDIRECT("'"&amp;F2&amp;"'"&amp;"!A:A"),"承租人权益价值（单套）",INDIRECT("'"&amp;F2&amp;"'"&amp;"!c:c")))</f>
        <v>#REF!</v>
      </c>
      <c r="E2" s="1732" t="s">
        <v>1459</v>
      </c>
      <c r="F2" s="1733"/>
      <c r="G2" s="849"/>
      <c r="H2" s="849"/>
      <c r="I2" s="849"/>
      <c r="J2" s="849"/>
      <c r="K2" s="849"/>
      <c r="L2" s="2498"/>
      <c r="M2" s="2499"/>
      <c r="N2" s="2499"/>
      <c r="O2" s="2499"/>
      <c r="P2" s="1798"/>
      <c r="Q2" s="853"/>
      <c r="R2" s="853"/>
      <c r="S2" s="853"/>
      <c r="T2" s="853"/>
      <c r="U2" s="853"/>
      <c r="V2" s="853"/>
      <c r="W2" s="853"/>
      <c r="X2" s="853"/>
      <c r="Y2" s="853"/>
      <c r="Z2" s="853"/>
      <c r="AA2" s="853"/>
      <c r="AB2" s="853"/>
      <c r="AC2" s="1799"/>
    </row>
    <row r="3" spans="1:29" s="342" customFormat="1" ht="28.5" customHeight="1" thickBot="1">
      <c r="A3" s="195" t="s">
        <v>1460</v>
      </c>
      <c r="B3" s="536" t="e">
        <f>IF(C2="——",C49,ROUND(B2*10000/D3,0))</f>
        <v>#DIV/0!</v>
      </c>
      <c r="C3" s="344" t="s">
        <v>1764</v>
      </c>
      <c r="D3" s="343">
        <f>IF(D1="",'数据-汇总表'!E3,SUMIF('数据-汇总表'!$C19:$C33,D1,'数据-汇总表'!$E19:$E33))</f>
        <v>617.69000000000005</v>
      </c>
      <c r="E3" s="1799"/>
      <c r="F3" s="850"/>
      <c r="G3" s="849"/>
      <c r="H3" s="849"/>
      <c r="I3" s="849"/>
      <c r="J3" s="849"/>
      <c r="K3" s="851"/>
      <c r="L3" s="2498"/>
      <c r="M3" s="2499"/>
      <c r="N3" s="2499"/>
      <c r="O3" s="2499"/>
      <c r="P3" s="1798"/>
      <c r="Q3" s="853"/>
      <c r="R3" s="853"/>
      <c r="S3" s="853"/>
      <c r="T3" s="853"/>
      <c r="U3" s="853"/>
      <c r="V3" s="853"/>
      <c r="W3" s="853"/>
      <c r="X3" s="853"/>
      <c r="Y3" s="853"/>
      <c r="Z3" s="853"/>
      <c r="AA3" s="853"/>
      <c r="AB3" s="853"/>
      <c r="AC3" s="1799"/>
    </row>
    <row r="4" spans="1:29" ht="15">
      <c r="A4" s="345" t="s">
        <v>1765</v>
      </c>
      <c r="B4" s="346"/>
      <c r="C4" s="3484" t="s">
        <v>1766</v>
      </c>
      <c r="D4" s="3485"/>
      <c r="E4" s="3486" t="s">
        <v>1767</v>
      </c>
      <c r="F4" s="3487"/>
      <c r="G4" s="3484" t="s">
        <v>1768</v>
      </c>
      <c r="H4" s="3485"/>
      <c r="I4" s="3484" t="s">
        <v>1769</v>
      </c>
      <c r="J4" s="3485"/>
      <c r="K4" s="537" t="s">
        <v>1770</v>
      </c>
      <c r="L4" s="2481"/>
      <c r="M4" s="2482"/>
      <c r="N4" s="2482"/>
      <c r="O4" s="2482"/>
      <c r="P4" s="3488" t="s">
        <v>1771</v>
      </c>
      <c r="Q4" s="3489"/>
      <c r="R4" s="3494" t="s">
        <v>1767</v>
      </c>
      <c r="S4" s="3495"/>
      <c r="T4" s="3494" t="s">
        <v>1768</v>
      </c>
      <c r="U4" s="3495"/>
      <c r="V4" s="3467" t="s">
        <v>1769</v>
      </c>
      <c r="W4" s="3467"/>
      <c r="X4" s="1259"/>
      <c r="Y4" s="3494" t="s">
        <v>1771</v>
      </c>
      <c r="Z4" s="3495"/>
      <c r="AA4" s="3481" t="s">
        <v>1767</v>
      </c>
      <c r="AB4" s="3467" t="s">
        <v>1768</v>
      </c>
      <c r="AC4" s="3481" t="s">
        <v>1769</v>
      </c>
    </row>
    <row r="5" spans="1:29" ht="15">
      <c r="A5" s="348"/>
      <c r="B5" s="349"/>
      <c r="C5" s="3502" t="s">
        <v>1669</v>
      </c>
      <c r="D5" s="3503"/>
      <c r="E5" s="3509" t="s">
        <v>1670</v>
      </c>
      <c r="F5" s="3510"/>
      <c r="G5" s="3502" t="s">
        <v>1671</v>
      </c>
      <c r="H5" s="3503"/>
      <c r="I5" s="3502" t="s">
        <v>1672</v>
      </c>
      <c r="J5" s="3503"/>
      <c r="K5" s="537"/>
      <c r="L5" s="2481"/>
      <c r="M5" s="2482"/>
      <c r="N5" s="2482"/>
      <c r="O5" s="2482"/>
      <c r="P5" s="3490"/>
      <c r="Q5" s="3491"/>
      <c r="R5" s="3496"/>
      <c r="S5" s="3497"/>
      <c r="T5" s="3496"/>
      <c r="U5" s="3497"/>
      <c r="V5" s="3467"/>
      <c r="W5" s="3467"/>
      <c r="X5" s="1259"/>
      <c r="Y5" s="3496"/>
      <c r="Z5" s="3497"/>
      <c r="AA5" s="3482"/>
      <c r="AB5" s="3467"/>
      <c r="AC5" s="3482"/>
    </row>
    <row r="6" spans="1:29" ht="15.75" thickBot="1">
      <c r="A6" s="350"/>
      <c r="B6" s="351"/>
      <c r="C6" s="3500" t="s">
        <v>1673</v>
      </c>
      <c r="D6" s="3501"/>
      <c r="E6" s="3507" t="s">
        <v>1673</v>
      </c>
      <c r="F6" s="3508"/>
      <c r="G6" s="3500" t="s">
        <v>1673</v>
      </c>
      <c r="H6" s="3501"/>
      <c r="I6" s="3500" t="s">
        <v>1673</v>
      </c>
      <c r="J6" s="3501"/>
      <c r="K6" s="537" t="s">
        <v>1674</v>
      </c>
      <c r="L6" s="2481"/>
      <c r="M6" s="2482"/>
      <c r="N6" s="2482"/>
      <c r="O6" s="2482"/>
      <c r="P6" s="3492"/>
      <c r="Q6" s="3493"/>
      <c r="R6" s="3496"/>
      <c r="S6" s="3497"/>
      <c r="T6" s="3498"/>
      <c r="U6" s="3499"/>
      <c r="V6" s="3467"/>
      <c r="W6" s="3467"/>
      <c r="X6" s="1259"/>
      <c r="Y6" s="3498"/>
      <c r="Z6" s="3499"/>
      <c r="AA6" s="3483"/>
      <c r="AB6" s="3467"/>
      <c r="AC6" s="3483"/>
    </row>
    <row r="7" spans="1:29" s="102" customFormat="1" ht="15.75" thickBot="1">
      <c r="A7" s="352" t="s">
        <v>1675</v>
      </c>
      <c r="B7" s="353"/>
      <c r="C7" s="354">
        <f>'数据-取费表'!B2</f>
        <v>45873</v>
      </c>
      <c r="D7" s="355">
        <v>100</v>
      </c>
      <c r="E7" s="356"/>
      <c r="F7" s="357">
        <f>SUMIF(58:58,YEAR(E7)&amp;"-"&amp;MONTH(E7),59:59)</f>
        <v>0</v>
      </c>
      <c r="G7" s="356"/>
      <c r="H7" s="355">
        <f>SUMIF(58:58,YEAR(G7)&amp;"-"&amp;MONTH(G7),59:59)</f>
        <v>0</v>
      </c>
      <c r="I7" s="356"/>
      <c r="J7" s="355">
        <f>SUMIF(58:58,YEAR(I7)&amp;"-"&amp;MONTH(I7),59:59)</f>
        <v>0</v>
      </c>
      <c r="K7" s="38"/>
      <c r="L7" s="2483"/>
      <c r="M7" s="2434"/>
      <c r="N7" s="2434"/>
      <c r="O7" s="2434"/>
      <c r="P7" s="3504" t="s">
        <v>1676</v>
      </c>
      <c r="Q7" s="3506"/>
      <c r="R7" s="664" t="s">
        <v>14</v>
      </c>
      <c r="S7" s="665">
        <f t="shared" ref="S7:S15" si="0">F7</f>
        <v>0</v>
      </c>
      <c r="T7" s="664" t="s">
        <v>14</v>
      </c>
      <c r="U7" s="665">
        <f t="shared" ref="U7:U15" si="1">H7</f>
        <v>0</v>
      </c>
      <c r="V7" s="664" t="s">
        <v>14</v>
      </c>
      <c r="W7" s="665">
        <f t="shared" ref="W7:W15" si="2">J7</f>
        <v>0</v>
      </c>
      <c r="X7" s="666"/>
      <c r="Y7" s="3504" t="s">
        <v>1676</v>
      </c>
      <c r="Z7" s="3505"/>
      <c r="AA7" s="50" t="e">
        <f>D7/F7</f>
        <v>#DIV/0!</v>
      </c>
      <c r="AB7" s="50" t="e">
        <f>D7/H7</f>
        <v>#DIV/0!</v>
      </c>
      <c r="AC7" s="50" t="e">
        <f>D7/J7</f>
        <v>#DIV/0!</v>
      </c>
    </row>
    <row r="8" spans="1:29" s="102" customFormat="1" ht="15.75" thickBot="1">
      <c r="A8" s="352" t="s">
        <v>1677</v>
      </c>
      <c r="B8" s="353"/>
      <c r="C8" s="358"/>
      <c r="D8" s="355">
        <v>100</v>
      </c>
      <c r="E8" s="358"/>
      <c r="F8" s="357">
        <f>SUMIF(61:61,E8,62:62)-SUMIF(61:61,C8,62:62)+100</f>
        <v>100</v>
      </c>
      <c r="G8" s="358"/>
      <c r="H8" s="355">
        <f>SUMIF(61:61,G8,62:62)-SUMIF(61:61,C8,62:62)+100</f>
        <v>100</v>
      </c>
      <c r="I8" s="358"/>
      <c r="J8" s="355">
        <f>SUMIF(61:61,I8,62:62)-SUMIF(61:61,C8,62:62)+100</f>
        <v>100</v>
      </c>
      <c r="K8" s="38"/>
      <c r="L8" s="2483"/>
      <c r="M8" s="2434"/>
      <c r="N8" s="2434"/>
      <c r="O8" s="2434"/>
      <c r="P8" s="3504" t="s">
        <v>1679</v>
      </c>
      <c r="Q8" s="3505"/>
      <c r="R8" s="664" t="s">
        <v>14</v>
      </c>
      <c r="S8" s="665">
        <f t="shared" si="0"/>
        <v>100</v>
      </c>
      <c r="T8" s="664" t="s">
        <v>14</v>
      </c>
      <c r="U8" s="665">
        <f t="shared" si="1"/>
        <v>100</v>
      </c>
      <c r="V8" s="664" t="s">
        <v>14</v>
      </c>
      <c r="W8" s="665">
        <f t="shared" si="2"/>
        <v>100</v>
      </c>
      <c r="X8" s="666"/>
      <c r="Y8" s="3504" t="s">
        <v>1679</v>
      </c>
      <c r="Z8" s="3505"/>
      <c r="AA8" s="50">
        <f t="shared" ref="AA8:AA46" si="3">D8/F8</f>
        <v>1</v>
      </c>
      <c r="AB8" s="50">
        <f t="shared" ref="AB8:AB46" si="4">D8/H8</f>
        <v>1</v>
      </c>
      <c r="AC8" s="50">
        <f t="shared" ref="AC8:AC46" si="5">D8/J8</f>
        <v>1</v>
      </c>
    </row>
    <row r="9" spans="1:29" s="102" customFormat="1">
      <c r="A9" s="359" t="s">
        <v>1680</v>
      </c>
      <c r="B9" s="60" t="s">
        <v>1681</v>
      </c>
      <c r="C9" s="360"/>
      <c r="D9" s="59">
        <v>100</v>
      </c>
      <c r="E9" s="361"/>
      <c r="F9" s="60">
        <f>SUMIF(63:63,E9,64:64)-SUMIF(63:63,C9,64:64)+100</f>
        <v>100</v>
      </c>
      <c r="G9" s="361"/>
      <c r="H9" s="59">
        <f>SUMIF(63:63,G9,64:64)-SUMIF(63:63,C9,64:64)+100</f>
        <v>100</v>
      </c>
      <c r="I9" s="361"/>
      <c r="J9" s="59">
        <f>SUMIF(63:63,I9,64:64)-SUMIF(63:63,C9,64:64)+100</f>
        <v>100</v>
      </c>
      <c r="K9" s="38"/>
      <c r="L9" s="2483"/>
      <c r="M9" s="2434"/>
      <c r="N9" s="2434"/>
      <c r="O9" s="2434"/>
      <c r="P9" s="3480" t="s">
        <v>1682</v>
      </c>
      <c r="Q9" s="530" t="str">
        <f t="shared" ref="Q9:Q15" si="6">B9</f>
        <v>用途</v>
      </c>
      <c r="R9" s="664" t="s">
        <v>14</v>
      </c>
      <c r="S9" s="665">
        <f t="shared" si="0"/>
        <v>100</v>
      </c>
      <c r="T9" s="664" t="s">
        <v>14</v>
      </c>
      <c r="U9" s="665">
        <f t="shared" si="1"/>
        <v>100</v>
      </c>
      <c r="V9" s="664" t="s">
        <v>14</v>
      </c>
      <c r="W9" s="665">
        <f t="shared" si="2"/>
        <v>100</v>
      </c>
      <c r="X9" s="666"/>
      <c r="Y9" s="3346" t="s">
        <v>1683</v>
      </c>
      <c r="Z9" s="50" t="str">
        <f t="shared" ref="Z9:Z15" si="7">Q9</f>
        <v>用途</v>
      </c>
      <c r="AA9" s="50">
        <f t="shared" si="3"/>
        <v>1</v>
      </c>
      <c r="AB9" s="50">
        <f t="shared" si="4"/>
        <v>1</v>
      </c>
      <c r="AC9" s="50">
        <f t="shared" si="5"/>
        <v>1</v>
      </c>
    </row>
    <row r="10" spans="1:29" s="366" customFormat="1" ht="27">
      <c r="A10" s="363"/>
      <c r="B10" s="364" t="s">
        <v>1684</v>
      </c>
      <c r="C10" s="3126"/>
      <c r="D10" s="119">
        <v>100</v>
      </c>
      <c r="E10" s="3127"/>
      <c r="F10" s="364">
        <f>SUMIF(65:65,E10,66:66)-SUMIF(65:65,C10,66:66)+100</f>
        <v>100</v>
      </c>
      <c r="G10" s="3126"/>
      <c r="H10" s="119">
        <f>SUMIF(65:65,G10,66:66)-SUMIF(65:65,C10,66:66)+100</f>
        <v>100</v>
      </c>
      <c r="I10" s="3126"/>
      <c r="J10" s="119">
        <f>SUMIF(65:65,I10,66:66)-SUMIF(65:65,C10,66:66)+100</f>
        <v>100</v>
      </c>
      <c r="K10" s="38"/>
      <c r="L10" s="2484"/>
      <c r="M10" s="2485"/>
      <c r="N10" s="2485"/>
      <c r="O10" s="2485"/>
      <c r="P10" s="3480"/>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480"/>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4"/>
      <c r="N12" s="2434"/>
      <c r="O12" s="2434"/>
      <c r="P12" s="3480"/>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80"/>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80"/>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15">
      <c r="A15" s="379" t="s">
        <v>1686</v>
      </c>
      <c r="B15" s="58" t="s">
        <v>1773</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71" t="s">
        <v>1687</v>
      </c>
      <c r="Q15" s="1257" t="str">
        <f t="shared" si="6"/>
        <v>商业繁华度</v>
      </c>
      <c r="R15" s="667" t="s">
        <v>14</v>
      </c>
      <c r="S15" s="668">
        <f t="shared" si="0"/>
        <v>100</v>
      </c>
      <c r="T15" s="667" t="s">
        <v>14</v>
      </c>
      <c r="U15" s="668">
        <f t="shared" si="1"/>
        <v>100</v>
      </c>
      <c r="V15" s="667" t="s">
        <v>14</v>
      </c>
      <c r="W15" s="668">
        <f t="shared" si="2"/>
        <v>100</v>
      </c>
      <c r="X15" s="1259"/>
      <c r="Y15" s="3473" t="s">
        <v>1687</v>
      </c>
      <c r="Z15" s="1258" t="str">
        <f t="shared" si="7"/>
        <v>商业繁华度</v>
      </c>
      <c r="AA15" s="1258">
        <f t="shared" si="3"/>
        <v>1</v>
      </c>
      <c r="AB15" s="1258">
        <f t="shared" si="4"/>
        <v>1</v>
      </c>
      <c r="AC15" s="1258">
        <f t="shared" si="5"/>
        <v>1</v>
      </c>
    </row>
    <row r="16" spans="1:29" ht="15">
      <c r="A16" s="367"/>
      <c r="B16" s="385"/>
      <c r="C16" s="386"/>
      <c r="D16" s="387"/>
      <c r="E16" s="386"/>
      <c r="F16" s="388"/>
      <c r="G16" s="386"/>
      <c r="H16" s="389"/>
      <c r="I16" s="386"/>
      <c r="J16" s="387"/>
      <c r="K16" s="541"/>
      <c r="L16" s="2487"/>
      <c r="M16" s="2482"/>
      <c r="N16" s="2482"/>
      <c r="O16" s="2482"/>
      <c r="P16" s="3472"/>
      <c r="Q16" s="1257"/>
      <c r="R16" s="667"/>
      <c r="S16" s="668"/>
      <c r="T16" s="667"/>
      <c r="U16" s="668"/>
      <c r="V16" s="667"/>
      <c r="W16" s="668"/>
      <c r="X16" s="1259"/>
      <c r="Y16" s="3474"/>
      <c r="Z16" s="1258"/>
      <c r="AA16" s="1258">
        <v>1</v>
      </c>
      <c r="AB16" s="1258">
        <v>1</v>
      </c>
      <c r="AC16" s="1258">
        <v>1</v>
      </c>
    </row>
    <row r="17" spans="1:29" ht="15">
      <c r="A17" s="367"/>
      <c r="B17" s="390" t="s">
        <v>1255</v>
      </c>
      <c r="C17" s="1748">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72"/>
      <c r="Q17" s="1257" t="str">
        <f>B17</f>
        <v>交通便捷度</v>
      </c>
      <c r="R17" s="667" t="s">
        <v>14</v>
      </c>
      <c r="S17" s="668">
        <f>F17</f>
        <v>100</v>
      </c>
      <c r="T17" s="667" t="s">
        <v>14</v>
      </c>
      <c r="U17" s="668">
        <f>H17</f>
        <v>100</v>
      </c>
      <c r="V17" s="667" t="s">
        <v>14</v>
      </c>
      <c r="W17" s="668">
        <f>J17</f>
        <v>100</v>
      </c>
      <c r="X17" s="1259"/>
      <c r="Y17" s="3474"/>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41"/>
      <c r="L18" s="2487"/>
      <c r="M18" s="2482"/>
      <c r="N18" s="2482"/>
      <c r="O18" s="2482"/>
      <c r="P18" s="3472"/>
      <c r="Q18" s="1257"/>
      <c r="R18" s="667"/>
      <c r="S18" s="668"/>
      <c r="T18" s="667"/>
      <c r="U18" s="668"/>
      <c r="V18" s="667"/>
      <c r="W18" s="668"/>
      <c r="X18" s="1259"/>
      <c r="Y18" s="3474"/>
      <c r="Z18" s="1258"/>
      <c r="AA18" s="1258">
        <v>1</v>
      </c>
      <c r="AB18" s="1258">
        <v>1</v>
      </c>
      <c r="AC18" s="1258">
        <v>1</v>
      </c>
    </row>
    <row r="19" spans="1:29" ht="15">
      <c r="A19" s="367"/>
      <c r="B19" s="390" t="s">
        <v>1774</v>
      </c>
      <c r="C19" s="1748">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72"/>
      <c r="Q19" s="1257" t="str">
        <f>B19</f>
        <v>公共配套设施</v>
      </c>
      <c r="R19" s="667" t="s">
        <v>14</v>
      </c>
      <c r="S19" s="668">
        <f>F19</f>
        <v>100</v>
      </c>
      <c r="T19" s="667" t="s">
        <v>14</v>
      </c>
      <c r="U19" s="668">
        <f>H19</f>
        <v>100</v>
      </c>
      <c r="V19" s="667" t="s">
        <v>14</v>
      </c>
      <c r="W19" s="668">
        <f>J19</f>
        <v>100</v>
      </c>
      <c r="X19" s="1259"/>
      <c r="Y19" s="3474"/>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41"/>
      <c r="L20" s="2487"/>
      <c r="M20" s="2482"/>
      <c r="N20" s="2482"/>
      <c r="O20" s="2482"/>
      <c r="P20" s="3472"/>
      <c r="Q20" s="1257"/>
      <c r="R20" s="667"/>
      <c r="S20" s="668"/>
      <c r="T20" s="667"/>
      <c r="U20" s="668"/>
      <c r="V20" s="667"/>
      <c r="W20" s="668"/>
      <c r="X20" s="1259"/>
      <c r="Y20" s="3474"/>
      <c r="Z20" s="1258"/>
      <c r="AA20" s="1258">
        <v>1</v>
      </c>
      <c r="AB20" s="1258">
        <v>1</v>
      </c>
      <c r="AC20" s="1258">
        <v>1</v>
      </c>
    </row>
    <row r="21" spans="1:29" ht="15">
      <c r="A21" s="367"/>
      <c r="B21" s="586" t="s">
        <v>1775</v>
      </c>
      <c r="C21" s="1748">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72"/>
      <c r="Q21" s="1257" t="str">
        <f>B21</f>
        <v>基础设施水平</v>
      </c>
      <c r="R21" s="667" t="s">
        <v>14</v>
      </c>
      <c r="S21" s="668">
        <f>F21</f>
        <v>100</v>
      </c>
      <c r="T21" s="667" t="s">
        <v>14</v>
      </c>
      <c r="U21" s="668">
        <f>H21</f>
        <v>100</v>
      </c>
      <c r="V21" s="667" t="s">
        <v>14</v>
      </c>
      <c r="W21" s="668">
        <f>J21</f>
        <v>100</v>
      </c>
      <c r="X21" s="1259"/>
      <c r="Y21" s="3474"/>
      <c r="Z21" s="1258" t="str">
        <f>Q21</f>
        <v>基础设施水平</v>
      </c>
      <c r="AA21" s="1258">
        <f t="shared" ref="AA21" si="8">D21/F21</f>
        <v>1</v>
      </c>
      <c r="AB21" s="1258">
        <f t="shared" ref="AB21" si="9">D21/H21</f>
        <v>1</v>
      </c>
      <c r="AC21" s="1258">
        <f t="shared" ref="AC21" si="10">D21/J21</f>
        <v>1</v>
      </c>
    </row>
    <row r="22" spans="1:29" ht="15">
      <c r="A22" s="367"/>
      <c r="B22" s="586"/>
      <c r="C22" s="1749"/>
      <c r="D22" s="387"/>
      <c r="E22" s="386"/>
      <c r="F22" s="388"/>
      <c r="G22" s="386"/>
      <c r="H22" s="387"/>
      <c r="I22" s="386"/>
      <c r="J22" s="387"/>
      <c r="K22" s="1058"/>
      <c r="L22" s="2487"/>
      <c r="M22" s="2482"/>
      <c r="N22" s="2482"/>
      <c r="O22" s="2482"/>
      <c r="P22" s="3472"/>
      <c r="Q22" s="1257"/>
      <c r="R22" s="667"/>
      <c r="S22" s="668"/>
      <c r="T22" s="667"/>
      <c r="U22" s="668"/>
      <c r="V22" s="667"/>
      <c r="W22" s="668"/>
      <c r="X22" s="1259"/>
      <c r="Y22" s="3474"/>
      <c r="Z22" s="1258"/>
      <c r="AA22" s="1258">
        <v>1</v>
      </c>
      <c r="AB22" s="1258">
        <v>1</v>
      </c>
      <c r="AC22" s="1258">
        <v>1</v>
      </c>
    </row>
    <row r="23" spans="1:29" ht="15">
      <c r="A23" s="367"/>
      <c r="B23" s="390" t="s">
        <v>1257</v>
      </c>
      <c r="C23" s="1800">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72"/>
      <c r="Q23" s="1257" t="str">
        <f>B23</f>
        <v>自然及人文环境</v>
      </c>
      <c r="R23" s="667" t="s">
        <v>14</v>
      </c>
      <c r="S23" s="668">
        <f>F23</f>
        <v>100</v>
      </c>
      <c r="T23" s="667" t="s">
        <v>14</v>
      </c>
      <c r="U23" s="668">
        <f>H23</f>
        <v>100</v>
      </c>
      <c r="V23" s="667" t="s">
        <v>14</v>
      </c>
      <c r="W23" s="668">
        <f>J23</f>
        <v>100</v>
      </c>
      <c r="X23" s="1259"/>
      <c r="Y23" s="3474"/>
      <c r="Z23" s="1258" t="str">
        <f>Q23</f>
        <v>自然及人文环境</v>
      </c>
      <c r="AA23" s="1258">
        <f t="shared" si="3"/>
        <v>1</v>
      </c>
      <c r="AB23" s="1258">
        <f t="shared" si="4"/>
        <v>1</v>
      </c>
      <c r="AC23" s="1258">
        <f t="shared" si="5"/>
        <v>1</v>
      </c>
    </row>
    <row r="24" spans="1:29" ht="15">
      <c r="A24" s="367"/>
      <c r="B24" s="395"/>
      <c r="C24" s="386"/>
      <c r="D24" s="387"/>
      <c r="E24" s="1746"/>
      <c r="F24" s="388"/>
      <c r="G24" s="1745"/>
      <c r="H24" s="387"/>
      <c r="I24" s="1746"/>
      <c r="J24" s="387"/>
      <c r="K24" s="541"/>
      <c r="L24" s="2487"/>
      <c r="M24" s="2482"/>
      <c r="N24" s="2482"/>
      <c r="O24" s="2482"/>
      <c r="P24" s="3472"/>
      <c r="Q24" s="1257"/>
      <c r="R24" s="667"/>
      <c r="S24" s="668"/>
      <c r="T24" s="667"/>
      <c r="U24" s="668"/>
      <c r="V24" s="667"/>
      <c r="W24" s="668"/>
      <c r="X24" s="1259"/>
      <c r="Y24" s="3474"/>
      <c r="Z24" s="1258"/>
      <c r="AA24" s="1258">
        <v>1</v>
      </c>
      <c r="AB24" s="1258">
        <v>1</v>
      </c>
      <c r="AC24" s="1258">
        <v>1</v>
      </c>
    </row>
    <row r="25" spans="1:29" ht="15">
      <c r="A25" s="367"/>
      <c r="B25" s="364" t="s">
        <v>1776</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72"/>
      <c r="Q25" s="1257" t="str">
        <f t="shared" ref="Q25:Q46" si="11">B25</f>
        <v>临街状况</v>
      </c>
      <c r="R25" s="667" t="s">
        <v>14</v>
      </c>
      <c r="S25" s="668">
        <f>F25</f>
        <v>100</v>
      </c>
      <c r="T25" s="667" t="s">
        <v>14</v>
      </c>
      <c r="U25" s="668">
        <f>H25</f>
        <v>100</v>
      </c>
      <c r="V25" s="667" t="s">
        <v>14</v>
      </c>
      <c r="W25" s="668">
        <f>J25</f>
        <v>100</v>
      </c>
      <c r="X25" s="1259"/>
      <c r="Y25" s="3474"/>
      <c r="Z25" s="1258" t="str">
        <f>Q25</f>
        <v>临街状况</v>
      </c>
      <c r="AA25" s="1258">
        <f t="shared" si="3"/>
        <v>1</v>
      </c>
      <c r="AB25" s="1258">
        <f t="shared" si="4"/>
        <v>1</v>
      </c>
      <c r="AC25" s="1258">
        <f t="shared" si="5"/>
        <v>1</v>
      </c>
    </row>
    <row r="26" spans="1:29" ht="15">
      <c r="A26" s="367"/>
      <c r="B26" s="1060" t="s">
        <v>1777</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72"/>
      <c r="Q26" s="1257" t="str">
        <f t="shared" si="11"/>
        <v>平面位置/可视性</v>
      </c>
      <c r="R26" s="667" t="s">
        <v>14</v>
      </c>
      <c r="S26" s="668">
        <f>F26</f>
        <v>100</v>
      </c>
      <c r="T26" s="667" t="s">
        <v>14</v>
      </c>
      <c r="U26" s="668">
        <f>H26</f>
        <v>100</v>
      </c>
      <c r="V26" s="667" t="s">
        <v>14</v>
      </c>
      <c r="W26" s="668">
        <f>J26</f>
        <v>100</v>
      </c>
      <c r="X26" s="1259"/>
      <c r="Y26" s="3474"/>
      <c r="Z26" s="1258" t="str">
        <f>Q26</f>
        <v>平面位置/可视性</v>
      </c>
      <c r="AA26" s="1258">
        <f t="shared" si="3"/>
        <v>1</v>
      </c>
      <c r="AB26" s="1258">
        <f t="shared" si="4"/>
        <v>1</v>
      </c>
      <c r="AC26" s="1258">
        <f t="shared" si="5"/>
        <v>1</v>
      </c>
    </row>
    <row r="27" spans="1:29" s="102" customFormat="1" ht="15">
      <c r="A27" s="370"/>
      <c r="B27" s="390" t="s">
        <v>1778</v>
      </c>
      <c r="C27" s="1801"/>
      <c r="D27" s="401">
        <v>100</v>
      </c>
      <c r="E27" s="1801"/>
      <c r="F27" s="395">
        <f>SUMIF(90:90,E27,91:91)-SUMIF(90:90,C27,91:91)+100</f>
        <v>100</v>
      </c>
      <c r="G27" s="1801"/>
      <c r="H27" s="401">
        <f>SUMIF(90:90,G27,91:91)-SUMIF(90:90,C27,91:91)+100</f>
        <v>100</v>
      </c>
      <c r="I27" s="1801"/>
      <c r="J27" s="401">
        <f>SUMIF(90:90,I27,91:91)-SUMIF(90:90,C27,91:91)+100</f>
        <v>100</v>
      </c>
      <c r="K27" s="538"/>
      <c r="L27" s="2483"/>
      <c r="M27" s="2434"/>
      <c r="N27" s="2434"/>
      <c r="O27" s="2434"/>
      <c r="P27" s="3472"/>
      <c r="Q27" s="530" t="str">
        <f t="shared" si="11"/>
        <v>人流量</v>
      </c>
      <c r="R27" s="664" t="s">
        <v>14</v>
      </c>
      <c r="S27" s="665">
        <f>F27</f>
        <v>100</v>
      </c>
      <c r="T27" s="664" t="s">
        <v>14</v>
      </c>
      <c r="U27" s="665">
        <f>H27</f>
        <v>100</v>
      </c>
      <c r="V27" s="664" t="s">
        <v>14</v>
      </c>
      <c r="W27" s="665">
        <f>J27</f>
        <v>100</v>
      </c>
      <c r="X27" s="666"/>
      <c r="Y27" s="3474"/>
      <c r="Z27" s="50" t="str">
        <f>Q27</f>
        <v>人流量</v>
      </c>
      <c r="AA27" s="1258">
        <f>D27/F27</f>
        <v>1</v>
      </c>
      <c r="AB27" s="1258">
        <f>D27/H27</f>
        <v>1</v>
      </c>
      <c r="AC27" s="1258">
        <f>D27/J27</f>
        <v>1</v>
      </c>
    </row>
    <row r="28" spans="1:29" ht="15">
      <c r="A28" s="367"/>
      <c r="B28" s="364" t="s">
        <v>1779</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72"/>
      <c r="Q28" s="1257" t="str">
        <f t="shared" si="11"/>
        <v>楼层</v>
      </c>
      <c r="R28" s="667" t="s">
        <v>14</v>
      </c>
      <c r="S28" s="668">
        <f t="shared" ref="S28:S46" si="12">F28</f>
        <v>100</v>
      </c>
      <c r="T28" s="667" t="s">
        <v>14</v>
      </c>
      <c r="U28" s="668">
        <f t="shared" ref="U28:U46" si="13">H28</f>
        <v>100</v>
      </c>
      <c r="V28" s="667" t="s">
        <v>14</v>
      </c>
      <c r="W28" s="668">
        <f t="shared" ref="W28:W46" si="14">J28</f>
        <v>100</v>
      </c>
      <c r="X28" s="1259"/>
      <c r="Y28" s="3474"/>
      <c r="Z28" s="1258" t="str">
        <f t="shared" ref="Z28:Z46" si="15">Q28</f>
        <v>楼层</v>
      </c>
      <c r="AA28" s="1258">
        <f t="shared" si="3"/>
        <v>1</v>
      </c>
      <c r="AB28" s="1258">
        <f t="shared" si="4"/>
        <v>1</v>
      </c>
      <c r="AC28" s="1258">
        <f t="shared" si="5"/>
        <v>1</v>
      </c>
    </row>
    <row r="29" spans="1:29" ht="15">
      <c r="A29" s="367"/>
      <c r="B29" s="1060">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72"/>
      <c r="Q29" s="1257">
        <f t="shared" si="11"/>
        <v>111</v>
      </c>
      <c r="R29" s="667" t="s">
        <v>14</v>
      </c>
      <c r="S29" s="668">
        <f t="shared" si="12"/>
        <v>100</v>
      </c>
      <c r="T29" s="667" t="s">
        <v>14</v>
      </c>
      <c r="U29" s="668">
        <f t="shared" si="13"/>
        <v>100</v>
      </c>
      <c r="V29" s="667" t="s">
        <v>14</v>
      </c>
      <c r="W29" s="668">
        <f t="shared" si="14"/>
        <v>100</v>
      </c>
      <c r="X29" s="1259"/>
      <c r="Y29" s="3474"/>
      <c r="Z29" s="1258">
        <f t="shared" si="15"/>
        <v>111</v>
      </c>
      <c r="AA29" s="1258">
        <f t="shared" si="3"/>
        <v>1</v>
      </c>
      <c r="AB29" s="1258">
        <f t="shared" si="4"/>
        <v>1</v>
      </c>
      <c r="AC29" s="1258">
        <f t="shared" si="5"/>
        <v>1</v>
      </c>
    </row>
    <row r="30" spans="1:29" ht="15">
      <c r="A30" s="367"/>
      <c r="B30" s="1060">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72"/>
      <c r="Q30" s="1257">
        <f t="shared" si="11"/>
        <v>111</v>
      </c>
      <c r="R30" s="667" t="s">
        <v>14</v>
      </c>
      <c r="S30" s="668">
        <f t="shared" si="12"/>
        <v>100</v>
      </c>
      <c r="T30" s="667" t="s">
        <v>14</v>
      </c>
      <c r="U30" s="668">
        <f t="shared" si="13"/>
        <v>100</v>
      </c>
      <c r="V30" s="667" t="s">
        <v>14</v>
      </c>
      <c r="W30" s="668">
        <f t="shared" si="14"/>
        <v>100</v>
      </c>
      <c r="X30" s="1259"/>
      <c r="Y30" s="3474"/>
      <c r="Z30" s="1258">
        <f t="shared" si="15"/>
        <v>111</v>
      </c>
      <c r="AA30" s="1258">
        <f t="shared" si="3"/>
        <v>1</v>
      </c>
      <c r="AB30" s="1258">
        <f t="shared" si="4"/>
        <v>1</v>
      </c>
      <c r="AC30" s="1258">
        <f t="shared" si="5"/>
        <v>1</v>
      </c>
    </row>
    <row r="31" spans="1:29" ht="15.75" thickBot="1">
      <c r="A31" s="375"/>
      <c r="B31" s="1060">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72"/>
      <c r="Q31" s="1257">
        <f t="shared" si="11"/>
        <v>111</v>
      </c>
      <c r="R31" s="667" t="s">
        <v>14</v>
      </c>
      <c r="S31" s="668">
        <f t="shared" si="12"/>
        <v>100</v>
      </c>
      <c r="T31" s="667" t="s">
        <v>14</v>
      </c>
      <c r="U31" s="668">
        <f t="shared" si="13"/>
        <v>100</v>
      </c>
      <c r="V31" s="667" t="s">
        <v>14</v>
      </c>
      <c r="W31" s="668">
        <f t="shared" si="14"/>
        <v>100</v>
      </c>
      <c r="X31" s="1259"/>
      <c r="Y31" s="3474"/>
      <c r="Z31" s="1258">
        <f t="shared" si="15"/>
        <v>111</v>
      </c>
      <c r="AA31" s="1258">
        <f t="shared" si="3"/>
        <v>1</v>
      </c>
      <c r="AB31" s="1258">
        <f t="shared" si="4"/>
        <v>1</v>
      </c>
      <c r="AC31" s="1258">
        <f t="shared" si="5"/>
        <v>1</v>
      </c>
    </row>
    <row r="32" spans="1:29" ht="15">
      <c r="A32" s="379" t="s">
        <v>1690</v>
      </c>
      <c r="B32" s="60" t="s">
        <v>1780</v>
      </c>
      <c r="C32" s="1758"/>
      <c r="D32" s="405">
        <v>100</v>
      </c>
      <c r="E32" s="1758"/>
      <c r="F32" s="400">
        <f>SUMIF(100:100,E32,101:101)-SUMIF(100:100,C32,101:101)+100</f>
        <v>100</v>
      </c>
      <c r="G32" s="1758"/>
      <c r="H32" s="374">
        <f>SUMIF(100:100,G32,101:101)-SUMIF(100:100,C32,101:101)+100</f>
        <v>100</v>
      </c>
      <c r="I32" s="1758"/>
      <c r="J32" s="405">
        <f>SUMIF(100:100,I32,101:101)-SUMIF(100:100,C32,101:101)+100</f>
        <v>100</v>
      </c>
      <c r="K32" s="538"/>
      <c r="L32" s="2487"/>
      <c r="M32" s="2482"/>
      <c r="N32" s="2482"/>
      <c r="O32" s="2482"/>
      <c r="P32" s="3475" t="s">
        <v>1692</v>
      </c>
      <c r="Q32" s="1257" t="str">
        <f t="shared" si="11"/>
        <v>商业类型</v>
      </c>
      <c r="R32" s="667" t="s">
        <v>14</v>
      </c>
      <c r="S32" s="668">
        <f t="shared" si="12"/>
        <v>100</v>
      </c>
      <c r="T32" s="667" t="s">
        <v>14</v>
      </c>
      <c r="U32" s="668">
        <f t="shared" si="13"/>
        <v>100</v>
      </c>
      <c r="V32" s="667" t="s">
        <v>14</v>
      </c>
      <c r="W32" s="668">
        <f t="shared" si="14"/>
        <v>100</v>
      </c>
      <c r="X32" s="1259"/>
      <c r="Y32" s="3478" t="s">
        <v>1692</v>
      </c>
      <c r="Z32" s="1258" t="str">
        <f t="shared" si="15"/>
        <v>商业类型</v>
      </c>
      <c r="AA32" s="1258">
        <f t="shared" si="3"/>
        <v>1</v>
      </c>
      <c r="AB32" s="1258">
        <f t="shared" si="4"/>
        <v>1</v>
      </c>
      <c r="AC32" s="1258">
        <f t="shared" si="5"/>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76"/>
      <c r="Q33" s="531" t="str">
        <f t="shared" si="11"/>
        <v>项目建筑规模</v>
      </c>
      <c r="R33" s="669" t="s">
        <v>14</v>
      </c>
      <c r="S33" s="670" t="e">
        <f t="shared" si="12"/>
        <v>#N/A</v>
      </c>
      <c r="T33" s="669" t="s">
        <v>14</v>
      </c>
      <c r="U33" s="670" t="e">
        <f t="shared" si="13"/>
        <v>#N/A</v>
      </c>
      <c r="V33" s="669" t="s">
        <v>14</v>
      </c>
      <c r="W33" s="670" t="e">
        <f t="shared" si="14"/>
        <v>#N/A</v>
      </c>
      <c r="X33" s="671"/>
      <c r="Y33" s="3478"/>
      <c r="Z33" s="672" t="str">
        <f t="shared" si="15"/>
        <v>项目建筑规模</v>
      </c>
      <c r="AA33" s="1258" t="e">
        <f t="shared" si="3"/>
        <v>#N/A</v>
      </c>
      <c r="AB33" s="1258" t="e">
        <f t="shared" si="4"/>
        <v>#N/A</v>
      </c>
      <c r="AC33" s="1258" t="e">
        <f t="shared" si="5"/>
        <v>#N/A</v>
      </c>
    </row>
    <row r="34" spans="1:29" ht="15">
      <c r="A34" s="409"/>
      <c r="B34" s="364" t="s">
        <v>1694</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76"/>
      <c r="Q34" s="1257" t="str">
        <f t="shared" si="11"/>
        <v>建筑结构</v>
      </c>
      <c r="R34" s="667" t="s">
        <v>14</v>
      </c>
      <c r="S34" s="668">
        <f t="shared" si="12"/>
        <v>100</v>
      </c>
      <c r="T34" s="667" t="s">
        <v>14</v>
      </c>
      <c r="U34" s="668">
        <f t="shared" si="13"/>
        <v>100</v>
      </c>
      <c r="V34" s="667" t="s">
        <v>14</v>
      </c>
      <c r="W34" s="668">
        <f t="shared" si="14"/>
        <v>100</v>
      </c>
      <c r="X34" s="1259"/>
      <c r="Y34" s="3478"/>
      <c r="Z34" s="1258" t="str">
        <f t="shared" si="15"/>
        <v>建筑结构</v>
      </c>
      <c r="AA34" s="1258">
        <f t="shared" si="3"/>
        <v>1</v>
      </c>
      <c r="AB34" s="1258">
        <f t="shared" si="4"/>
        <v>1</v>
      </c>
      <c r="AC34" s="1258">
        <f t="shared" si="5"/>
        <v>1</v>
      </c>
    </row>
    <row r="35" spans="1:29" ht="15">
      <c r="A35" s="409"/>
      <c r="B35" s="364" t="s">
        <v>1781</v>
      </c>
      <c r="C35" s="1754"/>
      <c r="D35" s="374">
        <v>100</v>
      </c>
      <c r="E35" s="1754"/>
      <c r="F35" s="400">
        <f>SUMIF(107:107,E35,108:108)-SUMIF(107:107,C35,108:108)+100</f>
        <v>100</v>
      </c>
      <c r="G35" s="1754"/>
      <c r="H35" s="374">
        <f>SUMIF(107:107,G35,108:108)-SUMIF(107:107,C35,108:108)+100</f>
        <v>100</v>
      </c>
      <c r="I35" s="1754"/>
      <c r="J35" s="374">
        <f>SUMIF(107:107,I35,108:108)-SUMIF(107:107,C35,108:108)+100</f>
        <v>100</v>
      </c>
      <c r="K35" s="538"/>
      <c r="L35" s="2487"/>
      <c r="M35" s="2482"/>
      <c r="N35" s="2482"/>
      <c r="O35" s="2482"/>
      <c r="P35" s="3476"/>
      <c r="Q35" s="1257" t="str">
        <f t="shared" si="11"/>
        <v>公共部分装修</v>
      </c>
      <c r="R35" s="667" t="s">
        <v>14</v>
      </c>
      <c r="S35" s="668">
        <f t="shared" si="12"/>
        <v>100</v>
      </c>
      <c r="T35" s="667" t="s">
        <v>14</v>
      </c>
      <c r="U35" s="668">
        <f t="shared" si="13"/>
        <v>100</v>
      </c>
      <c r="V35" s="667" t="s">
        <v>14</v>
      </c>
      <c r="W35" s="668">
        <f t="shared" si="14"/>
        <v>100</v>
      </c>
      <c r="X35" s="1259"/>
      <c r="Y35" s="3478"/>
      <c r="Z35" s="1258" t="str">
        <f t="shared" si="15"/>
        <v>公共部分装修</v>
      </c>
      <c r="AA35" s="1258">
        <f t="shared" si="3"/>
        <v>1</v>
      </c>
      <c r="AB35" s="1258">
        <f t="shared" si="4"/>
        <v>1</v>
      </c>
      <c r="AC35" s="1258">
        <f t="shared" si="5"/>
        <v>1</v>
      </c>
    </row>
    <row r="36" spans="1:29" ht="15">
      <c r="A36" s="409"/>
      <c r="B36" s="364" t="s">
        <v>1782</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76"/>
      <c r="Q36" s="1257" t="str">
        <f t="shared" si="11"/>
        <v>成新度</v>
      </c>
      <c r="R36" s="667" t="s">
        <v>14</v>
      </c>
      <c r="S36" s="668" t="e">
        <f t="shared" si="12"/>
        <v>#N/A</v>
      </c>
      <c r="T36" s="667" t="s">
        <v>14</v>
      </c>
      <c r="U36" s="668" t="e">
        <f t="shared" si="13"/>
        <v>#N/A</v>
      </c>
      <c r="V36" s="667" t="s">
        <v>14</v>
      </c>
      <c r="W36" s="668" t="e">
        <f t="shared" si="14"/>
        <v>#N/A</v>
      </c>
      <c r="X36" s="1259"/>
      <c r="Y36" s="3478"/>
      <c r="Z36" s="1258" t="str">
        <f t="shared" si="15"/>
        <v>成新度</v>
      </c>
      <c r="AA36" s="1258" t="e">
        <f t="shared" si="3"/>
        <v>#N/A</v>
      </c>
      <c r="AB36" s="1258" t="e">
        <f t="shared" si="4"/>
        <v>#N/A</v>
      </c>
      <c r="AC36" s="1258" t="e">
        <f t="shared" si="5"/>
        <v>#N/A</v>
      </c>
    </row>
    <row r="37" spans="1:29" s="102" customFormat="1" ht="15">
      <c r="A37" s="410"/>
      <c r="B37" s="364" t="s">
        <v>1783</v>
      </c>
      <c r="C37" s="1754"/>
      <c r="D37" s="119">
        <v>100</v>
      </c>
      <c r="E37" s="1754"/>
      <c r="F37" s="400">
        <f>SUMIF(112:112,E37,113:113)-SUMIF(112:112,C37,113:113)+100</f>
        <v>100</v>
      </c>
      <c r="G37" s="1754"/>
      <c r="H37" s="374">
        <f>SUMIF(112:112,G37,113:113)-SUMIF(112:112,C37,113:113)+100</f>
        <v>100</v>
      </c>
      <c r="I37" s="1754"/>
      <c r="J37" s="374">
        <f>SUMIF(112:112,I37,113:113)-SUMIF(112:112,C37,113:113)+100</f>
        <v>100</v>
      </c>
      <c r="K37" s="538"/>
      <c r="L37" s="2483"/>
      <c r="M37" s="2434"/>
      <c r="N37" s="2434"/>
      <c r="O37" s="2434"/>
      <c r="P37" s="3476"/>
      <c r="Q37" s="530" t="str">
        <f t="shared" si="11"/>
        <v>市政基础设施</v>
      </c>
      <c r="R37" s="664" t="s">
        <v>14</v>
      </c>
      <c r="S37" s="665">
        <f t="shared" si="12"/>
        <v>100</v>
      </c>
      <c r="T37" s="664" t="s">
        <v>14</v>
      </c>
      <c r="U37" s="665">
        <f t="shared" si="13"/>
        <v>100</v>
      </c>
      <c r="V37" s="664" t="s">
        <v>14</v>
      </c>
      <c r="W37" s="665">
        <f t="shared" si="14"/>
        <v>100</v>
      </c>
      <c r="X37" s="666"/>
      <c r="Y37" s="3478"/>
      <c r="Z37" s="50" t="str">
        <f t="shared" si="15"/>
        <v>市政基础设施</v>
      </c>
      <c r="AA37" s="50">
        <f t="shared" si="3"/>
        <v>1</v>
      </c>
      <c r="AB37" s="50">
        <f t="shared" si="4"/>
        <v>1</v>
      </c>
      <c r="AC37" s="50">
        <f t="shared" si="5"/>
        <v>1</v>
      </c>
    </row>
    <row r="38" spans="1:29" ht="15">
      <c r="A38" s="409"/>
      <c r="B38" s="364" t="s">
        <v>1784</v>
      </c>
      <c r="C38" s="1754"/>
      <c r="D38" s="374">
        <v>100</v>
      </c>
      <c r="E38" s="1754"/>
      <c r="F38" s="400">
        <f>SUMIF(114:114,E38,115:115)-SUMIF(114:114,C38,115:115)+100</f>
        <v>100</v>
      </c>
      <c r="G38" s="1754"/>
      <c r="H38" s="374">
        <f>SUMIF(114:114,G38,115:115)-SUMIF(114:114,C38,115:115)+100</f>
        <v>100</v>
      </c>
      <c r="I38" s="1754"/>
      <c r="J38" s="374">
        <f>SUMIF(114:114,I38,115:115)-SUMIF(114:114,C38,115:115)+100</f>
        <v>100</v>
      </c>
      <c r="K38" s="538"/>
      <c r="L38" s="2487"/>
      <c r="M38" s="2482"/>
      <c r="N38" s="2482"/>
      <c r="O38" s="2482"/>
      <c r="P38" s="3476" t="s">
        <v>1692</v>
      </c>
      <c r="Q38" s="1257" t="str">
        <f t="shared" si="11"/>
        <v>业态</v>
      </c>
      <c r="R38" s="667" t="s">
        <v>14</v>
      </c>
      <c r="S38" s="668">
        <f t="shared" si="12"/>
        <v>100</v>
      </c>
      <c r="T38" s="667" t="s">
        <v>14</v>
      </c>
      <c r="U38" s="668">
        <f t="shared" si="13"/>
        <v>100</v>
      </c>
      <c r="V38" s="667" t="s">
        <v>14</v>
      </c>
      <c r="W38" s="668">
        <f t="shared" si="14"/>
        <v>100</v>
      </c>
      <c r="X38" s="1259"/>
      <c r="Y38" s="3478" t="s">
        <v>1692</v>
      </c>
      <c r="Z38" s="1258" t="str">
        <f t="shared" si="15"/>
        <v>业态</v>
      </c>
      <c r="AA38" s="1258">
        <f t="shared" si="3"/>
        <v>1</v>
      </c>
      <c r="AB38" s="1258">
        <f t="shared" si="4"/>
        <v>1</v>
      </c>
      <c r="AC38" s="1258">
        <f t="shared" si="5"/>
        <v>1</v>
      </c>
    </row>
    <row r="39" spans="1:29" ht="15">
      <c r="A39" s="409"/>
      <c r="B39" s="364" t="s">
        <v>1785</v>
      </c>
      <c r="C39" s="1754"/>
      <c r="D39" s="374">
        <v>100</v>
      </c>
      <c r="E39" s="1754"/>
      <c r="F39" s="400">
        <f>SUMIF(116:116,E39,117:117)-SUMIF(116:116,C39,117:117)+100</f>
        <v>100</v>
      </c>
      <c r="G39" s="1754"/>
      <c r="H39" s="374">
        <f>SUMIF(116:116,G39,117:117)-SUMIF(116:116,C39,117:117)+100</f>
        <v>100</v>
      </c>
      <c r="I39" s="1754"/>
      <c r="J39" s="374">
        <f>SUMIF(116:116,I39,117:117)-SUMIF(116:116,C39,117:117)+100</f>
        <v>100</v>
      </c>
      <c r="K39" s="538"/>
      <c r="L39" s="2487"/>
      <c r="M39" s="2482"/>
      <c r="N39" s="2482"/>
      <c r="O39" s="2482"/>
      <c r="P39" s="3476"/>
      <c r="Q39" s="1257" t="str">
        <f t="shared" si="11"/>
        <v>层高</v>
      </c>
      <c r="R39" s="667" t="s">
        <v>14</v>
      </c>
      <c r="S39" s="668">
        <f t="shared" si="12"/>
        <v>100</v>
      </c>
      <c r="T39" s="667" t="s">
        <v>14</v>
      </c>
      <c r="U39" s="668">
        <f t="shared" si="13"/>
        <v>100</v>
      </c>
      <c r="V39" s="667" t="s">
        <v>14</v>
      </c>
      <c r="W39" s="668">
        <f t="shared" si="14"/>
        <v>100</v>
      </c>
      <c r="X39" s="1259"/>
      <c r="Y39" s="3478"/>
      <c r="Z39" s="1258" t="str">
        <f t="shared" si="15"/>
        <v>层高</v>
      </c>
      <c r="AA39" s="1258">
        <f t="shared" si="3"/>
        <v>1</v>
      </c>
      <c r="AB39" s="1258">
        <f t="shared" si="4"/>
        <v>1</v>
      </c>
      <c r="AC39" s="1258">
        <f t="shared" si="5"/>
        <v>1</v>
      </c>
    </row>
    <row r="40" spans="1:29" ht="15">
      <c r="A40" s="409"/>
      <c r="B40" s="364" t="s">
        <v>1786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76"/>
      <c r="Q40" s="1257" t="str">
        <f t="shared" si="11"/>
        <v>单套建筑面积</v>
      </c>
      <c r="R40" s="667" t="s">
        <v>14</v>
      </c>
      <c r="S40" s="668">
        <f t="shared" si="12"/>
        <v>100</v>
      </c>
      <c r="T40" s="667" t="s">
        <v>14</v>
      </c>
      <c r="U40" s="668">
        <f t="shared" si="13"/>
        <v>100</v>
      </c>
      <c r="V40" s="667" t="s">
        <v>14</v>
      </c>
      <c r="W40" s="668">
        <f t="shared" si="14"/>
        <v>100</v>
      </c>
      <c r="X40" s="1259"/>
      <c r="Y40" s="3478"/>
      <c r="Z40" s="1258" t="str">
        <f t="shared" si="15"/>
        <v>单套建筑面积</v>
      </c>
      <c r="AA40" s="1258">
        <f t="shared" si="3"/>
        <v>1</v>
      </c>
      <c r="AB40" s="1258">
        <f t="shared" si="4"/>
        <v>1</v>
      </c>
      <c r="AC40" s="1258">
        <f t="shared" si="5"/>
        <v>1</v>
      </c>
    </row>
    <row r="41" spans="1:29" s="408" customFormat="1" ht="15">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76"/>
      <c r="Q41" s="531" t="str">
        <f t="shared" si="11"/>
        <v>进深比</v>
      </c>
      <c r="R41" s="669" t="s">
        <v>14</v>
      </c>
      <c r="S41" s="670">
        <f t="shared" si="12"/>
        <v>100</v>
      </c>
      <c r="T41" s="669" t="s">
        <v>14</v>
      </c>
      <c r="U41" s="670">
        <f t="shared" si="13"/>
        <v>100</v>
      </c>
      <c r="V41" s="669" t="s">
        <v>14</v>
      </c>
      <c r="W41" s="670">
        <f t="shared" si="14"/>
        <v>100</v>
      </c>
      <c r="X41" s="671"/>
      <c r="Y41" s="3478"/>
      <c r="Z41" s="672" t="str">
        <f t="shared" si="15"/>
        <v>进深比</v>
      </c>
      <c r="AA41" s="1258">
        <f t="shared" si="3"/>
        <v>1</v>
      </c>
      <c r="AB41" s="1258">
        <f t="shared" si="4"/>
        <v>1</v>
      </c>
      <c r="AC41" s="1258">
        <f t="shared" si="5"/>
        <v>1</v>
      </c>
    </row>
    <row r="42" spans="1:29" ht="15">
      <c r="A42" s="409"/>
      <c r="B42" s="364" t="s">
        <v>1788</v>
      </c>
      <c r="C42" s="1754"/>
      <c r="D42" s="374">
        <v>100</v>
      </c>
      <c r="E42" s="1754"/>
      <c r="F42" s="400">
        <f>SUMIF(122:122,E42,123:123)-SUMIF(122:122,C42,123:123)+100</f>
        <v>100</v>
      </c>
      <c r="G42" s="1754"/>
      <c r="H42" s="374">
        <f>SUMIF(122:122,G42,123:123)-SUMIF(122:122,C42,123:123)+100</f>
        <v>100</v>
      </c>
      <c r="I42" s="1754"/>
      <c r="J42" s="374">
        <f>SUMIF(122:122,I42,123:123)-SUMIF(122:122,C42,123:123)+100</f>
        <v>100</v>
      </c>
      <c r="K42" s="538"/>
      <c r="L42" s="2487"/>
      <c r="M42" s="2482"/>
      <c r="N42" s="2482"/>
      <c r="O42" s="2482"/>
      <c r="P42" s="3476"/>
      <c r="Q42" s="1257" t="str">
        <f t="shared" si="11"/>
        <v>内部装修</v>
      </c>
      <c r="R42" s="667" t="s">
        <v>14</v>
      </c>
      <c r="S42" s="668">
        <f t="shared" si="12"/>
        <v>100</v>
      </c>
      <c r="T42" s="667" t="s">
        <v>14</v>
      </c>
      <c r="U42" s="668">
        <f t="shared" si="13"/>
        <v>100</v>
      </c>
      <c r="V42" s="667" t="s">
        <v>14</v>
      </c>
      <c r="W42" s="668">
        <f t="shared" si="14"/>
        <v>100</v>
      </c>
      <c r="X42" s="1259"/>
      <c r="Y42" s="3478"/>
      <c r="Z42" s="1258" t="str">
        <f t="shared" si="15"/>
        <v>内部装修</v>
      </c>
      <c r="AA42" s="1258">
        <f t="shared" si="3"/>
        <v>1</v>
      </c>
      <c r="AB42" s="1258">
        <f t="shared" si="4"/>
        <v>1</v>
      </c>
      <c r="AC42" s="1258">
        <f t="shared" si="5"/>
        <v>1</v>
      </c>
    </row>
    <row r="43" spans="1:29" ht="15">
      <c r="A43" s="409"/>
      <c r="B43" s="364" t="s">
        <v>1703</v>
      </c>
      <c r="C43" s="1754"/>
      <c r="D43" s="374">
        <v>100</v>
      </c>
      <c r="E43" s="1754"/>
      <c r="F43" s="400">
        <f>SUMIF(124:124,E43,125:125)-SUMIF(124:124,C43,125:125)+100</f>
        <v>100</v>
      </c>
      <c r="G43" s="1754"/>
      <c r="H43" s="374">
        <f>SUMIF(124:124,G43,125:125)-SUMIF(124:124,C43,125:125)+100</f>
        <v>100</v>
      </c>
      <c r="I43" s="1754"/>
      <c r="J43" s="374">
        <f>SUMIF(124:124,I43,125:125)-SUMIF(124:124,C43,125:125)+100</f>
        <v>100</v>
      </c>
      <c r="K43" s="538"/>
      <c r="L43" s="2487"/>
      <c r="M43" s="2482"/>
      <c r="N43" s="2482"/>
      <c r="O43" s="2482"/>
      <c r="P43" s="3476"/>
      <c r="Q43" s="1257" t="str">
        <f t="shared" si="11"/>
        <v>内部装修维护情况</v>
      </c>
      <c r="R43" s="667" t="s">
        <v>14</v>
      </c>
      <c r="S43" s="668">
        <f t="shared" si="12"/>
        <v>100</v>
      </c>
      <c r="T43" s="667" t="s">
        <v>14</v>
      </c>
      <c r="U43" s="668">
        <f t="shared" si="13"/>
        <v>100</v>
      </c>
      <c r="V43" s="667" t="s">
        <v>14</v>
      </c>
      <c r="W43" s="668">
        <f t="shared" si="14"/>
        <v>100</v>
      </c>
      <c r="X43" s="1259"/>
      <c r="Y43" s="3478"/>
      <c r="Z43" s="1258" t="str">
        <f t="shared" si="15"/>
        <v>内部装修维护情况</v>
      </c>
      <c r="AA43" s="1258">
        <f t="shared" si="3"/>
        <v>1</v>
      </c>
      <c r="AB43" s="1258">
        <f t="shared" si="4"/>
        <v>1</v>
      </c>
      <c r="AC43" s="1258">
        <f t="shared" si="5"/>
        <v>1</v>
      </c>
    </row>
    <row r="44" spans="1:29" s="102" customFormat="1" ht="15">
      <c r="A44" s="410"/>
      <c r="B44" s="1060">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4"/>
      <c r="N44" s="2434"/>
      <c r="O44" s="2434"/>
      <c r="P44" s="3476"/>
      <c r="Q44" s="530">
        <f t="shared" si="11"/>
        <v>111</v>
      </c>
      <c r="R44" s="664" t="s">
        <v>14</v>
      </c>
      <c r="S44" s="665">
        <f t="shared" si="12"/>
        <v>100</v>
      </c>
      <c r="T44" s="664" t="s">
        <v>14</v>
      </c>
      <c r="U44" s="665">
        <f t="shared" si="13"/>
        <v>100</v>
      </c>
      <c r="V44" s="664" t="s">
        <v>14</v>
      </c>
      <c r="W44" s="665">
        <f t="shared" si="14"/>
        <v>100</v>
      </c>
      <c r="X44" s="666"/>
      <c r="Y44" s="3478"/>
      <c r="Z44" s="50">
        <f t="shared" si="15"/>
        <v>111</v>
      </c>
      <c r="AA44" s="50">
        <f t="shared" si="3"/>
        <v>1</v>
      </c>
      <c r="AB44" s="50">
        <f t="shared" si="4"/>
        <v>1</v>
      </c>
      <c r="AC44" s="50">
        <f t="shared" si="5"/>
        <v>1</v>
      </c>
    </row>
    <row r="45" spans="1:29" ht="15">
      <c r="A45" s="409"/>
      <c r="B45" s="1060">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76"/>
      <c r="Q45" s="1257">
        <f t="shared" si="11"/>
        <v>111</v>
      </c>
      <c r="R45" s="667" t="s">
        <v>14</v>
      </c>
      <c r="S45" s="668">
        <f t="shared" si="12"/>
        <v>100</v>
      </c>
      <c r="T45" s="667" t="s">
        <v>14</v>
      </c>
      <c r="U45" s="668">
        <f t="shared" si="13"/>
        <v>100</v>
      </c>
      <c r="V45" s="667" t="s">
        <v>14</v>
      </c>
      <c r="W45" s="668">
        <f t="shared" si="14"/>
        <v>100</v>
      </c>
      <c r="X45" s="1259"/>
      <c r="Y45" s="3478"/>
      <c r="Z45" s="1258">
        <f t="shared" si="15"/>
        <v>111</v>
      </c>
      <c r="AA45" s="1258">
        <f t="shared" si="3"/>
        <v>1</v>
      </c>
      <c r="AB45" s="1258">
        <f t="shared" si="4"/>
        <v>1</v>
      </c>
      <c r="AC45" s="1258">
        <f t="shared" si="5"/>
        <v>1</v>
      </c>
    </row>
    <row r="46" spans="1:29" ht="15.75" thickBot="1">
      <c r="A46" s="415"/>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77"/>
      <c r="Q46" s="1257">
        <f t="shared" si="11"/>
        <v>111</v>
      </c>
      <c r="R46" s="667" t="s">
        <v>14</v>
      </c>
      <c r="S46" s="668">
        <f t="shared" si="12"/>
        <v>100</v>
      </c>
      <c r="T46" s="667" t="s">
        <v>14</v>
      </c>
      <c r="U46" s="668">
        <f t="shared" si="13"/>
        <v>100</v>
      </c>
      <c r="V46" s="667" t="s">
        <v>14</v>
      </c>
      <c r="W46" s="668">
        <f t="shared" si="14"/>
        <v>100</v>
      </c>
      <c r="X46" s="1259"/>
      <c r="Y46" s="3479"/>
      <c r="Z46" s="1258">
        <f t="shared" si="15"/>
        <v>111</v>
      </c>
      <c r="AA46" s="1258">
        <f t="shared" si="3"/>
        <v>1</v>
      </c>
      <c r="AB46" s="1258">
        <f t="shared" si="4"/>
        <v>1</v>
      </c>
      <c r="AC46" s="1258">
        <f t="shared" si="5"/>
        <v>1</v>
      </c>
    </row>
    <row r="47" spans="1:29" ht="15">
      <c r="A47" s="416" t="s">
        <v>1704</v>
      </c>
      <c r="B47" s="417"/>
      <c r="C47" s="1075" t="s">
        <v>0</v>
      </c>
      <c r="D47" s="418"/>
      <c r="E47" s="419"/>
      <c r="F47" s="420"/>
      <c r="G47" s="421"/>
      <c r="H47" s="422"/>
      <c r="I47" s="419"/>
      <c r="J47" s="422"/>
      <c r="K47" s="674"/>
      <c r="L47" s="2489"/>
      <c r="M47" s="2482"/>
      <c r="N47" s="2482"/>
      <c r="O47" s="2482"/>
      <c r="P47" s="3466" t="str">
        <f>A47</f>
        <v>成交单价（元/平方米）</v>
      </c>
      <c r="Q47" s="3466"/>
      <c r="R47" s="3467">
        <f>E47</f>
        <v>0</v>
      </c>
      <c r="S47" s="3467"/>
      <c r="T47" s="3467">
        <f>G47</f>
        <v>0</v>
      </c>
      <c r="U47" s="3467"/>
      <c r="V47" s="3467">
        <f>I47</f>
        <v>0</v>
      </c>
      <c r="W47" s="3467"/>
      <c r="X47" s="385"/>
      <c r="Y47" s="673"/>
      <c r="Z47" s="385"/>
      <c r="AA47" s="385"/>
      <c r="AB47" s="385"/>
      <c r="AC47" s="385"/>
    </row>
    <row r="48" spans="1:29" ht="15.75" thickBot="1">
      <c r="A48" s="423" t="s">
        <v>1789</v>
      </c>
      <c r="B48" s="424"/>
      <c r="C48" s="1076" t="e">
        <f>R49</f>
        <v>#DIV/0!</v>
      </c>
      <c r="D48" s="2135" t="s">
        <v>2131</v>
      </c>
      <c r="E48" s="1077" t="e">
        <f>R48</f>
        <v>#DIV/0!</v>
      </c>
      <c r="F48" s="2136"/>
      <c r="G48" s="1076" t="e">
        <f>T48</f>
        <v>#DIV/0!</v>
      </c>
      <c r="H48" s="2136"/>
      <c r="I48" s="1077" t="e">
        <f>V48</f>
        <v>#DIV/0!</v>
      </c>
      <c r="J48" s="2136"/>
      <c r="K48" s="2138">
        <f>F48+H48+J48</f>
        <v>0</v>
      </c>
      <c r="L48" s="2489"/>
      <c r="M48" s="2482"/>
      <c r="N48" s="2482"/>
      <c r="O48" s="2482"/>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385"/>
      <c r="Y48" s="385"/>
      <c r="Z48" s="385"/>
      <c r="AA48" s="385"/>
      <c r="AB48" s="385"/>
      <c r="AC48" s="385"/>
    </row>
    <row r="49" spans="1:29" ht="15.75" thickBot="1">
      <c r="A49" s="427" t="s">
        <v>1790</v>
      </c>
      <c r="B49" s="428"/>
      <c r="C49" s="351" t="e">
        <f>R49</f>
        <v>#DIV/0!</v>
      </c>
      <c r="D49" s="351"/>
      <c r="E49" s="351"/>
      <c r="F49" s="351"/>
      <c r="G49" s="351"/>
      <c r="H49" s="351"/>
      <c r="I49" s="351"/>
      <c r="J49" s="351"/>
      <c r="K49" s="675"/>
      <c r="L49" s="2489"/>
      <c r="M49" s="2482"/>
      <c r="N49" s="2482"/>
      <c r="O49" s="2482"/>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5">
      <c r="A52" s="2482"/>
      <c r="B52" s="2482"/>
      <c r="C52" s="432" t="s">
        <v>1791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5">
      <c r="A53" s="2482"/>
      <c r="B53" s="2482"/>
      <c r="C53" s="432" t="s">
        <v>1792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5">
      <c r="A54" s="2492"/>
      <c r="B54" s="2492"/>
      <c r="C54" s="432" t="s">
        <v>1793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8" t="s">
        <v>1794</v>
      </c>
      <c r="B57" s="385"/>
      <c r="C57" s="659"/>
      <c r="D57" s="659"/>
      <c r="E57" s="659"/>
      <c r="F57" s="660"/>
      <c r="G57" s="660"/>
      <c r="H57" s="659"/>
      <c r="I57" s="659"/>
      <c r="J57" s="659"/>
      <c r="K57" s="661"/>
      <c r="L57" s="882"/>
      <c r="M57" s="880"/>
      <c r="N57" s="880"/>
      <c r="O57" s="880"/>
      <c r="P57" s="2502"/>
      <c r="Q57" s="2503"/>
      <c r="R57" s="2482"/>
      <c r="S57" s="2482"/>
      <c r="T57" s="2482"/>
      <c r="U57" s="2482"/>
      <c r="V57" s="2482"/>
      <c r="W57" s="2482"/>
      <c r="X57" s="2482"/>
      <c r="Y57" s="2482"/>
      <c r="Z57" s="2482"/>
      <c r="AA57" s="2482"/>
      <c r="AB57" s="2482"/>
      <c r="AC57" s="2482"/>
    </row>
    <row r="58" spans="1:29" s="442" customFormat="1" ht="15">
      <c r="A58" s="440" t="s">
        <v>1675</v>
      </c>
      <c r="B58" s="441"/>
      <c r="C58" s="1097" t="str">
        <f>YEAR(C7)&amp;"-"&amp;MONTH(C7)</f>
        <v>2025-8</v>
      </c>
      <c r="D58" s="1098">
        <f>EDATE(C58,-1)</f>
        <v>45839</v>
      </c>
      <c r="E58" s="1098">
        <f t="shared" ref="E58:N58" si="16">EDATE(D58,-1)</f>
        <v>45809</v>
      </c>
      <c r="F58" s="1098">
        <f t="shared" si="16"/>
        <v>45778</v>
      </c>
      <c r="G58" s="1098">
        <f t="shared" si="16"/>
        <v>45748</v>
      </c>
      <c r="H58" s="1098">
        <f t="shared" si="16"/>
        <v>45717</v>
      </c>
      <c r="I58" s="1098">
        <f t="shared" si="16"/>
        <v>45689</v>
      </c>
      <c r="J58" s="1098">
        <f t="shared" si="16"/>
        <v>45658</v>
      </c>
      <c r="K58" s="1098">
        <f t="shared" si="16"/>
        <v>45627</v>
      </c>
      <c r="L58" s="1098">
        <f t="shared" si="16"/>
        <v>45597</v>
      </c>
      <c r="M58" s="1098">
        <f t="shared" si="16"/>
        <v>45566</v>
      </c>
      <c r="N58" s="1098">
        <f t="shared" si="16"/>
        <v>45536</v>
      </c>
      <c r="O58" s="1098">
        <f>EDATE(N58,-1)</f>
        <v>45505</v>
      </c>
      <c r="P58" s="2504"/>
      <c r="Q58" s="2505"/>
      <c r="R58" s="2505"/>
      <c r="S58" s="2505"/>
      <c r="T58" s="2505"/>
      <c r="U58" s="2505"/>
      <c r="V58" s="2505"/>
      <c r="W58" s="2505"/>
      <c r="X58" s="2505"/>
      <c r="Y58" s="2505"/>
      <c r="Z58" s="2505"/>
      <c r="AA58" s="2505"/>
      <c r="AB58" s="2505"/>
      <c r="AC58" s="2505"/>
    </row>
    <row r="59" spans="1:29" s="102" customFormat="1" ht="15">
      <c r="A59" s="443"/>
      <c r="B59" s="444"/>
      <c r="C59" s="1096">
        <v>100</v>
      </c>
      <c r="D59" s="446"/>
      <c r="E59" s="446"/>
      <c r="F59" s="446"/>
      <c r="G59" s="446"/>
      <c r="H59" s="446"/>
      <c r="I59" s="446"/>
      <c r="J59" s="446"/>
      <c r="K59" s="446"/>
      <c r="L59" s="446"/>
      <c r="M59" s="447"/>
      <c r="N59" s="446"/>
      <c r="O59" s="447"/>
      <c r="P59" s="2506"/>
      <c r="Q59" s="2434"/>
      <c r="R59" s="2434"/>
      <c r="S59" s="2434"/>
      <c r="T59" s="2434"/>
      <c r="U59" s="2434"/>
      <c r="V59" s="2434"/>
      <c r="W59" s="2434"/>
      <c r="X59" s="2434"/>
      <c r="Y59" s="2434"/>
      <c r="Z59" s="2434"/>
      <c r="AA59" s="2434"/>
      <c r="AB59" s="2434"/>
      <c r="AC59" s="2434"/>
    </row>
    <row r="60" spans="1:29" s="102" customFormat="1" ht="15.75" thickBot="1">
      <c r="A60" s="449" t="s">
        <v>1712</v>
      </c>
      <c r="B60" s="450"/>
      <c r="C60" s="451"/>
      <c r="D60" s="452"/>
      <c r="E60" s="452"/>
      <c r="F60" s="452"/>
      <c r="G60" s="452"/>
      <c r="H60" s="452"/>
      <c r="I60" s="452"/>
      <c r="J60" s="452"/>
      <c r="K60" s="452"/>
      <c r="L60" s="452"/>
      <c r="M60" s="453"/>
      <c r="N60" s="452"/>
      <c r="O60" s="453"/>
      <c r="P60" s="2506"/>
      <c r="Q60" s="2503"/>
      <c r="R60" s="2434"/>
      <c r="S60" s="2434"/>
      <c r="T60" s="2434"/>
      <c r="U60" s="2434"/>
      <c r="V60" s="2434"/>
      <c r="W60" s="2434"/>
      <c r="X60" s="2434"/>
      <c r="Y60" s="2434"/>
      <c r="Z60" s="2434"/>
      <c r="AA60" s="2434"/>
      <c r="AB60" s="2434"/>
      <c r="AC60" s="2434"/>
    </row>
    <row r="61" spans="1:29" s="102" customFormat="1" ht="15">
      <c r="A61" s="455" t="s">
        <v>1677</v>
      </c>
      <c r="B61" s="444"/>
      <c r="C61" s="456" t="s">
        <v>1772</v>
      </c>
      <c r="D61" s="31"/>
      <c r="E61" s="31"/>
      <c r="F61" s="31"/>
      <c r="G61" s="31"/>
      <c r="H61" s="31"/>
      <c r="I61" s="31"/>
      <c r="J61" s="31"/>
      <c r="K61" s="31"/>
      <c r="L61" s="457"/>
      <c r="M61" s="458"/>
      <c r="N61" s="2515"/>
      <c r="O61" s="2515"/>
      <c r="P61" s="2507"/>
      <c r="Q61" s="2503"/>
      <c r="R61" s="2434"/>
      <c r="S61" s="2434"/>
      <c r="T61" s="2434"/>
      <c r="U61" s="2434"/>
      <c r="V61" s="2434"/>
      <c r="W61" s="2434"/>
      <c r="X61" s="2434"/>
      <c r="Y61" s="2434"/>
      <c r="Z61" s="2434"/>
      <c r="AA61" s="2434"/>
      <c r="AB61" s="2434"/>
      <c r="AC61" s="2434"/>
    </row>
    <row r="62" spans="1:29" s="102" customFormat="1" ht="15.75" thickBot="1">
      <c r="A62" s="455"/>
      <c r="B62" s="444"/>
      <c r="C62" s="445">
        <v>100</v>
      </c>
      <c r="D62" s="446"/>
      <c r="E62" s="446"/>
      <c r="F62" s="446"/>
      <c r="G62" s="446"/>
      <c r="H62" s="446"/>
      <c r="I62" s="446"/>
      <c r="J62" s="446"/>
      <c r="K62" s="446"/>
      <c r="L62" s="446"/>
      <c r="M62" s="448"/>
      <c r="N62" s="2515"/>
      <c r="O62" s="2515"/>
      <c r="P62" s="2506"/>
      <c r="Q62" s="2503"/>
      <c r="R62" s="2434"/>
      <c r="S62" s="2434"/>
      <c r="T62" s="2434"/>
      <c r="U62" s="2434"/>
      <c r="V62" s="2434"/>
      <c r="W62" s="2434"/>
      <c r="X62" s="2434"/>
      <c r="Y62" s="2434"/>
      <c r="Z62" s="2434"/>
      <c r="AA62" s="2434"/>
      <c r="AB62" s="2434"/>
      <c r="AC62" s="2434"/>
    </row>
    <row r="63" spans="1:29">
      <c r="A63" s="379" t="s">
        <v>1715</v>
      </c>
      <c r="B63" s="460" t="s">
        <v>1681</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1684</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1685</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1686</v>
      </c>
      <c r="B76" s="460" t="s">
        <v>1716</v>
      </c>
      <c r="C76" s="504" t="s">
        <v>1717</v>
      </c>
      <c r="D76" s="504" t="s">
        <v>1718</v>
      </c>
      <c r="E76" s="504" t="s">
        <v>1719</v>
      </c>
      <c r="F76" s="504" t="s">
        <v>1720</v>
      </c>
      <c r="G76" s="504" t="s">
        <v>1721</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1722</v>
      </c>
      <c r="C78" s="509" t="s">
        <v>1717</v>
      </c>
      <c r="D78" s="509" t="s">
        <v>1718</v>
      </c>
      <c r="E78" s="509" t="s">
        <v>1719</v>
      </c>
      <c r="F78" s="509" t="s">
        <v>1720</v>
      </c>
      <c r="G78" s="509" t="s">
        <v>1721</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1723</v>
      </c>
      <c r="C80" s="509" t="s">
        <v>1717</v>
      </c>
      <c r="D80" s="509" t="s">
        <v>1718</v>
      </c>
      <c r="E80" s="509" t="s">
        <v>1719</v>
      </c>
      <c r="F80" s="509" t="s">
        <v>1720</v>
      </c>
      <c r="G80" s="509" t="s">
        <v>1721</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1775</v>
      </c>
      <c r="C82" s="581" t="s">
        <v>1795</v>
      </c>
      <c r="D82" s="581" t="s">
        <v>1796</v>
      </c>
      <c r="E82" s="581" t="s">
        <v>1797</v>
      </c>
      <c r="F82" s="581" t="s">
        <v>1798</v>
      </c>
      <c r="G82" s="581" t="s">
        <v>1799</v>
      </c>
      <c r="H82" s="470"/>
      <c r="I82" s="470"/>
      <c r="J82" s="470"/>
      <c r="K82" s="470"/>
      <c r="L82" s="470"/>
      <c r="M82" s="1057"/>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1729</v>
      </c>
      <c r="C84" s="509" t="s">
        <v>1717</v>
      </c>
      <c r="D84" s="509" t="s">
        <v>1718</v>
      </c>
      <c r="E84" s="509" t="s">
        <v>1719</v>
      </c>
      <c r="F84" s="509" t="s">
        <v>1720</v>
      </c>
      <c r="G84" s="509" t="s">
        <v>1721</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1800</v>
      </c>
      <c r="C86" s="485"/>
      <c r="D86" s="485"/>
      <c r="E86" s="485"/>
      <c r="F86" s="485"/>
      <c r="G86" s="485"/>
      <c r="H86" s="485"/>
      <c r="I86" s="485"/>
      <c r="J86" s="485"/>
      <c r="K86" s="485"/>
      <c r="L86" s="510"/>
      <c r="M86" s="511"/>
      <c r="N86" s="2515"/>
      <c r="O86" s="2515"/>
      <c r="P86" s="2508"/>
      <c r="Q86" s="2503"/>
      <c r="R86" s="2434"/>
      <c r="S86" s="2434"/>
      <c r="T86" s="2434"/>
      <c r="U86" s="2434"/>
      <c r="V86" s="2434"/>
      <c r="W86" s="2434"/>
      <c r="X86" s="2434"/>
      <c r="Y86" s="2434"/>
      <c r="Z86" s="2434"/>
      <c r="AA86" s="2434"/>
      <c r="AB86" s="2434"/>
      <c r="AC86" s="2434"/>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4"/>
      <c r="S87" s="2434"/>
      <c r="T87" s="2434"/>
      <c r="U87" s="2434"/>
      <c r="V87" s="2434"/>
      <c r="W87" s="2434"/>
      <c r="X87" s="2434"/>
      <c r="Y87" s="2434"/>
      <c r="Z87" s="2434"/>
      <c r="AA87" s="2434"/>
      <c r="AB87" s="2434"/>
      <c r="AC87" s="2434"/>
    </row>
    <row r="88" spans="1:29" s="102" customFormat="1" ht="15.75" thickTop="1">
      <c r="A88" s="370"/>
      <c r="B88" s="469" t="str">
        <f>B26</f>
        <v>平面位置/可视性</v>
      </c>
      <c r="C88" s="485"/>
      <c r="D88" s="485"/>
      <c r="E88" s="485"/>
      <c r="F88" s="1774"/>
      <c r="G88" s="485"/>
      <c r="H88" s="485"/>
      <c r="I88" s="485"/>
      <c r="J88" s="485"/>
      <c r="K88" s="485"/>
      <c r="L88" s="485"/>
      <c r="M88" s="511"/>
      <c r="N88" s="2515"/>
      <c r="O88" s="2515"/>
      <c r="P88" s="2508"/>
      <c r="Q88" s="2503"/>
      <c r="R88" s="2434"/>
      <c r="S88" s="2434"/>
      <c r="T88" s="2434"/>
      <c r="U88" s="2434"/>
      <c r="V88" s="2434"/>
      <c r="W88" s="2434"/>
      <c r="X88" s="2434"/>
      <c r="Y88" s="2434"/>
      <c r="Z88" s="2434"/>
      <c r="AA88" s="2434"/>
      <c r="AB88" s="2434"/>
      <c r="AC88" s="2434"/>
    </row>
    <row r="89" spans="1:29" s="102" customFormat="1" ht="15.75" thickBot="1">
      <c r="A89" s="370"/>
      <c r="B89" s="474"/>
      <c r="C89" s="491"/>
      <c r="D89" s="467"/>
      <c r="E89" s="467"/>
      <c r="F89" s="467"/>
      <c r="G89" s="467"/>
      <c r="H89" s="467"/>
      <c r="I89" s="467"/>
      <c r="J89" s="467"/>
      <c r="K89" s="467"/>
      <c r="L89" s="467"/>
      <c r="M89" s="467"/>
      <c r="N89" s="2517"/>
      <c r="O89" s="2517"/>
      <c r="P89" s="2508"/>
      <c r="Q89" s="2503"/>
      <c r="R89" s="2434"/>
      <c r="S89" s="2434"/>
      <c r="T89" s="2434"/>
      <c r="U89" s="2434"/>
      <c r="V89" s="2434"/>
      <c r="W89" s="2434"/>
      <c r="X89" s="2434"/>
      <c r="Y89" s="2434"/>
      <c r="Z89" s="2434"/>
      <c r="AA89" s="2434"/>
      <c r="AB89" s="2434"/>
      <c r="AC89" s="2434"/>
    </row>
    <row r="90" spans="1:29" s="408" customFormat="1" ht="15.75"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1690</v>
      </c>
      <c r="B100" s="460" t="s">
        <v>1801</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7"/>
      <c r="B102" s="469" t="s">
        <v>1733</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1734</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1736</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1738</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1802</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1803</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1804</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1805</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1740</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Normal="70" zoomScaleSheetLayoutView="10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3"/>
      <c r="C1" s="1281" t="s">
        <v>3532</v>
      </c>
      <c r="D1" s="1265" t="s">
        <v>43</v>
      </c>
      <c r="E1" s="1266" t="s">
        <v>674</v>
      </c>
      <c r="F1" s="993">
        <f ca="1">J53</f>
        <v>24</v>
      </c>
      <c r="G1" s="1280">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7" t="s">
        <v>874</v>
      </c>
      <c r="B2" s="3118">
        <f ca="1">ROUND(D2/10000,4)</f>
        <v>2661.3472000000002</v>
      </c>
      <c r="C2" s="1283" t="s">
        <v>875</v>
      </c>
      <c r="D2" s="1369">
        <f ca="1">C40+J29+L46</f>
        <v>26613472</v>
      </c>
      <c r="E2" s="1289" t="s">
        <v>876</v>
      </c>
      <c r="F2" s="1290"/>
      <c r="G2" s="2473"/>
      <c r="H2" s="2463"/>
      <c r="I2" s="2463"/>
      <c r="J2" s="2463"/>
      <c r="K2" s="2464"/>
      <c r="L2" s="2463"/>
      <c r="M2" s="2463"/>
    </row>
    <row r="3" spans="1:37" ht="18" customHeight="1" thickBot="1">
      <c r="A3" s="1291" t="s">
        <v>877</v>
      </c>
      <c r="B3" s="1292">
        <f ca="1">IF(ISERROR(D2/F43),0,ROUND(D2/F43,0))</f>
        <v>43085</v>
      </c>
      <c r="C3" s="1283" t="s">
        <v>878</v>
      </c>
      <c r="D3" s="1283"/>
      <c r="E3" s="1289"/>
      <c r="F3" s="1290"/>
      <c r="G3" s="2473"/>
      <c r="H3" s="649" t="s">
        <v>872</v>
      </c>
      <c r="I3" s="1284"/>
      <c r="J3" s="1284"/>
      <c r="K3" s="1285"/>
      <c r="L3" s="1284"/>
      <c r="M3" s="1284"/>
    </row>
    <row r="4" spans="1:37" ht="18" customHeight="1">
      <c r="A4" s="287" t="s">
        <v>879</v>
      </c>
      <c r="B4" s="288" t="s">
        <v>880</v>
      </c>
      <c r="C4" s="288" t="s">
        <v>881</v>
      </c>
      <c r="D4" s="288" t="s">
        <v>882</v>
      </c>
      <c r="E4" s="289" t="s">
        <v>883</v>
      </c>
      <c r="F4" s="290"/>
      <c r="G4" s="1286"/>
      <c r="H4" s="287" t="s">
        <v>879</v>
      </c>
      <c r="I4" s="288" t="s">
        <v>880</v>
      </c>
      <c r="J4" s="288" t="s">
        <v>881</v>
      </c>
      <c r="K4" s="288" t="s">
        <v>882</v>
      </c>
      <c r="L4" s="289" t="s">
        <v>883</v>
      </c>
      <c r="M4" s="290"/>
    </row>
    <row r="5" spans="1:37" ht="18" customHeight="1">
      <c r="A5" s="291">
        <v>1</v>
      </c>
      <c r="B5" s="292" t="s">
        <v>884</v>
      </c>
      <c r="C5" s="1001">
        <f ca="1">C6+C10+C12</f>
        <v>2031648</v>
      </c>
      <c r="D5" s="1267" t="s">
        <v>885</v>
      </c>
      <c r="E5" s="1002"/>
      <c r="F5" s="1003"/>
      <c r="G5" s="1286"/>
      <c r="H5" s="291">
        <v>1</v>
      </c>
      <c r="I5" s="292" t="s">
        <v>884</v>
      </c>
      <c r="J5" s="1001">
        <f ca="1">J6+J10+J12</f>
        <v>0</v>
      </c>
      <c r="K5" s="1267" t="s">
        <v>885</v>
      </c>
      <c r="L5" s="1002"/>
      <c r="M5" s="1003"/>
    </row>
    <row r="6" spans="1:37" ht="18" customHeight="1">
      <c r="A6" s="1000" t="s">
        <v>398</v>
      </c>
      <c r="B6" s="3444" t="s">
        <v>690</v>
      </c>
      <c r="C6" s="1005">
        <f ca="1">ROUND(F6*F8*F7*(1-F9),0)</f>
        <v>2029112</v>
      </c>
      <c r="D6" s="147" t="s">
        <v>2099</v>
      </c>
      <c r="E6" s="294" t="s">
        <v>692</v>
      </c>
      <c r="F6" s="295">
        <f ca="1">INDIRECT("'数据-取费表'!u"&amp;$G$1)</f>
        <v>10</v>
      </c>
      <c r="G6" s="1286"/>
      <c r="H6" s="1000" t="s">
        <v>398</v>
      </c>
      <c r="I6" s="3444" t="s">
        <v>690</v>
      </c>
      <c r="J6" s="293">
        <f ca="1">ROUND(M6*M8*M7*(1-M9),0)</f>
        <v>0</v>
      </c>
      <c r="K6" s="1278" t="s">
        <v>2100</v>
      </c>
      <c r="L6" s="294" t="s">
        <v>692</v>
      </c>
      <c r="M6" s="295">
        <f ca="1">INDIRECT("'数据-取费表'!z"&amp;$G$1)</f>
        <v>0</v>
      </c>
    </row>
    <row r="7" spans="1:37" ht="18" customHeight="1">
      <c r="A7" s="1004"/>
      <c r="B7" s="3445"/>
      <c r="C7" s="1006"/>
      <c r="D7" s="299"/>
      <c r="E7" s="1007" t="s">
        <v>693</v>
      </c>
      <c r="F7" s="295">
        <f ca="1">IF(INDIRECT("'数据-取费表'!ah"&amp;$G$1)="",INDIRECT("'数据-取费表'!k"&amp;$G$1),INDIRECT("'数据-取费表'!ah"&amp;$G$1))</f>
        <v>617.69000000000005</v>
      </c>
      <c r="G7" s="1286"/>
      <c r="H7" s="296"/>
      <c r="I7" s="3445"/>
      <c r="J7" s="298"/>
      <c r="K7" s="299"/>
      <c r="L7" s="294" t="s">
        <v>693</v>
      </c>
      <c r="M7" s="295">
        <f ca="1">F7</f>
        <v>617.69000000000005</v>
      </c>
    </row>
    <row r="8" spans="1:37" ht="18" customHeight="1">
      <c r="A8" s="296"/>
      <c r="B8" s="3445"/>
      <c r="C8" s="298"/>
      <c r="D8" s="299"/>
      <c r="E8" s="294" t="s">
        <v>694</v>
      </c>
      <c r="F8" s="295">
        <f ca="1">INDIRECT("'数据-取费表'!ai"&amp;$G$1)</f>
        <v>365</v>
      </c>
      <c r="G8" s="1286"/>
      <c r="H8" s="296"/>
      <c r="I8" s="3445"/>
      <c r="J8" s="298"/>
      <c r="K8" s="299"/>
      <c r="L8" s="294" t="s">
        <v>694</v>
      </c>
      <c r="M8" s="295">
        <f ca="1">INDIRECT("'数据-取费表'!ai"&amp;$G$1)</f>
        <v>365</v>
      </c>
    </row>
    <row r="9" spans="1:37" ht="18" customHeight="1">
      <c r="A9" s="296"/>
      <c r="B9" s="3446"/>
      <c r="C9" s="298"/>
      <c r="D9" s="299"/>
      <c r="E9" s="294" t="s">
        <v>695</v>
      </c>
      <c r="F9" s="304">
        <f ca="1">INDIRECT("'数据-取费表'!w"&amp;$G$1)</f>
        <v>0.1</v>
      </c>
      <c r="G9" s="1286"/>
      <c r="H9" s="296"/>
      <c r="I9" s="3446"/>
      <c r="J9" s="298"/>
      <c r="K9" s="299"/>
      <c r="L9" s="305" t="s">
        <v>695</v>
      </c>
      <c r="M9" s="306">
        <f ca="1">INDIRECT("'数据-取费表'!ab"&amp;$G$1)</f>
        <v>0</v>
      </c>
    </row>
    <row r="10" spans="1:37" ht="18" customHeight="1">
      <c r="A10" s="1000" t="s">
        <v>402</v>
      </c>
      <c r="B10" s="1268" t="s">
        <v>696</v>
      </c>
      <c r="C10" s="308">
        <f ca="1">ROUND(IF(F10="押一",C6/12*F11,IF(F10="押二",C6/12*2*F11,IF(F10="押三",C6/12*3*F11,C11*F11))),0)</f>
        <v>2536</v>
      </c>
      <c r="D10" s="150" t="s">
        <v>2109</v>
      </c>
      <c r="E10" s="305" t="s">
        <v>697</v>
      </c>
      <c r="F10" s="1047" t="s">
        <v>3534</v>
      </c>
      <c r="G10" s="1286"/>
      <c r="H10" s="1000" t="s">
        <v>402</v>
      </c>
      <c r="I10" s="1268" t="s">
        <v>696</v>
      </c>
      <c r="J10" s="293">
        <f ca="1">ROUND(IF(M10="押一",J6/12*M11,IF(M10="押二",J6/12*2*M11,IF(M10="押三",J6/12*3*M11,J11*M11))),0)</f>
        <v>0</v>
      </c>
      <c r="K10" s="1279" t="s">
        <v>2111</v>
      </c>
      <c r="L10" s="305" t="s">
        <v>697</v>
      </c>
      <c r="M10" s="1047"/>
    </row>
    <row r="11" spans="1:37" ht="18" customHeight="1">
      <c r="A11" s="300"/>
      <c r="B11" s="1269" t="s">
        <v>886</v>
      </c>
      <c r="C11" s="899"/>
      <c r="D11" s="299"/>
      <c r="E11" s="305" t="s">
        <v>698</v>
      </c>
      <c r="F11" s="306">
        <f ca="1">'数据-取费表'!B39</f>
        <v>1.4999999999999999E-2</v>
      </c>
      <c r="G11" s="1286"/>
      <c r="H11" s="1008"/>
      <c r="I11" s="1269" t="s">
        <v>887</v>
      </c>
      <c r="J11" s="899"/>
      <c r="K11" s="646"/>
      <c r="L11" s="305" t="s">
        <v>698</v>
      </c>
      <c r="M11" s="803">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f ca="1">ROUND(C29*F13,0)</f>
        <v>3245334</v>
      </c>
      <c r="D13" s="1012" t="s">
        <v>701</v>
      </c>
      <c r="E13" s="1012" t="s">
        <v>702</v>
      </c>
      <c r="F13" s="1013">
        <f ca="1">INDIRECT("'数据-取费表'!y"&amp;$G$1)</f>
        <v>0.77</v>
      </c>
      <c r="G13" s="1286"/>
      <c r="H13" s="1010">
        <v>2</v>
      </c>
      <c r="I13" s="1011" t="s">
        <v>700</v>
      </c>
      <c r="J13" s="999">
        <f ca="1">ROUND(J14*J15,0)</f>
        <v>0</v>
      </c>
      <c r="K13" s="1018" t="s">
        <v>701</v>
      </c>
      <c r="L13" s="1293"/>
      <c r="M13" s="1294"/>
    </row>
    <row r="14" spans="1:37" ht="18" customHeight="1">
      <c r="A14" s="922" t="s">
        <v>397</v>
      </c>
      <c r="B14" s="294" t="s">
        <v>703</v>
      </c>
      <c r="C14" s="310">
        <f ca="1">ROUND(INDIRECT("'数据-取费表'!l"&amp;$G$1)*F43+'数据-取费表'!L14*INDIRECT("'数据-取费表'!S"&amp;$G$1),0)</f>
        <v>2779605</v>
      </c>
      <c r="D14" s="1251" t="s">
        <v>704</v>
      </c>
      <c r="E14" s="1249"/>
      <c r="F14" s="311"/>
      <c r="G14" s="1286"/>
      <c r="H14" s="922" t="s">
        <v>398</v>
      </c>
      <c r="I14" s="294" t="s">
        <v>705</v>
      </c>
      <c r="J14" s="21">
        <f ca="1">C29</f>
        <v>4214720</v>
      </c>
      <c r="K14" s="12"/>
      <c r="L14" s="753"/>
      <c r="M14" s="754"/>
    </row>
    <row r="15" spans="1:37" s="1298" customFormat="1" ht="18" customHeight="1" thickBot="1">
      <c r="A15" s="922" t="s">
        <v>399</v>
      </c>
      <c r="B15" s="294" t="s">
        <v>706</v>
      </c>
      <c r="C15" s="21">
        <f ca="1">ROUND(C14*F15,0)</f>
        <v>138980</v>
      </c>
      <c r="D15" s="312" t="s">
        <v>707</v>
      </c>
      <c r="E15" s="312" t="s">
        <v>708</v>
      </c>
      <c r="F15" s="313">
        <f>'数据-取费表'!B33</f>
        <v>0.05</v>
      </c>
      <c r="G15" s="1297"/>
      <c r="H15" s="1020" t="s">
        <v>402</v>
      </c>
      <c r="I15" s="1021" t="s">
        <v>702</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676</v>
      </c>
      <c r="B16" s="294" t="s">
        <v>709</v>
      </c>
      <c r="C16" s="21">
        <f ca="1">ROUND(INDIRECT("'数据-取费表'!l"&amp;$G$1)*F43*F16,0)</f>
        <v>0</v>
      </c>
      <c r="D16" s="294" t="s">
        <v>707</v>
      </c>
      <c r="E16" s="294" t="s">
        <v>708</v>
      </c>
      <c r="F16" s="314">
        <f ca="1">IF(INDIRECT("'数据-取费表'!c"&amp;$G$1)="住宅",'数据-取费表'!B34,0)</f>
        <v>0</v>
      </c>
      <c r="G16" s="1286"/>
      <c r="H16" s="1010" t="s">
        <v>393</v>
      </c>
      <c r="I16" s="1011" t="s">
        <v>710</v>
      </c>
      <c r="J16" s="302">
        <f ca="1">ROUND(J17+J22+J23+J24,0)</f>
        <v>8429</v>
      </c>
      <c r="K16" s="1018" t="s">
        <v>711</v>
      </c>
      <c r="L16" s="1019"/>
      <c r="M16" s="1003"/>
    </row>
    <row r="17" spans="1:37" s="1298" customFormat="1" ht="18" customHeight="1">
      <c r="A17" s="922" t="s">
        <v>677</v>
      </c>
      <c r="B17" s="294" t="s">
        <v>712</v>
      </c>
      <c r="C17" s="21">
        <f ca="1">ROUND(F17*(F43+INDIRECT("'数据-取费表'!S"&amp;$G$1)),0)</f>
        <v>123538</v>
      </c>
      <c r="D17" s="294" t="s">
        <v>713</v>
      </c>
      <c r="E17" s="294" t="s">
        <v>714</v>
      </c>
      <c r="F17" s="23">
        <f>'数据-取费表'!B35</f>
        <v>200</v>
      </c>
      <c r="G17" s="1297"/>
      <c r="H17" s="922" t="s">
        <v>398</v>
      </c>
      <c r="I17" s="294" t="s">
        <v>715</v>
      </c>
      <c r="J17" s="2134">
        <f ca="1">ROUND(IF(AND(项目基本情况!B11="自然人",项目基本情况!B10="北京市"),J6*M17/(1+'数据-取费表'!C42),J18+J19+J20),0)</f>
        <v>0</v>
      </c>
      <c r="K17" s="1251" t="s">
        <v>716</v>
      </c>
      <c r="L17" s="1250" t="s">
        <v>717</v>
      </c>
      <c r="M17" s="2133"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678</v>
      </c>
      <c r="B18" s="294" t="s">
        <v>718</v>
      </c>
      <c r="C18" s="21">
        <f ca="1">ROUND(C14*F18,0)</f>
        <v>55592</v>
      </c>
      <c r="D18" s="294" t="s">
        <v>707</v>
      </c>
      <c r="E18" s="294" t="s">
        <v>708</v>
      </c>
      <c r="F18" s="314">
        <f>'数据-取费表'!B36</f>
        <v>0.02</v>
      </c>
      <c r="G18" s="1297"/>
      <c r="H18" s="922" t="s">
        <v>397</v>
      </c>
      <c r="I18" s="294" t="s">
        <v>719</v>
      </c>
      <c r="J18" s="21">
        <f ca="1">ROUND(J6*M18/(1+'数据-取费表'!C42),0)</f>
        <v>0</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4" t="s">
        <v>721</v>
      </c>
      <c r="C19" s="21">
        <f ca="1">SUM(C14:C18)</f>
        <v>3097715</v>
      </c>
      <c r="D19" s="123" t="s">
        <v>722</v>
      </c>
      <c r="E19" s="1263"/>
      <c r="F19" s="23"/>
      <c r="G19" s="1286"/>
      <c r="H19" s="922" t="s">
        <v>399</v>
      </c>
      <c r="I19" s="294" t="s">
        <v>723</v>
      </c>
      <c r="J19" s="21">
        <f ca="1">IF(K19="按租金收入计税",ROUND(J6*M19/(1+'数据-取费表'!C42),0),ROUND(C29*M19*0.7,0))</f>
        <v>0</v>
      </c>
      <c r="K19" s="1272" t="s">
        <v>3319</v>
      </c>
      <c r="L19" s="294" t="s">
        <v>708</v>
      </c>
      <c r="M19" s="314">
        <f>IF(K19="按租金收入计税",'数据-取费表'!B51,'数据-取费表'!B50)</f>
        <v>0.12</v>
      </c>
    </row>
    <row r="20" spans="1:37" s="1298" customFormat="1" ht="18" customHeight="1">
      <c r="A20" s="922" t="s">
        <v>402</v>
      </c>
      <c r="B20" s="294" t="s">
        <v>724</v>
      </c>
      <c r="C20" s="21">
        <f ca="1">ROUND(C19*F20,0)</f>
        <v>61954</v>
      </c>
      <c r="D20" s="315" t="s">
        <v>725</v>
      </c>
      <c r="E20" s="294" t="s">
        <v>708</v>
      </c>
      <c r="F20" s="314">
        <f>'数据-取费表'!B37</f>
        <v>0.02</v>
      </c>
      <c r="G20" s="1297"/>
      <c r="H20" s="922" t="s">
        <v>676</v>
      </c>
      <c r="I20" s="147" t="s">
        <v>726</v>
      </c>
      <c r="J20" s="22">
        <f ca="1">ROUND(M20*M21,0)</f>
        <v>0</v>
      </c>
      <c r="K20" s="316" t="s">
        <v>727</v>
      </c>
      <c r="L20" s="294" t="s">
        <v>728</v>
      </c>
      <c r="M20" s="317">
        <f>'数据-取费表'!B52</f>
        <v>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4" t="s">
        <v>729</v>
      </c>
      <c r="C21" s="21" t="s">
        <v>0</v>
      </c>
      <c r="D21" s="315" t="s">
        <v>730</v>
      </c>
      <c r="E21" s="294" t="s">
        <v>731</v>
      </c>
      <c r="F21" s="314">
        <f>'数据-取费表'!B38</f>
        <v>0.02</v>
      </c>
      <c r="G21" s="1297"/>
      <c r="H21" s="318"/>
      <c r="I21" s="303"/>
      <c r="J21" s="26"/>
      <c r="K21" s="319"/>
      <c r="L21" s="294" t="s">
        <v>732</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679</v>
      </c>
      <c r="B22" s="294" t="s">
        <v>733</v>
      </c>
      <c r="C22" s="21"/>
      <c r="D22" s="123" t="str">
        <f>IF(F23&lt;=1,"单利计息。","复利计息。")&amp;"建造成本、管理费用、销售费用产生的利息。"</f>
        <v>复利计息。建造成本、管理费用、销售费用产生的利息。</v>
      </c>
      <c r="E22" s="1263"/>
      <c r="F22" s="23"/>
      <c r="G22" s="1286"/>
      <c r="H22" s="922" t="s">
        <v>402</v>
      </c>
      <c r="I22" s="294" t="s">
        <v>734</v>
      </c>
      <c r="J22" s="21">
        <f ca="1">ROUND(J14*M22,0)</f>
        <v>8429</v>
      </c>
      <c r="K22" s="1250" t="s">
        <v>735</v>
      </c>
      <c r="L22" s="294" t="s">
        <v>708</v>
      </c>
      <c r="M22" s="320">
        <f ca="1">INDIRECT("'数据-取费表'!Ak"&amp;$G$1)</f>
        <v>2E-3</v>
      </c>
    </row>
    <row r="23" spans="1:37" s="1298" customFormat="1" ht="18" customHeight="1">
      <c r="A23" s="922" t="s">
        <v>397</v>
      </c>
      <c r="B23" s="294" t="s">
        <v>736</v>
      </c>
      <c r="C23" s="21">
        <f ca="1">IF('数据-取费表'!B22&lt;=1,ROUND(C19*F24*F23/2,0)+ROUND(C20*F24*F23/2,0),ROUND(C19*(POWER((1+F24),F23/2)-1),0)+ROUND(C20*(POWER((1+F24),F23/2)-1),0))</f>
        <v>94790</v>
      </c>
      <c r="D23" s="138" t="str">
        <f>IF(F23&lt;=1,"(建造成本+管理费用)×利率×(建设周期÷2)","(建造成本+管理费用)×((1+利率)^(建设周期÷2)-1)")</f>
        <v>(建造成本+管理费用)×((1+利率)^(建设周期÷2)-1)</v>
      </c>
      <c r="E23" s="294" t="s">
        <v>737</v>
      </c>
      <c r="F23" s="317">
        <f>'数据-取费表'!B20</f>
        <v>2</v>
      </c>
      <c r="G23" s="1297"/>
      <c r="H23" s="922" t="s">
        <v>437</v>
      </c>
      <c r="I23" s="294" t="s">
        <v>738</v>
      </c>
      <c r="J23" s="21">
        <f ca="1">ROUND(J13*M23,0)</f>
        <v>0</v>
      </c>
      <c r="K23" s="1250" t="s">
        <v>739</v>
      </c>
      <c r="L23" s="294" t="s">
        <v>740</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0.03</v>
      </c>
      <c r="G24" s="1297"/>
      <c r="H24" s="1020" t="s">
        <v>680</v>
      </c>
      <c r="I24" s="1021" t="s">
        <v>724</v>
      </c>
      <c r="J24" s="1022">
        <f ca="1">ROUND(J5*M24,0)</f>
        <v>0</v>
      </c>
      <c r="K24" s="1023" t="s">
        <v>744</v>
      </c>
      <c r="L24" s="1021" t="s">
        <v>740</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2" t="s">
        <v>745</v>
      </c>
      <c r="B25" s="294" t="s">
        <v>746</v>
      </c>
      <c r="C25" s="21"/>
      <c r="D25" s="123" t="s">
        <v>747</v>
      </c>
      <c r="E25" s="1263"/>
      <c r="F25" s="23"/>
      <c r="G25" s="1286"/>
      <c r="H25" s="1010" t="s">
        <v>394</v>
      </c>
      <c r="I25" s="1025" t="s">
        <v>748</v>
      </c>
      <c r="J25" s="302">
        <f ca="1">J5-J16</f>
        <v>-8429</v>
      </c>
      <c r="K25" s="1026" t="s">
        <v>749</v>
      </c>
      <c r="L25" s="1027"/>
      <c r="M25" s="1028"/>
    </row>
    <row r="26" spans="1:37" ht="18" customHeight="1">
      <c r="A26" s="922" t="s">
        <v>397</v>
      </c>
      <c r="B26" s="294" t="s">
        <v>750</v>
      </c>
      <c r="C26" s="21">
        <f ca="1">ROUND((C19+C20)*F26,0)</f>
        <v>631934</v>
      </c>
      <c r="D26" s="315" t="s">
        <v>751</v>
      </c>
      <c r="E26" s="305" t="s">
        <v>752</v>
      </c>
      <c r="F26" s="304">
        <f ca="1">INDIRECT("'数据-取费表'!q"&amp;$G$1)</f>
        <v>0.2</v>
      </c>
      <c r="G26" s="1286"/>
      <c r="H26" s="291" t="s">
        <v>395</v>
      </c>
      <c r="I26" s="292" t="s">
        <v>753</v>
      </c>
      <c r="J26" s="293">
        <f ca="1">IF(J5&lt;&gt;0,ROUND(J25*(1-((1+M28)/(1+M26))^M27)/(M26-M28),0),0)</f>
        <v>0</v>
      </c>
      <c r="K26" s="316" t="s">
        <v>754</v>
      </c>
      <c r="L26" s="294" t="s">
        <v>755</v>
      </c>
      <c r="M26" s="304">
        <f ca="1">INDIRECT("'数据-取费表'!I"&amp;$G$1)</f>
        <v>5.5E-2</v>
      </c>
    </row>
    <row r="27" spans="1:37" ht="18" customHeight="1">
      <c r="A27" s="922" t="s">
        <v>399</v>
      </c>
      <c r="B27" s="294" t="s">
        <v>756</v>
      </c>
      <c r="C27" s="21">
        <f ca="1">ROUND(F21*F26,4)</f>
        <v>4.0000000000000001E-3</v>
      </c>
      <c r="D27" s="315" t="s">
        <v>757</v>
      </c>
      <c r="E27" s="312"/>
      <c r="F27" s="313"/>
      <c r="G27" s="1286"/>
      <c r="H27" s="296"/>
      <c r="I27" s="297"/>
      <c r="J27" s="298"/>
      <c r="K27" s="323" t="s">
        <v>758</v>
      </c>
      <c r="L27" s="294" t="s">
        <v>759</v>
      </c>
      <c r="M27" s="324">
        <f ca="1">INDIRECT("'数据-取费表'!ag"&amp;$G$1)</f>
        <v>0</v>
      </c>
    </row>
    <row r="28" spans="1:37" s="1298" customFormat="1" ht="18" customHeight="1">
      <c r="A28" s="922"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f ca="1">ROUND((C19+C20+C23+C26)/(1-F21-C24-C27-C28),0)</f>
        <v>4214720</v>
      </c>
      <c r="D29" s="1023"/>
      <c r="E29" s="1021"/>
      <c r="F29" s="1024"/>
      <c r="G29" s="1297"/>
      <c r="H29" s="325" t="s">
        <v>396</v>
      </c>
      <c r="I29" s="326" t="s">
        <v>764</v>
      </c>
      <c r="J29" s="327">
        <f ca="1">ROUND(J26/(1+F40)^F41,0)</f>
        <v>0</v>
      </c>
      <c r="K29" s="328" t="s">
        <v>765</v>
      </c>
      <c r="L29" s="329"/>
      <c r="M29" s="330">
        <f ca="1">INDIRECT("'数据-取费表'!k"&amp;$G$1)</f>
        <v>617.69000000000005</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f ca="1">ROUND(C31+C36+C37+C38,0)</f>
        <v>372108</v>
      </c>
      <c r="D30" s="1018" t="s">
        <v>711</v>
      </c>
      <c r="E30" s="1019"/>
      <c r="F30" s="1003"/>
      <c r="G30" s="1286"/>
      <c r="H30" s="2465"/>
      <c r="I30" s="1299"/>
      <c r="J30" s="1300"/>
      <c r="K30" s="121"/>
      <c r="L30" s="2466"/>
      <c r="M30" s="2467"/>
    </row>
    <row r="31" spans="1:37" ht="18" customHeight="1">
      <c r="A31" s="922" t="s">
        <v>398</v>
      </c>
      <c r="B31" s="294" t="s">
        <v>715</v>
      </c>
      <c r="C31" s="2134">
        <f ca="1">ROUND(IF(AND(项目基本情况!B11="自然人",项目基本情况!B10="北京市"),C6*F31/(1+'数据-取费表'!C42),C32+C33+C34),0)</f>
        <v>340118</v>
      </c>
      <c r="D31" s="1251" t="s">
        <v>716</v>
      </c>
      <c r="E31" s="1250" t="s">
        <v>766</v>
      </c>
      <c r="F31" s="2133" t="str">
        <f>IF(项目基本情况!B11="企业","——",IF(M47="住宅",IF(F6*F7*F8/12/(1+'数据-取费表'!F30)&gt;100000,4%,2.5%),IF(F6*F7*F8/12/(1+'数据-取费表'!F30)&gt;100000,12%,7%)))</f>
        <v>——</v>
      </c>
      <c r="G31" s="1286"/>
      <c r="H31" s="2564" t="s">
        <v>2290</v>
      </c>
      <c r="I31" s="1299"/>
      <c r="J31" s="1300"/>
      <c r="K31" s="121"/>
      <c r="L31" s="2466"/>
      <c r="M31" s="2467"/>
    </row>
    <row r="32" spans="1:37" ht="18" customHeight="1">
      <c r="A32" s="922" t="s">
        <v>397</v>
      </c>
      <c r="B32" s="294" t="s">
        <v>719</v>
      </c>
      <c r="C32" s="21">
        <f ca="1">IF(项目基本情况!B11="自然人","——",ROUND(C6*F32/(1+'数据-取费表'!C42),0))</f>
        <v>108219</v>
      </c>
      <c r="D32" s="1250" t="s">
        <v>720</v>
      </c>
      <c r="E32" s="294" t="s">
        <v>708</v>
      </c>
      <c r="F32" s="322">
        <f>'数据-取费表'!B41</f>
        <v>5.6000000000000001E-2</v>
      </c>
      <c r="G32" s="1286"/>
      <c r="H32" s="2465"/>
      <c r="I32" s="1299"/>
      <c r="J32" s="1300"/>
      <c r="K32" s="121"/>
      <c r="L32" s="2466"/>
      <c r="M32" s="2467"/>
    </row>
    <row r="33" spans="1:18" ht="18" customHeight="1">
      <c r="A33" s="922" t="s">
        <v>399</v>
      </c>
      <c r="B33" s="294" t="s">
        <v>723</v>
      </c>
      <c r="C33" s="21">
        <f ca="1">IF(项目基本情况!B11="自然人","——",IF(D33="按租金收入计税",ROUND(C6*F33/(1+'数据-取费表'!C42),0),IF(D33="按房产原值计税",ROUND(C29*F33*0.7,0),INDIRECT("'数据-取费表'!Aj"&amp;$G$1))))</f>
        <v>231899</v>
      </c>
      <c r="D33" s="1272" t="s">
        <v>3319</v>
      </c>
      <c r="E33" s="294" t="s">
        <v>708</v>
      </c>
      <c r="F33" s="314">
        <f>IF(D33="按票据","——",IF(D33="按租金收入计税",'数据-取费表'!B51,'数据-取费表'!B50))</f>
        <v>0.12</v>
      </c>
      <c r="G33" s="1286"/>
      <c r="H33" s="2468"/>
      <c r="I33" s="1299"/>
      <c r="J33" s="1300"/>
      <c r="K33" s="2469"/>
      <c r="L33" s="2468"/>
      <c r="M33" s="2468"/>
    </row>
    <row r="34" spans="1:18" ht="18" customHeight="1">
      <c r="A34" s="1000" t="s">
        <v>676</v>
      </c>
      <c r="B34" s="147" t="s">
        <v>726</v>
      </c>
      <c r="C34" s="22">
        <f ca="1">IF(项目基本情况!B11="自然人","——",ROUND(F34*F35,0))</f>
        <v>0</v>
      </c>
      <c r="D34" s="316" t="s">
        <v>727</v>
      </c>
      <c r="E34" s="294" t="s">
        <v>728</v>
      </c>
      <c r="F34" s="317">
        <f>'数据-取费表'!B52</f>
        <v>0</v>
      </c>
      <c r="G34" s="1286"/>
      <c r="H34" s="2465"/>
      <c r="I34" s="1299"/>
      <c r="J34" s="1300"/>
      <c r="K34" s="2470"/>
      <c r="L34" s="2471"/>
      <c r="M34" s="2471"/>
    </row>
    <row r="35" spans="1:18" ht="18" customHeight="1">
      <c r="A35" s="1034"/>
      <c r="B35" s="1032"/>
      <c r="C35" s="26"/>
      <c r="D35" s="319"/>
      <c r="E35" s="294" t="s">
        <v>732</v>
      </c>
      <c r="F35" s="295">
        <f ca="1">INDIRECT("'数据-取费表'!r"&amp;$G$1)</f>
        <v>0</v>
      </c>
      <c r="G35" s="1286"/>
      <c r="H35" s="2465"/>
      <c r="I35" s="1299"/>
      <c r="J35" s="1300"/>
      <c r="K35" s="2469"/>
      <c r="L35" s="2468"/>
      <c r="M35" s="2468"/>
    </row>
    <row r="36" spans="1:18" ht="18" customHeight="1">
      <c r="A36" s="1033" t="s">
        <v>402</v>
      </c>
      <c r="B36" s="294" t="s">
        <v>734</v>
      </c>
      <c r="C36" s="21">
        <f ca="1">ROUND(C29*F36,0)</f>
        <v>8429</v>
      </c>
      <c r="D36" s="1250" t="s">
        <v>767</v>
      </c>
      <c r="E36" s="294" t="s">
        <v>708</v>
      </c>
      <c r="F36" s="320">
        <f ca="1">INDIRECT("'数据-取费表'!Ak"&amp;$G$1)</f>
        <v>2E-3</v>
      </c>
      <c r="G36" s="1286"/>
      <c r="H36" s="2468"/>
      <c r="I36" s="1299"/>
      <c r="J36" s="1300"/>
      <c r="K36" s="2325"/>
      <c r="L36" s="2468"/>
      <c r="M36" s="2468"/>
    </row>
    <row r="37" spans="1:18" ht="18" customHeight="1">
      <c r="A37" s="922" t="s">
        <v>437</v>
      </c>
      <c r="B37" s="294" t="s">
        <v>738</v>
      </c>
      <c r="C37" s="21">
        <f ca="1">ROUND(C13*F37,0)</f>
        <v>3245</v>
      </c>
      <c r="D37" s="1250" t="s">
        <v>739</v>
      </c>
      <c r="E37" s="294" t="s">
        <v>740</v>
      </c>
      <c r="F37" s="321">
        <f ca="1">INDIRECT("'数据-取费表'!Al"&amp;$G$1)</f>
        <v>1E-3</v>
      </c>
      <c r="G37" s="1286"/>
      <c r="H37" s="2468"/>
      <c r="I37" s="1299"/>
      <c r="J37" s="1300"/>
      <c r="K37" s="2325"/>
      <c r="L37" s="2468"/>
      <c r="M37" s="2468"/>
    </row>
    <row r="38" spans="1:18" ht="18" customHeight="1" thickBot="1">
      <c r="A38" s="1020" t="s">
        <v>680</v>
      </c>
      <c r="B38" s="1021" t="s">
        <v>724</v>
      </c>
      <c r="C38" s="1022">
        <f ca="1">ROUND(C5*F38,0)</f>
        <v>20316</v>
      </c>
      <c r="D38" s="1023" t="s">
        <v>744</v>
      </c>
      <c r="E38" s="1021" t="s">
        <v>740</v>
      </c>
      <c r="F38" s="1017">
        <f ca="1">INDIRECT("'数据-取费表'!Am"&amp;$G$1)</f>
        <v>0.01</v>
      </c>
      <c r="G38" s="1286"/>
      <c r="H38" s="2468"/>
      <c r="I38" s="1299"/>
      <c r="J38" s="1300"/>
      <c r="K38" s="2466"/>
      <c r="L38" s="2468"/>
      <c r="M38" s="2468"/>
    </row>
    <row r="39" spans="1:18" ht="24.6" customHeight="1" thickTop="1">
      <c r="A39" s="1010" t="s">
        <v>394</v>
      </c>
      <c r="B39" s="1025" t="s">
        <v>768</v>
      </c>
      <c r="C39" s="302">
        <f ca="1">C5-C30</f>
        <v>1659540</v>
      </c>
      <c r="D39" s="1026" t="s">
        <v>769</v>
      </c>
      <c r="E39" s="1027"/>
      <c r="F39" s="1028"/>
      <c r="G39" s="1286"/>
      <c r="H39" s="2468"/>
      <c r="I39" s="1299"/>
      <c r="J39" s="1300"/>
      <c r="K39" s="2466"/>
      <c r="L39" s="2468"/>
      <c r="M39" s="2468"/>
    </row>
    <row r="40" spans="1:18" ht="18" customHeight="1">
      <c r="A40" s="291" t="s">
        <v>395</v>
      </c>
      <c r="B40" s="292" t="s">
        <v>770</v>
      </c>
      <c r="C40" s="293">
        <f ca="1">ROUND(C39*(1-((1+F42)/(1+F40))^F41)/(F40-F42),0)</f>
        <v>26316288</v>
      </c>
      <c r="D40" s="316" t="s">
        <v>754</v>
      </c>
      <c r="E40" s="294" t="s">
        <v>755</v>
      </c>
      <c r="F40" s="304">
        <f ca="1">INDIRECT("'数据-取费表'!I"&amp;$G$1)</f>
        <v>5.5E-2</v>
      </c>
      <c r="G40" s="1286"/>
      <c r="H40" s="1360"/>
      <c r="I40" s="1299"/>
      <c r="J40" s="1300"/>
      <c r="K40" s="2466"/>
      <c r="L40" s="1360"/>
      <c r="M40" s="1360"/>
    </row>
    <row r="41" spans="1:18" ht="18" customHeight="1">
      <c r="A41" s="296"/>
      <c r="B41" s="297"/>
      <c r="C41" s="298"/>
      <c r="D41" s="323" t="s">
        <v>771</v>
      </c>
      <c r="E41" s="294" t="s">
        <v>759</v>
      </c>
      <c r="F41" s="324">
        <f ca="1">IF(INDIRECT("'数据-取费表'!af"&amp;$G$1)=0,INDIRECT("'数据-取费表'!ae"&amp;$G$1),INDIRECT("'数据-取费表'!af"&amp;$G$1))</f>
        <v>24</v>
      </c>
      <c r="G41" s="1286"/>
      <c r="H41" s="121"/>
      <c r="I41" s="1299"/>
      <c r="J41" s="1300"/>
      <c r="K41" s="2325"/>
      <c r="L41" s="121"/>
      <c r="M41" s="121"/>
    </row>
    <row r="42" spans="1:18" ht="18" customHeight="1">
      <c r="A42" s="300"/>
      <c r="B42" s="301"/>
      <c r="C42" s="302"/>
      <c r="D42" s="319"/>
      <c r="E42" s="294" t="s">
        <v>762</v>
      </c>
      <c r="F42" s="304">
        <f ca="1">INDIRECT("'数据-取费表'!v"&amp;$G$1)</f>
        <v>0.02</v>
      </c>
      <c r="G42" s="1286"/>
      <c r="H42" s="121"/>
      <c r="I42" s="1299"/>
      <c r="J42" s="1300"/>
      <c r="K42" s="2325"/>
      <c r="L42" s="121"/>
      <c r="M42" s="121"/>
    </row>
    <row r="43" spans="1:18" ht="18" customHeight="1" thickBot="1">
      <c r="A43" s="325" t="s">
        <v>396</v>
      </c>
      <c r="B43" s="326" t="s">
        <v>772</v>
      </c>
      <c r="C43" s="327">
        <f ca="1">ROUND(C40/F43,0)</f>
        <v>42604</v>
      </c>
      <c r="D43" s="328" t="s">
        <v>773</v>
      </c>
      <c r="E43" s="329" t="s">
        <v>774</v>
      </c>
      <c r="F43" s="330">
        <f ca="1">INDIRECT("'数据-取费表'!k"&amp;$G$1)</f>
        <v>617.69000000000005</v>
      </c>
      <c r="G43" s="1286"/>
      <c r="H43" s="121"/>
      <c r="I43" s="121"/>
      <c r="J43" s="121"/>
      <c r="K43" s="2325"/>
      <c r="L43" s="121"/>
      <c r="M43" s="121"/>
    </row>
    <row r="44" spans="1:18" s="1286" customFormat="1" ht="18" customHeight="1">
      <c r="A44" s="1301"/>
      <c r="B44" s="1301"/>
      <c r="C44" s="1302"/>
      <c r="D44" s="1301"/>
      <c r="E44" s="1301"/>
      <c r="F44" s="1301"/>
      <c r="K44" s="1303"/>
    </row>
    <row r="45" spans="1:18" s="1286" customFormat="1" ht="18" customHeight="1" thickBot="1">
      <c r="A45" s="3123" t="s">
        <v>3335</v>
      </c>
      <c r="B45" s="1301"/>
      <c r="C45" s="1370">
        <f ca="1">ROUND((C68-C40)/10000,4)</f>
        <v>-2646.9821000000002</v>
      </c>
      <c r="D45" s="3124" t="s">
        <v>3336</v>
      </c>
      <c r="E45" s="1301"/>
      <c r="F45" s="1301"/>
      <c r="O45" s="1304" t="s">
        <v>804</v>
      </c>
      <c r="P45" s="1360"/>
      <c r="Q45" s="1360"/>
      <c r="R45" s="1360"/>
    </row>
    <row r="46" spans="1:18" s="1286" customFormat="1" ht="13.5" thickBot="1">
      <c r="A46" s="1305" t="s">
        <v>805</v>
      </c>
      <c r="C46" s="1306">
        <f ca="1">ROUND(C45,0)</f>
        <v>-2647</v>
      </c>
      <c r="D46" s="1307" t="str">
        <f>C2</f>
        <v>万元</v>
      </c>
      <c r="I46" s="1308" t="s">
        <v>806</v>
      </c>
      <c r="J46" s="1309"/>
      <c r="K46" s="1310"/>
      <c r="L46" s="1311">
        <f ca="1">IF(M47="住宅",0,IF(L48&gt;J51,L60,J60))</f>
        <v>297184</v>
      </c>
      <c r="O46" s="1312" t="s">
        <v>807</v>
      </c>
      <c r="P46" s="1313" t="s">
        <v>808</v>
      </c>
      <c r="Q46" s="1314" t="s">
        <v>809</v>
      </c>
      <c r="R46" s="1314" t="s">
        <v>810</v>
      </c>
    </row>
    <row r="47" spans="1:18" s="1286" customFormat="1" ht="13.5" thickBot="1">
      <c r="A47" s="886" t="s">
        <v>683</v>
      </c>
      <c r="B47" s="918" t="s">
        <v>684</v>
      </c>
      <c r="C47" s="918" t="s">
        <v>685</v>
      </c>
      <c r="D47" s="918" t="s">
        <v>686</v>
      </c>
      <c r="E47" s="989" t="s">
        <v>687</v>
      </c>
      <c r="F47" s="990"/>
      <c r="G47" s="681"/>
      <c r="I47" s="1315" t="s">
        <v>811</v>
      </c>
      <c r="J47" s="1316" t="s">
        <v>3535</v>
      </c>
      <c r="K47" s="1317" t="s">
        <v>812</v>
      </c>
      <c r="L47" s="1318">
        <f ca="1">INDIRECT("'数据-取费表'!d"&amp;$G$1)</f>
        <v>40</v>
      </c>
      <c r="M47" s="1282" t="str">
        <f>IF(ISNUMBER(FIND("住宅",C1)),"住宅","非住宅")</f>
        <v>非住宅</v>
      </c>
      <c r="O47" s="1319" t="s">
        <v>403</v>
      </c>
      <c r="P47" s="1320" t="s">
        <v>813</v>
      </c>
      <c r="Q47" s="1321">
        <f ca="1">C40+J29</f>
        <v>26316288</v>
      </c>
      <c r="R47" s="1321" t="s">
        <v>814</v>
      </c>
    </row>
    <row r="48" spans="1:18" s="1286" customFormat="1" ht="28.5" thickBot="1">
      <c r="A48" s="1041" t="s">
        <v>438</v>
      </c>
      <c r="B48" s="292" t="s">
        <v>688</v>
      </c>
      <c r="C48" s="1262">
        <f ca="1">C49+C53+C55</f>
        <v>0</v>
      </c>
      <c r="D48" s="1043"/>
      <c r="E48" s="1044"/>
      <c r="F48" s="902"/>
      <c r="G48" s="681"/>
      <c r="H48" s="682"/>
      <c r="I48" s="1322" t="s">
        <v>815</v>
      </c>
      <c r="J48" s="1323" t="s">
        <v>3536</v>
      </c>
      <c r="K48" s="1324" t="s">
        <v>816</v>
      </c>
      <c r="L48" s="1325">
        <f ca="1">INDIRECT("'数据-取费表'!f"&amp;$G$1)</f>
        <v>24</v>
      </c>
      <c r="O48" s="1319" t="s">
        <v>404</v>
      </c>
      <c r="P48" s="1320" t="s">
        <v>817</v>
      </c>
      <c r="Q48" s="1321">
        <f ca="1">J60</f>
        <v>297184</v>
      </c>
      <c r="R48" s="1321" t="s">
        <v>818</v>
      </c>
    </row>
    <row r="49" spans="1:18" s="1286" customFormat="1" ht="13.5" thickBot="1">
      <c r="A49" s="915" t="s">
        <v>439</v>
      </c>
      <c r="B49" s="1273" t="s">
        <v>775</v>
      </c>
      <c r="C49" s="1045">
        <f ca="1">ROUND(F49*F51*F50*(1-F52),0)</f>
        <v>0</v>
      </c>
      <c r="D49" s="986" t="s">
        <v>691</v>
      </c>
      <c r="E49" s="1274" t="s">
        <v>776</v>
      </c>
      <c r="F49" s="991"/>
      <c r="H49" s="682"/>
      <c r="I49" s="1322" t="s">
        <v>819</v>
      </c>
      <c r="J49" s="1326">
        <v>2011</v>
      </c>
      <c r="K49" s="1324" t="s">
        <v>820</v>
      </c>
      <c r="L49" s="1327"/>
      <c r="O49" s="1328" t="s">
        <v>405</v>
      </c>
      <c r="P49" s="1320" t="s">
        <v>821</v>
      </c>
      <c r="Q49" s="1321">
        <f ca="1">C29</f>
        <v>4214720</v>
      </c>
      <c r="R49" s="1321" t="s">
        <v>814</v>
      </c>
    </row>
    <row r="50" spans="1:18" s="1286" customFormat="1" ht="13.5" thickBot="1">
      <c r="A50" s="916"/>
      <c r="B50" s="919"/>
      <c r="C50" s="920"/>
      <c r="D50" s="893"/>
      <c r="E50" s="987" t="s">
        <v>693</v>
      </c>
      <c r="F50" s="988">
        <f ca="1">F7</f>
        <v>617.69000000000005</v>
      </c>
      <c r="H50" s="682"/>
      <c r="I50" s="1322" t="s">
        <v>822</v>
      </c>
      <c r="J50" s="1329">
        <f>SUMPRODUCT((I63:I65=J47)*(J62:L62=J48)*(J63:L65))</f>
        <v>60</v>
      </c>
      <c r="K50" s="1324" t="s">
        <v>823</v>
      </c>
      <c r="L50" s="1327"/>
      <c r="M50" s="1330"/>
      <c r="O50" s="1328" t="s">
        <v>406</v>
      </c>
      <c r="P50" s="1320" t="s">
        <v>824</v>
      </c>
      <c r="Q50" s="1331">
        <f ca="1">J58</f>
        <v>0.4</v>
      </c>
      <c r="R50" s="1321"/>
    </row>
    <row r="51" spans="1:18" s="1286" customFormat="1" ht="13.5" thickBot="1">
      <c r="A51" s="917"/>
      <c r="B51" s="919"/>
      <c r="C51" s="920"/>
      <c r="D51" s="893"/>
      <c r="E51" s="921" t="s">
        <v>694</v>
      </c>
      <c r="F51" s="295">
        <f ca="1">F8</f>
        <v>365</v>
      </c>
      <c r="I51" s="1332" t="s">
        <v>825</v>
      </c>
      <c r="J51" s="1325">
        <f>IF(J49="",J50,J49+J50-YEAR('数据-取费表'!B2))</f>
        <v>46</v>
      </c>
      <c r="K51" s="1333" t="s">
        <v>826</v>
      </c>
      <c r="L51" s="1334">
        <f ca="1">ROUND(-PV(INDIRECT("'数据-取费表'!h"&amp;$G$1),J51,(C39-C13*C76),0),0)</f>
        <v>25610810</v>
      </c>
      <c r="M51" s="1335"/>
      <c r="O51" s="1328" t="s">
        <v>407</v>
      </c>
      <c r="P51" s="1320" t="s">
        <v>827</v>
      </c>
      <c r="Q51" s="1331">
        <f>J52</f>
        <v>7.4999999999999997E-2</v>
      </c>
      <c r="R51" s="1321"/>
    </row>
    <row r="52" spans="1:18" s="1286" customFormat="1" ht="13.5" thickBot="1">
      <c r="A52" s="917"/>
      <c r="B52" s="919"/>
      <c r="C52" s="920"/>
      <c r="D52" s="893"/>
      <c r="E52" s="921" t="s">
        <v>695</v>
      </c>
      <c r="F52" s="985"/>
      <c r="I52" s="1336" t="s">
        <v>828</v>
      </c>
      <c r="J52" s="1337">
        <v>7.4999999999999997E-2</v>
      </c>
      <c r="K52" s="1336" t="s">
        <v>829</v>
      </c>
      <c r="L52" s="1337"/>
      <c r="O52" s="1328" t="s">
        <v>408</v>
      </c>
      <c r="P52" s="1320" t="s">
        <v>830</v>
      </c>
      <c r="Q52" s="1321">
        <f ca="1">J53</f>
        <v>24</v>
      </c>
      <c r="R52" s="1321" t="s">
        <v>831</v>
      </c>
    </row>
    <row r="53" spans="1:18" s="1286" customFormat="1" ht="30.75" customHeight="1" thickBot="1">
      <c r="A53" s="1042" t="s">
        <v>440</v>
      </c>
      <c r="B53" s="315" t="s">
        <v>696</v>
      </c>
      <c r="C53" s="308">
        <f ca="1">ROUND(IF(F53="押一",C49/12*F11,IF(F53="押二",C49/12*2*F11,IF(F53="押三",C49/12*3*F11,C54*F11))),0)</f>
        <v>0</v>
      </c>
      <c r="D53" s="150" t="s">
        <v>2112</v>
      </c>
      <c r="E53" s="305" t="s">
        <v>697</v>
      </c>
      <c r="F53" s="1047"/>
      <c r="I53" s="1338" t="s">
        <v>832</v>
      </c>
      <c r="J53" s="2000">
        <f ca="1">IF(M47="住宅",IF(D1="——",MAX(J51,L48),MAX(J51,L48-'数据-取费表'!B24)),IF(D1="——",MIN(J51,L48),MIN(J51,L48-'数据-取费表'!B24)))</f>
        <v>24</v>
      </c>
      <c r="K53" s="3442" t="s">
        <v>833</v>
      </c>
      <c r="L53" s="3443"/>
      <c r="O53" s="1319" t="s">
        <v>409</v>
      </c>
      <c r="P53" s="1320" t="s">
        <v>834</v>
      </c>
      <c r="Q53" s="1321">
        <f ca="1">Q47+Q48</f>
        <v>26613472</v>
      </c>
      <c r="R53" s="1321" t="s">
        <v>410</v>
      </c>
    </row>
    <row r="54" spans="1:18" s="1286" customFormat="1" ht="13.5" thickBot="1">
      <c r="A54" s="915"/>
      <c r="B54" s="1371" t="s">
        <v>887</v>
      </c>
      <c r="C54" s="899"/>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835</v>
      </c>
      <c r="P54" s="1283"/>
      <c r="Q54" s="1283"/>
      <c r="R54" s="1283"/>
    </row>
    <row r="55" spans="1:18" s="1286" customFormat="1" ht="13.5" thickBot="1">
      <c r="A55" s="1014" t="s">
        <v>437</v>
      </c>
      <c r="B55" s="1271" t="s">
        <v>699</v>
      </c>
      <c r="C55" s="1015"/>
      <c r="D55" s="150"/>
      <c r="E55" s="1276"/>
      <c r="F55" s="1339"/>
      <c r="I55" s="1342" t="s">
        <v>836</v>
      </c>
      <c r="J55" s="1343">
        <f ca="1">ROUND(IF(J47="钢混",J57/J50,1-(1-2%)*(J50-J57)/J50),3)</f>
        <v>0.36699999999999999</v>
      </c>
      <c r="K55" s="1344" t="s">
        <v>837</v>
      </c>
      <c r="L55" s="1345"/>
      <c r="O55" s="1312" t="s">
        <v>807</v>
      </c>
      <c r="P55" s="1313" t="s">
        <v>808</v>
      </c>
      <c r="Q55" s="1314" t="s">
        <v>809</v>
      </c>
      <c r="R55" s="1314" t="s">
        <v>810</v>
      </c>
    </row>
    <row r="56" spans="1:18" s="1286" customFormat="1" ht="36" customHeight="1" thickTop="1" thickBot="1">
      <c r="A56" s="897">
        <v>2</v>
      </c>
      <c r="B56" s="898" t="s">
        <v>700</v>
      </c>
      <c r="C56" s="224">
        <f ca="1">C13</f>
        <v>3245334</v>
      </c>
      <c r="D56" s="1346"/>
      <c r="E56" s="1347"/>
      <c r="F56" s="1339"/>
      <c r="I56" s="1348" t="s">
        <v>838</v>
      </c>
      <c r="J56" s="1349" t="s">
        <v>3581</v>
      </c>
      <c r="K56" s="1322" t="s">
        <v>839</v>
      </c>
      <c r="L56" s="1325" t="str">
        <f ca="1">IF(L48&lt;J51,"——",L48-J51)</f>
        <v>——</v>
      </c>
      <c r="O56" s="1319" t="s">
        <v>403</v>
      </c>
      <c r="P56" s="1320" t="s">
        <v>813</v>
      </c>
      <c r="Q56" s="1321">
        <f ca="1">C40+J29</f>
        <v>26316288</v>
      </c>
      <c r="R56" s="1321" t="s">
        <v>814</v>
      </c>
    </row>
    <row r="57" spans="1:18" s="1286" customFormat="1" ht="24.75" thickBot="1">
      <c r="A57" s="1350"/>
      <c r="B57" s="890" t="s">
        <v>763</v>
      </c>
      <c r="C57" s="230">
        <f ca="1">C29</f>
        <v>4214720</v>
      </c>
      <c r="D57" s="1351"/>
      <c r="E57" s="1352"/>
      <c r="F57" s="1353"/>
      <c r="I57" s="1354" t="s">
        <v>840</v>
      </c>
      <c r="J57" s="1355">
        <f ca="1">IF(OR(M47="住宅",J51&lt;L48,J56="是"),"——",J51-L48)</f>
        <v>22</v>
      </c>
      <c r="K57" s="1322" t="s">
        <v>888</v>
      </c>
      <c r="L57" s="1325" t="str">
        <f ca="1">IF(L48&lt;J51,"——",IF(L55="比较法",L49,IF(L55="基准地价",L50,L51)))</f>
        <v>——</v>
      </c>
      <c r="O57" s="1319" t="s">
        <v>404</v>
      </c>
      <c r="P57" s="1320" t="s">
        <v>889</v>
      </c>
      <c r="Q57" s="1321">
        <f ca="1">L60</f>
        <v>0</v>
      </c>
      <c r="R57" s="1321" t="s">
        <v>890</v>
      </c>
    </row>
    <row r="58" spans="1:18" s="1286" customFormat="1" ht="24.75" thickBot="1">
      <c r="A58" s="307" t="s">
        <v>393</v>
      </c>
      <c r="B58" s="898" t="s">
        <v>710</v>
      </c>
      <c r="C58" s="308">
        <f ca="1">ROUND(C59+C64+C65+C66,0)</f>
        <v>11674</v>
      </c>
      <c r="D58" s="900" t="s">
        <v>711</v>
      </c>
      <c r="E58" s="901"/>
      <c r="F58" s="902"/>
      <c r="I58" s="1354" t="s">
        <v>844</v>
      </c>
      <c r="J58" s="1356">
        <f ca="1">IF(J55&lt;0.4,0.4,J55)</f>
        <v>0.4</v>
      </c>
      <c r="K58" s="1333" t="s">
        <v>891</v>
      </c>
      <c r="L58" s="1325" t="e">
        <f ca="1">ROUND(POWER(1+L52,L47-L48)*(POWER(1+L52,L48)-1)/(POWER(1+L52,L47)-1),4)</f>
        <v>#DIV/0!</v>
      </c>
      <c r="O58" s="1328" t="s">
        <v>405</v>
      </c>
      <c r="P58" s="1320" t="s">
        <v>846</v>
      </c>
      <c r="Q58" s="1321">
        <f>IF(L55="比较法",L49,IF(L55="基准地价",L50,0))</f>
        <v>0</v>
      </c>
      <c r="R58" s="1321" t="s">
        <v>814</v>
      </c>
    </row>
    <row r="59" spans="1:18" s="1286" customFormat="1" ht="24.75" thickBot="1">
      <c r="A59" s="922" t="s">
        <v>398</v>
      </c>
      <c r="B59" s="890" t="s">
        <v>715</v>
      </c>
      <c r="C59" s="2134">
        <f ca="1">ROUND(IF(AND(项目基本情况!B11="自然人",项目基本情况!B10="北京市"),C49*F59/(1+'数据-取费表'!C42),C60+C61+C62),0)</f>
        <v>0</v>
      </c>
      <c r="D59" s="903" t="s">
        <v>716</v>
      </c>
      <c r="E59" s="904" t="s">
        <v>717</v>
      </c>
      <c r="F59" s="2133" t="str">
        <f>IF(项目基本情况!B11="企业","——",IF('数据-取费表'!B10="住宅",IF(F49*F50*F51/12/(1+'数据-取费表'!F30)&gt;100000,4%,2.5%),IF(F49*F50*F51/12/(1+'数据-取费表'!F30)&gt;100000,12%,7%)))</f>
        <v>——</v>
      </c>
      <c r="I59" s="1354" t="s">
        <v>847</v>
      </c>
      <c r="J59" s="1355">
        <f ca="1">IF(OR(M47="住宅",J51&lt;L48,J56="是"),"——",ROUND(C29*J58,0))</f>
        <v>1685888</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848</v>
      </c>
      <c r="Q59" s="1331">
        <f>L52</f>
        <v>0</v>
      </c>
      <c r="R59" s="1321"/>
    </row>
    <row r="60" spans="1:18" s="1286" customFormat="1" ht="16.5" thickBot="1">
      <c r="A60" s="922" t="s">
        <v>397</v>
      </c>
      <c r="B60" s="890" t="s">
        <v>719</v>
      </c>
      <c r="C60" s="21">
        <f ca="1">IF(项目基本情况!B11="自然人","——",ROUND(C48*F60/(1+'数据-取费表'!C42),0))</f>
        <v>0</v>
      </c>
      <c r="D60" s="904" t="s">
        <v>720</v>
      </c>
      <c r="E60" s="890" t="s">
        <v>708</v>
      </c>
      <c r="F60" s="322">
        <f t="shared" ref="F60:F66" si="0">F32</f>
        <v>5.6000000000000001E-2</v>
      </c>
      <c r="I60" s="1357" t="s">
        <v>849</v>
      </c>
      <c r="J60" s="1358">
        <f ca="1">IF(OR(M47="住宅",J51&lt;L48,J56="是"),"0",ROUND(J59/(1+J52)^J53,0))</f>
        <v>297184</v>
      </c>
      <c r="K60" s="1359" t="s">
        <v>850</v>
      </c>
      <c r="L60" s="1358">
        <f ca="1">IF(OR(M47="住宅",L48&lt;J51),0,ROUND(L57*(L58/L59-1),0))</f>
        <v>0</v>
      </c>
      <c r="O60" s="1328" t="s">
        <v>407</v>
      </c>
      <c r="P60" s="1320" t="s">
        <v>851</v>
      </c>
      <c r="Q60" s="1321" t="e">
        <f ca="1">L58</f>
        <v>#DIV/0!</v>
      </c>
      <c r="R60" s="1321" t="s">
        <v>852</v>
      </c>
    </row>
    <row r="61" spans="1:18" s="1286" customFormat="1" ht="13.5" thickBot="1">
      <c r="A61" s="922" t="s">
        <v>777</v>
      </c>
      <c r="B61" s="890" t="s">
        <v>778</v>
      </c>
      <c r="C61" s="21">
        <f ca="1">IF(项目基本情况!B11="自然人","——",IF(D61="按租金收入计税",ROUND(C49*F61/(1+'数据-取费表'!C42),0),IF(D61="按房产原值计税",ROUND(C57*F61*0.7,0),INDIRECT("'数据-取费表'!Aj"&amp;$G$1))))</f>
        <v>0</v>
      </c>
      <c r="D61" s="1272" t="s">
        <v>3319</v>
      </c>
      <c r="E61" s="890" t="s">
        <v>779</v>
      </c>
      <c r="F61" s="314">
        <f t="shared" si="0"/>
        <v>0.12</v>
      </c>
      <c r="I61" s="1360"/>
      <c r="J61" s="1360"/>
      <c r="K61" s="1360"/>
      <c r="L61" s="1360"/>
      <c r="O61" s="1328" t="s">
        <v>408</v>
      </c>
      <c r="P61" s="1320" t="str">
        <f>K59</f>
        <v>建筑物剩余耐用年限下的土地年期修正系数Kn</v>
      </c>
      <c r="Q61" s="1321" t="e">
        <f ca="1">L59</f>
        <v>#DIV/0!</v>
      </c>
      <c r="R61" s="1321" t="s">
        <v>853</v>
      </c>
    </row>
    <row r="62" spans="1:18" s="1286" customFormat="1" ht="13.5" thickBot="1">
      <c r="A62" s="922" t="s">
        <v>780</v>
      </c>
      <c r="B62" s="889" t="s">
        <v>781</v>
      </c>
      <c r="C62" s="22">
        <f ca="1">IF(项目基本情况!B11="自然人","——",ROUND(F62*F63,0))</f>
        <v>0</v>
      </c>
      <c r="D62" s="905" t="s">
        <v>782</v>
      </c>
      <c r="E62" s="890" t="s">
        <v>783</v>
      </c>
      <c r="F62" s="317">
        <f t="shared" si="0"/>
        <v>0</v>
      </c>
      <c r="I62" s="1361" t="s">
        <v>854</v>
      </c>
      <c r="J62" s="610" t="s">
        <v>855</v>
      </c>
      <c r="K62" s="610" t="s">
        <v>856</v>
      </c>
      <c r="L62" s="610" t="s">
        <v>857</v>
      </c>
      <c r="M62" s="1362" t="s">
        <v>858</v>
      </c>
      <c r="O62" s="1319" t="s">
        <v>409</v>
      </c>
      <c r="P62" s="1320" t="s">
        <v>859</v>
      </c>
      <c r="Q62" s="1321">
        <f ca="1">Q56+Q57</f>
        <v>26316288</v>
      </c>
      <c r="R62" s="1321" t="s">
        <v>410</v>
      </c>
    </row>
    <row r="63" spans="1:18" s="1286" customFormat="1" ht="13.5" thickBot="1">
      <c r="A63" s="318"/>
      <c r="B63" s="896"/>
      <c r="C63" s="26"/>
      <c r="D63" s="906"/>
      <c r="E63" s="890" t="s">
        <v>784</v>
      </c>
      <c r="F63" s="295">
        <f t="shared" ca="1" si="0"/>
        <v>0</v>
      </c>
      <c r="I63" s="1361" t="s">
        <v>860</v>
      </c>
      <c r="J63" s="610">
        <v>70</v>
      </c>
      <c r="K63" s="610">
        <v>50</v>
      </c>
      <c r="L63" s="610">
        <v>80</v>
      </c>
      <c r="M63" s="1363">
        <v>0.02</v>
      </c>
      <c r="O63" s="1304" t="s">
        <v>861</v>
      </c>
      <c r="P63" s="1283"/>
      <c r="Q63" s="1283"/>
      <c r="R63" s="1283"/>
    </row>
    <row r="64" spans="1:18" s="1286" customFormat="1" ht="13.5" thickBot="1">
      <c r="A64" s="922" t="s">
        <v>785</v>
      </c>
      <c r="B64" s="890" t="s">
        <v>786</v>
      </c>
      <c r="C64" s="21">
        <f ca="1">ROUND(C57*F64,0)</f>
        <v>8429</v>
      </c>
      <c r="D64" s="904" t="s">
        <v>787</v>
      </c>
      <c r="E64" s="890" t="s">
        <v>779</v>
      </c>
      <c r="F64" s="320">
        <f t="shared" ca="1" si="0"/>
        <v>2E-3</v>
      </c>
      <c r="I64" s="1361" t="s">
        <v>862</v>
      </c>
      <c r="J64" s="610">
        <v>50</v>
      </c>
      <c r="K64" s="610">
        <v>35</v>
      </c>
      <c r="L64" s="610">
        <v>60</v>
      </c>
      <c r="M64" s="1362">
        <v>0</v>
      </c>
      <c r="O64" s="1312" t="s">
        <v>807</v>
      </c>
      <c r="P64" s="1313" t="s">
        <v>808</v>
      </c>
      <c r="Q64" s="1314" t="s">
        <v>809</v>
      </c>
      <c r="R64" s="1314" t="s">
        <v>810</v>
      </c>
    </row>
    <row r="65" spans="1:18" s="1286" customFormat="1" ht="13.5" thickBot="1">
      <c r="A65" s="922" t="s">
        <v>788</v>
      </c>
      <c r="B65" s="890" t="s">
        <v>738</v>
      </c>
      <c r="C65" s="21">
        <f ca="1">ROUND(C56*F65,0)</f>
        <v>3245</v>
      </c>
      <c r="D65" s="904" t="s">
        <v>739</v>
      </c>
      <c r="E65" s="890" t="s">
        <v>740</v>
      </c>
      <c r="F65" s="321">
        <f t="shared" ca="1" si="0"/>
        <v>1E-3</v>
      </c>
      <c r="I65" s="1361" t="s">
        <v>863</v>
      </c>
      <c r="J65" s="610">
        <v>40</v>
      </c>
      <c r="K65" s="610">
        <v>30</v>
      </c>
      <c r="L65" s="610">
        <v>50</v>
      </c>
      <c r="M65" s="1363">
        <v>0.02</v>
      </c>
      <c r="O65" s="1319" t="s">
        <v>403</v>
      </c>
      <c r="P65" s="1320" t="s">
        <v>864</v>
      </c>
      <c r="Q65" s="1321">
        <f ca="1">C40+J29</f>
        <v>26316288</v>
      </c>
      <c r="R65" s="1321" t="s">
        <v>814</v>
      </c>
    </row>
    <row r="66" spans="1:18" s="1286" customFormat="1" ht="16.5" thickBot="1">
      <c r="A66" s="922" t="s">
        <v>789</v>
      </c>
      <c r="B66" s="890" t="s">
        <v>724</v>
      </c>
      <c r="C66" s="21">
        <f ca="1">ROUND(C48*F66,0)</f>
        <v>0</v>
      </c>
      <c r="D66" s="904" t="s">
        <v>790</v>
      </c>
      <c r="E66" s="890" t="s">
        <v>708</v>
      </c>
      <c r="F66" s="304">
        <f t="shared" ca="1" si="0"/>
        <v>0.01</v>
      </c>
      <c r="O66" s="1319" t="s">
        <v>404</v>
      </c>
      <c r="P66" s="1320" t="s">
        <v>842</v>
      </c>
      <c r="Q66" s="1321">
        <f ca="1">L60</f>
        <v>0</v>
      </c>
      <c r="R66" s="1321" t="s">
        <v>865</v>
      </c>
    </row>
    <row r="67" spans="1:18" s="1286" customFormat="1" ht="16.5" thickBot="1">
      <c r="A67" s="897" t="s">
        <v>394</v>
      </c>
      <c r="B67" s="907" t="s">
        <v>748</v>
      </c>
      <c r="C67" s="308">
        <f ca="1">C48-C58</f>
        <v>-11674</v>
      </c>
      <c r="D67" s="903" t="s">
        <v>749</v>
      </c>
      <c r="E67" s="908"/>
      <c r="F67" s="909"/>
      <c r="O67" s="1328" t="s">
        <v>405</v>
      </c>
      <c r="P67" s="1320" t="s">
        <v>846</v>
      </c>
      <c r="Q67" s="1364">
        <f ca="1">L51</f>
        <v>25610810</v>
      </c>
      <c r="R67" s="1321" t="s">
        <v>866</v>
      </c>
    </row>
    <row r="68" spans="1:18" s="1286" customFormat="1" ht="16.5" thickBot="1">
      <c r="A68" s="887" t="s">
        <v>395</v>
      </c>
      <c r="B68" s="888" t="s">
        <v>770</v>
      </c>
      <c r="C68" s="293">
        <f ca="1">ROUND(C67*(1-((1+F70)/(1+F68))^F69)/(F68-F70),0)</f>
        <v>-153533</v>
      </c>
      <c r="D68" s="905" t="s">
        <v>754</v>
      </c>
      <c r="E68" s="890" t="s">
        <v>755</v>
      </c>
      <c r="F68" s="304">
        <f ca="1">F40</f>
        <v>5.5E-2</v>
      </c>
      <c r="O68" s="1328" t="s">
        <v>406</v>
      </c>
      <c r="P68" s="1365" t="s">
        <v>867</v>
      </c>
      <c r="Q68" s="1321">
        <f ca="1">ROUND(Q69-Q70*Q71,0)</f>
        <v>1432367</v>
      </c>
      <c r="R68" s="1321" t="s">
        <v>414</v>
      </c>
    </row>
    <row r="69" spans="1:18" s="1286" customFormat="1" ht="13.5" thickBot="1">
      <c r="A69" s="891"/>
      <c r="B69" s="892"/>
      <c r="C69" s="298"/>
      <c r="D69" s="910" t="s">
        <v>758</v>
      </c>
      <c r="E69" s="890" t="s">
        <v>759</v>
      </c>
      <c r="F69" s="324">
        <f ca="1">F41</f>
        <v>24</v>
      </c>
      <c r="O69" s="1328" t="s">
        <v>411</v>
      </c>
      <c r="P69" s="1365" t="s">
        <v>868</v>
      </c>
      <c r="Q69" s="1321">
        <f ca="1">C39</f>
        <v>1659540</v>
      </c>
      <c r="R69" s="1321" t="s">
        <v>814</v>
      </c>
    </row>
    <row r="70" spans="1:18" s="1286" customFormat="1" ht="13.5" thickBot="1">
      <c r="A70" s="894"/>
      <c r="B70" s="895"/>
      <c r="C70" s="302"/>
      <c r="D70" s="906"/>
      <c r="E70" s="890" t="s">
        <v>762</v>
      </c>
      <c r="F70" s="985"/>
      <c r="O70" s="1328" t="s">
        <v>412</v>
      </c>
      <c r="P70" s="1365" t="s">
        <v>869</v>
      </c>
      <c r="Q70" s="1321">
        <f ca="1">C13</f>
        <v>3245334</v>
      </c>
      <c r="R70" s="1321" t="s">
        <v>814</v>
      </c>
    </row>
    <row r="71" spans="1:18" s="1286" customFormat="1" ht="13.5" thickBot="1">
      <c r="A71" s="911" t="s">
        <v>396</v>
      </c>
      <c r="B71" s="912" t="s">
        <v>772</v>
      </c>
      <c r="C71" s="327">
        <f ca="1">ROUND(C68/F71,0)</f>
        <v>-249</v>
      </c>
      <c r="D71" s="913" t="s">
        <v>773</v>
      </c>
      <c r="E71" s="914" t="s">
        <v>774</v>
      </c>
      <c r="F71" s="330">
        <f ca="1">F43</f>
        <v>617.69000000000005</v>
      </c>
      <c r="O71" s="1328" t="s">
        <v>413</v>
      </c>
      <c r="P71" s="1365" t="s">
        <v>870</v>
      </c>
      <c r="Q71" s="1331">
        <f ca="1">C76</f>
        <v>7.0000000000000007E-2</v>
      </c>
      <c r="R71" s="1321"/>
    </row>
    <row r="72" spans="1:18" s="1286" customFormat="1" ht="13.5" thickBot="1">
      <c r="B72" s="685"/>
      <c r="C72" s="685"/>
      <c r="O72" s="1328" t="s">
        <v>407</v>
      </c>
      <c r="P72" s="1320" t="s">
        <v>848</v>
      </c>
      <c r="Q72" s="1331">
        <f>L52</f>
        <v>0</v>
      </c>
      <c r="R72" s="1321"/>
    </row>
    <row r="73" spans="1:18" ht="16.5" thickBot="1">
      <c r="A73" s="1286"/>
      <c r="B73" s="685"/>
      <c r="C73" s="685"/>
      <c r="D73" s="1286"/>
      <c r="E73" s="1286"/>
      <c r="F73" s="1286"/>
      <c r="O73" s="1328" t="s">
        <v>408</v>
      </c>
      <c r="P73" s="1320" t="s">
        <v>851</v>
      </c>
      <c r="Q73" s="1321" t="e">
        <f ca="1">L58</f>
        <v>#DIV/0!</v>
      </c>
      <c r="R73" s="1321" t="s">
        <v>852</v>
      </c>
    </row>
    <row r="74" spans="1:18" ht="13.5" thickBot="1">
      <c r="A74" s="1286"/>
      <c r="B74" s="265" t="s">
        <v>871</v>
      </c>
      <c r="C74" s="1367"/>
      <c r="D74" s="1286"/>
      <c r="E74" s="1286"/>
      <c r="F74" s="1286"/>
      <c r="O74" s="1328" t="s">
        <v>415</v>
      </c>
      <c r="P74" s="1320" t="str">
        <f>K59</f>
        <v>建筑物剩余耐用年限下的土地年期修正系数Kn</v>
      </c>
      <c r="Q74" s="1321" t="e">
        <f ca="1">L59</f>
        <v>#DIV/0!</v>
      </c>
      <c r="R74" s="1321" t="s">
        <v>853</v>
      </c>
    </row>
    <row r="75" spans="1:18" ht="13.5" thickBot="1">
      <c r="A75" s="1286"/>
      <c r="B75" s="331" t="s">
        <v>791</v>
      </c>
      <c r="C75" s="332">
        <f ca="1">ROUND(C13*C76,0)</f>
        <v>227173</v>
      </c>
      <c r="D75" s="1286"/>
      <c r="E75" s="1286"/>
      <c r="F75" s="1286"/>
      <c r="K75" s="1303"/>
      <c r="L75" s="1286"/>
      <c r="O75" s="1319" t="s">
        <v>409</v>
      </c>
      <c r="P75" s="1320" t="s">
        <v>834</v>
      </c>
      <c r="Q75" s="1321">
        <f ca="1">Q65+Q66</f>
        <v>26316288</v>
      </c>
      <c r="R75" s="1321" t="s">
        <v>410</v>
      </c>
    </row>
    <row r="76" spans="1:18">
      <c r="B76" s="333" t="s">
        <v>792</v>
      </c>
      <c r="C76" s="334">
        <f ca="1">INDIRECT("'数据-取费表'!j"&amp;$G$1)</f>
        <v>7.0000000000000007E-2</v>
      </c>
      <c r="I76" s="1286"/>
      <c r="J76" s="1286"/>
      <c r="K76" s="1303"/>
      <c r="L76" s="1286"/>
    </row>
    <row r="77" spans="1:18">
      <c r="B77" s="335" t="s">
        <v>793</v>
      </c>
      <c r="C77" s="336"/>
      <c r="I77" s="1286"/>
      <c r="J77" s="1286"/>
      <c r="K77" s="1303"/>
      <c r="L77" s="1286"/>
    </row>
    <row r="78" spans="1:18">
      <c r="B78" s="262" t="s">
        <v>794</v>
      </c>
      <c r="C78" s="337"/>
    </row>
    <row r="79" spans="1:18">
      <c r="B79" s="331" t="s">
        <v>795</v>
      </c>
      <c r="C79" s="266">
        <f ca="1">1-C80</f>
        <v>0.86299999999999999</v>
      </c>
    </row>
    <row r="80" spans="1:18">
      <c r="B80" s="331" t="s">
        <v>796</v>
      </c>
      <c r="C80" s="266">
        <f ca="1">ROUND(C75/C39,3)</f>
        <v>0.13700000000000001</v>
      </c>
    </row>
    <row r="81" spans="2:3">
      <c r="B81" s="262" t="s">
        <v>797</v>
      </c>
      <c r="C81" s="230"/>
    </row>
    <row r="82" spans="2:3">
      <c r="B82" s="265" t="s">
        <v>798</v>
      </c>
      <c r="C82" s="267">
        <f ca="1">1-C83</f>
        <v>0.877</v>
      </c>
    </row>
    <row r="83" spans="2:3">
      <c r="B83" s="265" t="s">
        <v>799</v>
      </c>
      <c r="C83" s="266">
        <f ca="1">ROUND(C13/C40,3)</f>
        <v>0.123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2419</v>
      </c>
      <c r="B1" s="2578"/>
      <c r="C1" s="2590"/>
      <c r="D1" s="2590"/>
      <c r="E1" s="2579"/>
      <c r="F1" s="2580"/>
      <c r="G1" s="2581"/>
      <c r="J1" s="2584" t="s">
        <v>2298</v>
      </c>
      <c r="K1" s="2585"/>
      <c r="L1" s="2585"/>
      <c r="M1" s="2585"/>
      <c r="N1" s="2585"/>
      <c r="O1" s="2585"/>
      <c r="P1" s="2585"/>
      <c r="Q1" s="2585"/>
      <c r="R1" s="2586"/>
      <c r="S1" s="2587"/>
      <c r="T1" s="2587"/>
      <c r="U1" s="2587"/>
    </row>
    <row r="2" spans="1:22" s="2599" customFormat="1" ht="13.15" customHeight="1">
      <c r="A2" s="1287" t="s">
        <v>2299</v>
      </c>
      <c r="B2" s="2589" t="e">
        <f>IF(D2="——",C40,C40+E2)</f>
        <v>#DIV/0!</v>
      </c>
      <c r="C2" s="2590" t="s">
        <v>2300</v>
      </c>
      <c r="D2" s="3132" t="s">
        <v>3342</v>
      </c>
      <c r="E2" s="3133"/>
      <c r="F2" s="2592"/>
      <c r="G2" s="2593"/>
      <c r="H2" s="2594"/>
      <c r="I2" s="2595"/>
      <c r="J2" s="3517" t="s">
        <v>2301</v>
      </c>
      <c r="K2" s="3518"/>
      <c r="L2" s="2596" t="s">
        <v>2302</v>
      </c>
      <c r="M2" s="2596" t="s">
        <v>2303</v>
      </c>
      <c r="N2" s="2596" t="s">
        <v>2304</v>
      </c>
      <c r="O2" s="2596" t="s">
        <v>2305</v>
      </c>
      <c r="P2" s="2596" t="s">
        <v>2306</v>
      </c>
      <c r="Q2" s="2597" t="s">
        <v>2307</v>
      </c>
      <c r="R2" s="2598" t="s">
        <v>2308</v>
      </c>
      <c r="S2" s="2587"/>
      <c r="T2" s="2587"/>
      <c r="U2" s="2587"/>
      <c r="V2" s="2595"/>
    </row>
    <row r="3" spans="1:22" s="2599" customFormat="1" ht="13.15" customHeight="1">
      <c r="A3" s="2600" t="s">
        <v>2309</v>
      </c>
      <c r="B3" s="2601" t="e">
        <f>ROUND(B2*10000/B4,0)</f>
        <v>#DIV/0!</v>
      </c>
      <c r="C3" s="2590" t="s">
        <v>2310</v>
      </c>
      <c r="D3" s="2590"/>
      <c r="E3" s="2591"/>
      <c r="F3" s="2592"/>
      <c r="G3" s="2593"/>
      <c r="H3" s="2594"/>
      <c r="I3" s="2595"/>
      <c r="J3" s="3519" t="s">
        <v>2311</v>
      </c>
      <c r="K3" s="3520"/>
      <c r="L3" s="2602"/>
      <c r="M3" s="2602"/>
      <c r="N3" s="2602"/>
      <c r="O3" s="2602"/>
      <c r="P3" s="2602"/>
      <c r="Q3" s="2603"/>
      <c r="R3" s="2604">
        <f>SUM(L3:Q3)</f>
        <v>0</v>
      </c>
      <c r="S3" s="2587"/>
      <c r="T3" s="2587"/>
      <c r="U3" s="2587"/>
      <c r="V3" s="2595"/>
    </row>
    <row r="4" spans="1:22" s="2599" customFormat="1" ht="13.15" customHeight="1">
      <c r="A4" s="2605" t="s">
        <v>2312</v>
      </c>
      <c r="B4" s="2606"/>
      <c r="C4" s="2590"/>
      <c r="D4" s="2590"/>
      <c r="E4" s="2591"/>
      <c r="F4" s="2592"/>
      <c r="G4" s="2593"/>
      <c r="H4" s="2594"/>
      <c r="I4" s="2595"/>
      <c r="J4" s="3519" t="s">
        <v>2313</v>
      </c>
      <c r="K4" s="3520"/>
      <c r="L4" s="2607"/>
      <c r="M4" s="2607"/>
      <c r="N4" s="2607"/>
      <c r="O4" s="2607"/>
      <c r="P4" s="2607"/>
      <c r="Q4" s="2608"/>
      <c r="R4" s="2609">
        <f>SUM(L4:Q4)</f>
        <v>0</v>
      </c>
      <c r="S4" s="2587"/>
      <c r="T4" s="2587"/>
      <c r="U4" s="2587"/>
      <c r="V4" s="2595"/>
    </row>
    <row r="5" spans="1:22" s="2599" customFormat="1" ht="13.15" customHeight="1" thickBot="1">
      <c r="A5" s="2610" t="s">
        <v>2314</v>
      </c>
      <c r="B5" s="2611"/>
      <c r="C5" s="2590"/>
      <c r="D5" s="2612"/>
      <c r="E5" s="2592"/>
      <c r="F5" s="2592"/>
      <c r="G5" s="2593"/>
      <c r="H5" s="2594"/>
      <c r="I5" s="2595"/>
      <c r="J5" s="2613" t="s">
        <v>2315</v>
      </c>
      <c r="K5" s="2614"/>
      <c r="L5" s="2614"/>
      <c r="M5" s="2615"/>
      <c r="N5" s="2615"/>
      <c r="O5" s="2615"/>
      <c r="P5" s="2615"/>
      <c r="Q5" s="2615"/>
      <c r="R5" s="2598">
        <f>SUM(R14,R19,R24,R25,R27,R28)</f>
        <v>0</v>
      </c>
      <c r="S5" s="2587"/>
      <c r="T5" s="2587" t="s">
        <v>2316</v>
      </c>
      <c r="U5" s="2587" t="e">
        <f>ROUND(R5*10000/365/R3,1)</f>
        <v>#DIV/0!</v>
      </c>
      <c r="V5" s="2595"/>
    </row>
    <row r="6" spans="1:22" s="2599" customFormat="1" ht="13.15" customHeight="1" thickBot="1">
      <c r="A6" s="3525" t="s">
        <v>2317</v>
      </c>
      <c r="B6" s="3526"/>
      <c r="C6" s="3527"/>
      <c r="D6" s="2616"/>
      <c r="E6" s="2617"/>
      <c r="F6" s="2618"/>
      <c r="G6" s="2619"/>
      <c r="H6" s="2594"/>
      <c r="I6" s="2595"/>
      <c r="J6" s="3511">
        <v>1</v>
      </c>
      <c r="K6" s="3512" t="s">
        <v>2318</v>
      </c>
      <c r="L6" s="2620" t="s">
        <v>2319</v>
      </c>
      <c r="M6" s="2621" t="s">
        <v>2320</v>
      </c>
      <c r="N6" s="2621" t="s">
        <v>2321</v>
      </c>
      <c r="O6" s="2621" t="s">
        <v>2322</v>
      </c>
      <c r="P6" s="2621" t="s">
        <v>2323</v>
      </c>
      <c r="Q6" s="2621" t="s">
        <v>2324</v>
      </c>
      <c r="R6" s="2604" t="s">
        <v>2325</v>
      </c>
      <c r="S6" s="2587"/>
      <c r="T6" s="2587" t="s">
        <v>2326</v>
      </c>
      <c r="U6" s="2587"/>
      <c r="V6" s="2595"/>
    </row>
    <row r="7" spans="1:22" s="2599" customFormat="1" ht="13.15" customHeight="1">
      <c r="A7" s="2622" t="s">
        <v>2327</v>
      </c>
      <c r="B7" s="2623"/>
      <c r="C7" s="2624"/>
      <c r="D7" s="2625">
        <f>SUM(D9,D10,D11,D17,0)</f>
        <v>0</v>
      </c>
      <c r="E7" s="2626" t="e">
        <f>E9+E10+E11+E17</f>
        <v>#DIV/0!</v>
      </c>
      <c r="F7" s="2627"/>
      <c r="G7" s="2628"/>
      <c r="H7" s="2594"/>
      <c r="I7" s="2595"/>
      <c r="J7" s="3511"/>
      <c r="K7" s="3513"/>
      <c r="L7" s="2629" t="s">
        <v>2328</v>
      </c>
      <c r="M7" s="2630"/>
      <c r="N7" s="2606"/>
      <c r="O7" s="2631"/>
      <c r="P7" s="2631"/>
      <c r="Q7" s="2632">
        <v>365</v>
      </c>
      <c r="R7" s="2633">
        <f>ROUND(M7*N7*O7*P7*Q7/10000,0)</f>
        <v>0</v>
      </c>
      <c r="S7" s="2587"/>
      <c r="T7" s="2587" t="s">
        <v>2329</v>
      </c>
      <c r="U7" s="2587"/>
      <c r="V7" s="2595"/>
    </row>
    <row r="8" spans="1:22" s="2599" customFormat="1" ht="13.15" customHeight="1">
      <c r="A8" s="2634" t="s">
        <v>2330</v>
      </c>
      <c r="B8" s="3528" t="s">
        <v>2331</v>
      </c>
      <c r="C8" s="3529"/>
      <c r="D8" s="2635" t="s">
        <v>2332</v>
      </c>
      <c r="E8" s="2636" t="s">
        <v>2333</v>
      </c>
      <c r="F8" s="2637" t="s">
        <v>2334</v>
      </c>
      <c r="G8" s="2638"/>
      <c r="H8" s="2594"/>
      <c r="I8" s="2595"/>
      <c r="J8" s="3511"/>
      <c r="K8" s="3513"/>
      <c r="L8" s="2629" t="s">
        <v>2335</v>
      </c>
      <c r="M8" s="2630"/>
      <c r="N8" s="2606"/>
      <c r="O8" s="2631"/>
      <c r="P8" s="2631"/>
      <c r="Q8" s="2632">
        <v>365</v>
      </c>
      <c r="R8" s="2633">
        <f t="shared" ref="R8:R13" si="0">ROUND(M8*N8*O8*P8*Q8/10000,0)</f>
        <v>0</v>
      </c>
      <c r="S8" s="2587"/>
      <c r="T8" s="2587" t="s">
        <v>2336</v>
      </c>
      <c r="U8" s="2587"/>
      <c r="V8" s="2595"/>
    </row>
    <row r="9" spans="1:22" s="2599" customFormat="1" ht="13.15" customHeight="1">
      <c r="A9" s="2634">
        <v>1</v>
      </c>
      <c r="B9" s="3528" t="s">
        <v>2337</v>
      </c>
      <c r="C9" s="3529"/>
      <c r="D9" s="2635">
        <f>ROUND(D6*E9,0)</f>
        <v>0</v>
      </c>
      <c r="E9" s="2639"/>
      <c r="F9" s="2640" t="s">
        <v>2338</v>
      </c>
      <c r="G9" s="2619"/>
      <c r="H9" s="2594"/>
      <c r="I9" s="2595"/>
      <c r="J9" s="3511"/>
      <c r="K9" s="3513"/>
      <c r="L9" s="2629" t="s">
        <v>2339</v>
      </c>
      <c r="M9" s="2630"/>
      <c r="N9" s="2606"/>
      <c r="O9" s="2631"/>
      <c r="P9" s="2631"/>
      <c r="Q9" s="2632">
        <v>365</v>
      </c>
      <c r="R9" s="2633">
        <f t="shared" si="0"/>
        <v>0</v>
      </c>
      <c r="S9" s="2587"/>
      <c r="T9" s="2587"/>
      <c r="U9" s="2587"/>
      <c r="V9" s="2595"/>
    </row>
    <row r="10" spans="1:22" s="2599" customFormat="1" ht="13.15" customHeight="1">
      <c r="A10" s="2634">
        <v>2</v>
      </c>
      <c r="B10" s="3528" t="s">
        <v>2340</v>
      </c>
      <c r="C10" s="3529"/>
      <c r="D10" s="2635">
        <f>ROUND(D6*E10,0)</f>
        <v>0</v>
      </c>
      <c r="E10" s="2639"/>
      <c r="F10" s="2640" t="s">
        <v>2341</v>
      </c>
      <c r="G10" s="2619"/>
      <c r="H10" s="2594"/>
      <c r="I10" s="2595"/>
      <c r="J10" s="3511"/>
      <c r="K10" s="3513"/>
      <c r="L10" s="2629" t="s">
        <v>2342</v>
      </c>
      <c r="M10" s="2630"/>
      <c r="N10" s="2606"/>
      <c r="O10" s="2631"/>
      <c r="P10" s="2631"/>
      <c r="Q10" s="2632">
        <v>365</v>
      </c>
      <c r="R10" s="2633">
        <f t="shared" si="0"/>
        <v>0</v>
      </c>
      <c r="S10" s="2587"/>
      <c r="T10" s="2587"/>
      <c r="U10" s="2587"/>
      <c r="V10" s="2595"/>
    </row>
    <row r="11" spans="1:22" s="2599" customFormat="1" ht="13.15" customHeight="1">
      <c r="A11" s="2634">
        <v>3</v>
      </c>
      <c r="B11" s="3528" t="s">
        <v>2343</v>
      </c>
      <c r="C11" s="3529"/>
      <c r="D11" s="2635">
        <f>D12+D14+D15+D16</f>
        <v>0</v>
      </c>
      <c r="E11" s="2641" t="e">
        <f>D11/D6</f>
        <v>#DIV/0!</v>
      </c>
      <c r="F11" s="2637"/>
      <c r="G11" s="2638"/>
      <c r="H11" s="2594"/>
      <c r="I11" s="2595"/>
      <c r="J11" s="3511"/>
      <c r="K11" s="3513"/>
      <c r="L11" s="2629" t="s">
        <v>2344</v>
      </c>
      <c r="M11" s="2630"/>
      <c r="N11" s="2606"/>
      <c r="O11" s="2631"/>
      <c r="P11" s="2631"/>
      <c r="Q11" s="2632">
        <v>365</v>
      </c>
      <c r="R11" s="2633">
        <f t="shared" si="0"/>
        <v>0</v>
      </c>
      <c r="S11" s="2587"/>
      <c r="T11" s="2587"/>
      <c r="U11" s="2587"/>
      <c r="V11" s="2595"/>
    </row>
    <row r="12" spans="1:22" s="2599" customFormat="1" ht="13.15" customHeight="1">
      <c r="A12" s="2642" t="s">
        <v>2345</v>
      </c>
      <c r="B12" s="3521" t="s">
        <v>2346</v>
      </c>
      <c r="C12" s="3522"/>
      <c r="D12" s="2643">
        <f>ROUND(D13*1.2%*(1-30%),0)</f>
        <v>0</v>
      </c>
      <c r="E12" s="2644">
        <v>1.2E-2</v>
      </c>
      <c r="F12" s="2637" t="s">
        <v>2347</v>
      </c>
      <c r="G12" s="2638"/>
      <c r="H12" s="2594"/>
      <c r="I12" s="2595"/>
      <c r="J12" s="3511"/>
      <c r="K12" s="3513"/>
      <c r="L12" s="2629" t="s">
        <v>2348</v>
      </c>
      <c r="M12" s="2630"/>
      <c r="N12" s="2606"/>
      <c r="O12" s="2631"/>
      <c r="P12" s="2631"/>
      <c r="Q12" s="2632">
        <v>365</v>
      </c>
      <c r="R12" s="2633">
        <f t="shared" si="0"/>
        <v>0</v>
      </c>
      <c r="S12" s="2587"/>
      <c r="T12" s="2587"/>
      <c r="U12" s="2587"/>
      <c r="V12" s="2595"/>
    </row>
    <row r="13" spans="1:22" s="2599" customFormat="1" ht="13.15" customHeight="1">
      <c r="A13" s="2642"/>
      <c r="B13" s="2645"/>
      <c r="C13" s="2646" t="s">
        <v>2349</v>
      </c>
      <c r="D13" s="2647"/>
      <c r="E13" s="2648"/>
      <c r="F13" s="2637"/>
      <c r="G13" s="2638"/>
      <c r="H13" s="2594"/>
      <c r="I13" s="2595"/>
      <c r="J13" s="3511"/>
      <c r="K13" s="3513"/>
      <c r="L13" s="2629" t="s">
        <v>2350</v>
      </c>
      <c r="M13" s="2630"/>
      <c r="N13" s="2606"/>
      <c r="O13" s="2631"/>
      <c r="P13" s="2631"/>
      <c r="Q13" s="2632">
        <v>365</v>
      </c>
      <c r="R13" s="2633">
        <f t="shared" si="0"/>
        <v>0</v>
      </c>
      <c r="S13" s="2587"/>
      <c r="T13" s="2587"/>
      <c r="U13" s="2587"/>
      <c r="V13" s="2595"/>
    </row>
    <row r="14" spans="1:22" s="2599" customFormat="1" ht="13.15" customHeight="1">
      <c r="A14" s="2642" t="s">
        <v>2351</v>
      </c>
      <c r="B14" s="3521" t="s">
        <v>2352</v>
      </c>
      <c r="C14" s="3522"/>
      <c r="D14" s="2643">
        <f>ROUND(E14*B5/10000,0)</f>
        <v>0</v>
      </c>
      <c r="E14" s="2632"/>
      <c r="F14" s="2637" t="s">
        <v>2353</v>
      </c>
      <c r="G14" s="2638"/>
      <c r="H14" s="2594"/>
      <c r="I14" s="2595"/>
      <c r="J14" s="3511"/>
      <c r="K14" s="3514"/>
      <c r="L14" s="2649" t="s">
        <v>2354</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2355</v>
      </c>
      <c r="B15" s="3521" t="s">
        <v>2356</v>
      </c>
      <c r="C15" s="3522"/>
      <c r="D15" s="2643">
        <f>ROUND(D6*E15,0)</f>
        <v>0</v>
      </c>
      <c r="E15" s="2644">
        <v>5.5E-2</v>
      </c>
      <c r="F15" s="2637" t="s">
        <v>2357</v>
      </c>
      <c r="G15" s="2619"/>
      <c r="H15" s="2594"/>
      <c r="I15" s="2595"/>
      <c r="J15" s="3511">
        <v>2</v>
      </c>
      <c r="K15" s="3512" t="s">
        <v>2358</v>
      </c>
      <c r="L15" s="2629" t="s">
        <v>2359</v>
      </c>
      <c r="M15" s="2630" t="s">
        <v>2360</v>
      </c>
      <c r="N15" s="2630" t="s">
        <v>2361</v>
      </c>
      <c r="O15" s="2631" t="s">
        <v>2362</v>
      </c>
      <c r="P15" s="2631" t="s">
        <v>2324</v>
      </c>
      <c r="Q15" s="2606" t="s">
        <v>2363</v>
      </c>
      <c r="R15" s="2653" t="s">
        <v>2325</v>
      </c>
      <c r="S15" s="2587"/>
      <c r="T15" s="2587"/>
      <c r="U15" s="2587"/>
      <c r="V15" s="2595"/>
    </row>
    <row r="16" spans="1:22" s="2599" customFormat="1" ht="13.15" customHeight="1">
      <c r="A16" s="2642" t="s">
        <v>2364</v>
      </c>
      <c r="B16" s="3521" t="s">
        <v>2365</v>
      </c>
      <c r="C16" s="3522"/>
      <c r="D16" s="2654">
        <f>D6*E16</f>
        <v>0</v>
      </c>
      <c r="E16" s="2655"/>
      <c r="F16" s="2640" t="s">
        <v>2366</v>
      </c>
      <c r="G16" s="2619"/>
      <c r="H16" s="2594"/>
      <c r="I16" s="2595"/>
      <c r="J16" s="3511"/>
      <c r="K16" s="3513"/>
      <c r="L16" s="2629" t="s">
        <v>2367</v>
      </c>
      <c r="M16" s="2630"/>
      <c r="N16" s="2630"/>
      <c r="O16" s="2631"/>
      <c r="P16" s="2632">
        <v>365</v>
      </c>
      <c r="Q16" s="2606"/>
      <c r="R16" s="2653">
        <f>ROUND(M16*N16*O16*P16/10000,0)</f>
        <v>0</v>
      </c>
      <c r="S16" s="2587"/>
      <c r="T16" s="2587"/>
      <c r="U16" s="2587"/>
      <c r="V16" s="2595"/>
    </row>
    <row r="17" spans="1:22" s="2599" customFormat="1" ht="13.15" customHeight="1" thickBot="1">
      <c r="A17" s="2656">
        <v>4</v>
      </c>
      <c r="B17" s="3523" t="s">
        <v>2368</v>
      </c>
      <c r="C17" s="3524"/>
      <c r="D17" s="2657">
        <f>ROUND(D6*E17,0)</f>
        <v>0</v>
      </c>
      <c r="E17" s="2658"/>
      <c r="F17" s="2659" t="s">
        <v>2369</v>
      </c>
      <c r="G17" s="2619"/>
      <c r="H17" s="2594"/>
      <c r="I17" s="2595"/>
      <c r="J17" s="3511"/>
      <c r="K17" s="3513"/>
      <c r="L17" s="2629" t="s">
        <v>2370</v>
      </c>
      <c r="M17" s="2630"/>
      <c r="N17" s="2630"/>
      <c r="O17" s="2631"/>
      <c r="P17" s="2632">
        <v>365</v>
      </c>
      <c r="Q17" s="2606"/>
      <c r="R17" s="2653">
        <f>ROUND(M17*N17*O17*P17/10000,0)</f>
        <v>0</v>
      </c>
      <c r="S17" s="2587"/>
      <c r="T17" s="2587"/>
      <c r="U17" s="2587"/>
      <c r="V17" s="2595"/>
    </row>
    <row r="18" spans="1:22" s="2599" customFormat="1" ht="13.15" customHeight="1" thickBot="1">
      <c r="A18" s="2622" t="s">
        <v>2371</v>
      </c>
      <c r="B18" s="2623"/>
      <c r="C18" s="2623"/>
      <c r="D18" s="2660">
        <f>ROUND(D6*E18,0)</f>
        <v>0</v>
      </c>
      <c r="E18" s="2661"/>
      <c r="F18" s="2662" t="s">
        <v>2372</v>
      </c>
      <c r="G18" s="2619"/>
      <c r="H18" s="2594"/>
      <c r="I18" s="2595"/>
      <c r="J18" s="3511"/>
      <c r="K18" s="3513"/>
      <c r="L18" s="2629" t="s">
        <v>2373</v>
      </c>
      <c r="M18" s="2630"/>
      <c r="N18" s="2630"/>
      <c r="O18" s="2631"/>
      <c r="P18" s="2632">
        <v>365</v>
      </c>
      <c r="Q18" s="2606"/>
      <c r="R18" s="2653">
        <f>ROUND(M18*N18*O18*P18/10000,0)</f>
        <v>0</v>
      </c>
      <c r="S18" s="2587"/>
      <c r="T18" s="2587"/>
      <c r="U18" s="2587"/>
      <c r="V18" s="2595"/>
    </row>
    <row r="19" spans="1:22" s="2599" customFormat="1" ht="13.15" customHeight="1" thickBot="1">
      <c r="A19" s="2663" t="s">
        <v>2374</v>
      </c>
      <c r="B19" s="2617"/>
      <c r="C19" s="2617"/>
      <c r="D19" s="2617"/>
      <c r="E19" s="2617"/>
      <c r="F19" s="2618"/>
      <c r="G19" s="2638"/>
      <c r="H19" s="2594"/>
      <c r="I19" s="2595"/>
      <c r="J19" s="3511"/>
      <c r="K19" s="3514"/>
      <c r="L19" s="2649" t="s">
        <v>2354</v>
      </c>
      <c r="M19" s="2650"/>
      <c r="N19" s="2650">
        <f>SUM(N16:N18)</f>
        <v>0</v>
      </c>
      <c r="O19" s="2651"/>
      <c r="P19" s="2664" t="s">
        <v>2418</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511">
        <v>3</v>
      </c>
      <c r="K20" s="3512" t="s">
        <v>2375</v>
      </c>
      <c r="L20" s="2629" t="s">
        <v>2376</v>
      </c>
      <c r="M20" s="2630" t="s">
        <v>2377</v>
      </c>
      <c r="N20" s="2667" t="s">
        <v>2378</v>
      </c>
      <c r="O20" s="2631" t="s">
        <v>2379</v>
      </c>
      <c r="P20" s="2632" t="s">
        <v>2380</v>
      </c>
      <c r="Q20" s="2606" t="s">
        <v>2381</v>
      </c>
      <c r="R20" s="2653" t="s">
        <v>2382</v>
      </c>
      <c r="S20" s="2587"/>
      <c r="T20" s="2587"/>
      <c r="U20" s="2587"/>
      <c r="V20" s="2595"/>
    </row>
    <row r="21" spans="1:22" s="2599" customFormat="1" ht="13.15" customHeight="1">
      <c r="A21" s="2622"/>
      <c r="B21" s="2623"/>
      <c r="C21" s="2668" t="s">
        <v>2383</v>
      </c>
      <c r="D21" s="2669" t="s">
        <v>2384</v>
      </c>
      <c r="E21" s="2670" t="s">
        <v>2385</v>
      </c>
      <c r="F21" s="2666"/>
      <c r="G21" s="2638"/>
      <c r="H21" s="2594"/>
      <c r="I21" s="2595"/>
      <c r="J21" s="3511"/>
      <c r="K21" s="3513"/>
      <c r="L21" s="2629" t="s">
        <v>2386</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2387</v>
      </c>
      <c r="D22" s="2673" t="s">
        <v>2388</v>
      </c>
      <c r="E22" s="2674" t="s">
        <v>2389</v>
      </c>
      <c r="F22" s="2666"/>
      <c r="G22" s="2587"/>
      <c r="H22" s="2594"/>
      <c r="I22" s="2595"/>
      <c r="J22" s="3511"/>
      <c r="K22" s="3513"/>
      <c r="L22" s="2629" t="s">
        <v>2390</v>
      </c>
      <c r="M22" s="2630"/>
      <c r="N22" s="2630"/>
      <c r="O22" s="2631"/>
      <c r="P22" s="2632">
        <v>365</v>
      </c>
      <c r="Q22" s="2606"/>
      <c r="R22" s="2671">
        <f>ROUND(M22*N22*O22*P22/10000,0)</f>
        <v>0</v>
      </c>
      <c r="S22" s="2587"/>
      <c r="T22" s="2587"/>
      <c r="U22" s="2587"/>
      <c r="V22" s="2595"/>
    </row>
    <row r="23" spans="1:22" s="2599" customFormat="1" ht="13.15" customHeight="1">
      <c r="A23" s="2675">
        <v>1</v>
      </c>
      <c r="B23" s="2676" t="s">
        <v>2391</v>
      </c>
      <c r="C23" s="2677">
        <f>D6</f>
        <v>0</v>
      </c>
      <c r="D23" s="2678">
        <f>C23*(1+D24)</f>
        <v>0</v>
      </c>
      <c r="E23" s="2679">
        <f>D23*(1+E24)</f>
        <v>0</v>
      </c>
      <c r="F23" s="2680"/>
      <c r="G23" s="2681"/>
      <c r="H23" s="2594"/>
      <c r="I23" s="2595"/>
      <c r="J23" s="3511"/>
      <c r="K23" s="3513"/>
      <c r="L23" s="2629" t="s">
        <v>2392</v>
      </c>
      <c r="M23" s="2630"/>
      <c r="N23" s="2630"/>
      <c r="O23" s="2631"/>
      <c r="P23" s="2632">
        <v>365</v>
      </c>
      <c r="Q23" s="2606"/>
      <c r="R23" s="2671">
        <f>ROUND(M23*N23*O23*P23/10000,0)</f>
        <v>0</v>
      </c>
      <c r="S23" s="2587"/>
      <c r="T23" s="2587"/>
      <c r="U23" s="2587"/>
      <c r="V23" s="2595"/>
    </row>
    <row r="24" spans="1:22" s="2599" customFormat="1" ht="13.15" customHeight="1">
      <c r="A24" s="2682"/>
      <c r="B24" s="2683" t="s">
        <v>2393</v>
      </c>
      <c r="C24" s="2684"/>
      <c r="D24" s="2685"/>
      <c r="E24" s="2686"/>
      <c r="F24" s="2687"/>
      <c r="G24" s="2681"/>
      <c r="H24" s="2594"/>
      <c r="I24" s="2595"/>
      <c r="J24" s="3511"/>
      <c r="K24" s="3514"/>
      <c r="L24" s="2649" t="s">
        <v>2354</v>
      </c>
      <c r="M24" s="2650">
        <f>SUM(M21:M23)</f>
        <v>0</v>
      </c>
      <c r="N24" s="2650"/>
      <c r="O24" s="2651"/>
      <c r="P24" s="2664" t="s">
        <v>2418</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2394</v>
      </c>
      <c r="L25" s="2690"/>
      <c r="M25" s="2690"/>
      <c r="N25" s="2690"/>
      <c r="O25" s="2690"/>
      <c r="P25" s="2691"/>
      <c r="Q25" s="2692">
        <v>0</v>
      </c>
      <c r="R25" s="2665">
        <f>ROUND(R14*Q25,0)</f>
        <v>0</v>
      </c>
      <c r="S25" s="2587"/>
      <c r="T25" s="2587"/>
      <c r="U25" s="2587"/>
      <c r="V25" s="2693"/>
    </row>
    <row r="26" spans="1:22" s="2694" customFormat="1" ht="13.15" customHeight="1">
      <c r="A26" s="2675">
        <v>2</v>
      </c>
      <c r="B26" s="2676" t="s">
        <v>2395</v>
      </c>
      <c r="C26" s="2677">
        <f>D7</f>
        <v>0</v>
      </c>
      <c r="D26" s="2678">
        <f>D23*D27</f>
        <v>0</v>
      </c>
      <c r="E26" s="2679">
        <f>E23*E27</f>
        <v>0</v>
      </c>
      <c r="F26" s="2680"/>
      <c r="G26" s="2681"/>
      <c r="H26" s="2594"/>
      <c r="I26" s="2595"/>
      <c r="J26" s="3515">
        <v>5</v>
      </c>
      <c r="K26" s="2695" t="s">
        <v>2396</v>
      </c>
      <c r="L26" s="2696"/>
      <c r="M26" s="2697"/>
      <c r="N26" s="2698" t="s">
        <v>2397</v>
      </c>
      <c r="O26" s="2698" t="s">
        <v>2398</v>
      </c>
      <c r="P26" s="2699" t="s">
        <v>2399</v>
      </c>
      <c r="Q26" s="2699" t="s">
        <v>2400</v>
      </c>
      <c r="R26" s="2604" t="s">
        <v>2325</v>
      </c>
      <c r="S26" s="2638"/>
      <c r="T26" s="2638"/>
      <c r="U26" s="2638"/>
      <c r="V26" s="2693"/>
    </row>
    <row r="27" spans="1:22" s="2599" customFormat="1" ht="13.15" customHeight="1">
      <c r="A27" s="2682"/>
      <c r="B27" s="2683" t="s">
        <v>2401</v>
      </c>
      <c r="C27" s="2700" t="e">
        <f>E7</f>
        <v>#DIV/0!</v>
      </c>
      <c r="D27" s="2685"/>
      <c r="E27" s="2686"/>
      <c r="F27" s="2687"/>
      <c r="G27" s="2681"/>
      <c r="H27" s="2701"/>
      <c r="I27" s="2693"/>
      <c r="J27" s="3516"/>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2402</v>
      </c>
      <c r="F28" s="2687"/>
      <c r="G28" s="2587"/>
      <c r="H28" s="2701"/>
      <c r="I28" s="2693"/>
      <c r="J28" s="2707">
        <v>6</v>
      </c>
      <c r="K28" s="2708" t="s">
        <v>2403</v>
      </c>
      <c r="L28" s="2709" t="s">
        <v>2404</v>
      </c>
      <c r="M28" s="2710"/>
      <c r="N28" s="2709" t="s">
        <v>2405</v>
      </c>
      <c r="O28" s="2711"/>
      <c r="P28" s="2709" t="s">
        <v>2406</v>
      </c>
      <c r="Q28" s="2712">
        <v>1.4999999999999999E-2</v>
      </c>
      <c r="R28" s="2713"/>
      <c r="S28" s="2587"/>
      <c r="T28" s="2587"/>
      <c r="U28" s="2587"/>
      <c r="V28" s="2693"/>
    </row>
    <row r="29" spans="1:22" s="2694" customFormat="1" ht="13.15" customHeight="1">
      <c r="A29" s="2675">
        <v>3</v>
      </c>
      <c r="B29" s="2676" t="s">
        <v>2407</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2401</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2408</v>
      </c>
      <c r="K31" s="2585"/>
      <c r="L31" s="2585"/>
      <c r="M31" s="2585"/>
      <c r="N31" s="2585"/>
      <c r="O31" s="2585"/>
      <c r="P31" s="2585"/>
      <c r="Q31" s="2585"/>
      <c r="R31" s="2586"/>
      <c r="S31" s="2587"/>
      <c r="T31" s="2587"/>
      <c r="U31" s="2587"/>
      <c r="V31" s="2693"/>
    </row>
    <row r="32" spans="1:22" s="2694" customFormat="1" ht="13.15" customHeight="1">
      <c r="A32" s="2675">
        <v>4</v>
      </c>
      <c r="B32" s="2676" t="s">
        <v>2409</v>
      </c>
      <c r="C32" s="2677">
        <f>C23-C26-C29</f>
        <v>0</v>
      </c>
      <c r="D32" s="2678">
        <f>D23-D26-D29</f>
        <v>0</v>
      </c>
      <c r="E32" s="2679">
        <f>E23-E26-E29</f>
        <v>0</v>
      </c>
      <c r="F32" s="2680"/>
      <c r="G32" s="2587"/>
      <c r="H32" s="2594"/>
      <c r="I32" s="2595"/>
      <c r="J32" s="3517" t="s">
        <v>2301</v>
      </c>
      <c r="K32" s="3518"/>
      <c r="L32" s="2596" t="s">
        <v>2302</v>
      </c>
      <c r="M32" s="2596" t="s">
        <v>2303</v>
      </c>
      <c r="N32" s="2596" t="s">
        <v>2304</v>
      </c>
      <c r="O32" s="2596" t="s">
        <v>2305</v>
      </c>
      <c r="P32" s="2596" t="s">
        <v>2306</v>
      </c>
      <c r="Q32" s="2597" t="s">
        <v>2307</v>
      </c>
      <c r="R32" s="2716" t="s">
        <v>2308</v>
      </c>
      <c r="S32" s="2587"/>
      <c r="T32" s="2587"/>
      <c r="U32" s="2587"/>
      <c r="V32" s="2693"/>
    </row>
    <row r="33" spans="1:23" s="2599" customFormat="1" ht="13.15" customHeight="1">
      <c r="A33" s="2675"/>
      <c r="B33" s="2676"/>
      <c r="C33" s="2677"/>
      <c r="D33" s="2717"/>
      <c r="E33" s="2718"/>
      <c r="F33" s="2680"/>
      <c r="G33" s="2587"/>
      <c r="H33" s="2701"/>
      <c r="I33" s="2693"/>
      <c r="J33" s="3519" t="s">
        <v>2311</v>
      </c>
      <c r="K33" s="3520"/>
      <c r="L33" s="2602"/>
      <c r="M33" s="2602"/>
      <c r="N33" s="2602"/>
      <c r="O33" s="2602"/>
      <c r="P33" s="2602"/>
      <c r="Q33" s="2603"/>
      <c r="R33" s="2719">
        <f>SUM(L33:Q33)</f>
        <v>0</v>
      </c>
      <c r="S33" s="2587"/>
      <c r="T33" s="2587"/>
      <c r="U33" s="2587"/>
      <c r="V33" s="2595"/>
    </row>
    <row r="34" spans="1:23" s="2599" customFormat="1" ht="13.15" customHeight="1">
      <c r="A34" s="2675">
        <v>5</v>
      </c>
      <c r="B34" s="2676" t="s">
        <v>2410</v>
      </c>
      <c r="C34" s="2720"/>
      <c r="D34" s="2721"/>
      <c r="E34" s="2722"/>
      <c r="F34" s="2680"/>
      <c r="G34" s="2587"/>
      <c r="H34" s="2701"/>
      <c r="I34" s="2693"/>
      <c r="J34" s="3519" t="s">
        <v>2313</v>
      </c>
      <c r="K34" s="3520"/>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2411</v>
      </c>
      <c r="C35" s="2724"/>
      <c r="D35" s="2725"/>
      <c r="E35" s="2726"/>
      <c r="F35" s="2680"/>
      <c r="G35" s="2727"/>
      <c r="H35" s="2594"/>
      <c r="I35" s="2693"/>
      <c r="J35" s="2613" t="s">
        <v>2315</v>
      </c>
      <c r="K35" s="2614"/>
      <c r="L35" s="2614"/>
      <c r="M35" s="2615"/>
      <c r="N35" s="2615"/>
      <c r="O35" s="2615"/>
      <c r="P35" s="2615"/>
      <c r="Q35" s="2615"/>
      <c r="R35" s="2728">
        <f>R40+R41+R43</f>
        <v>0</v>
      </c>
      <c r="S35" s="2587"/>
      <c r="T35" s="2587" t="s">
        <v>2316</v>
      </c>
      <c r="U35" s="2587"/>
      <c r="V35" s="2595"/>
    </row>
    <row r="36" spans="1:23" s="2599" customFormat="1" ht="13.15" customHeight="1" thickBot="1">
      <c r="A36" s="2675">
        <v>7</v>
      </c>
      <c r="B36" s="2729" t="s">
        <v>2412</v>
      </c>
      <c r="C36" s="2730"/>
      <c r="D36" s="2731"/>
      <c r="E36" s="2732"/>
      <c r="F36" s="2733">
        <f>C36+D36+E36</f>
        <v>0</v>
      </c>
      <c r="G36" s="2587"/>
      <c r="H36" s="2594"/>
      <c r="I36" s="2595"/>
      <c r="J36" s="3511">
        <v>1</v>
      </c>
      <c r="K36" s="3512" t="s">
        <v>2413</v>
      </c>
      <c r="L36" s="2620"/>
      <c r="M36" s="2621"/>
      <c r="N36" s="2621"/>
      <c r="O36" s="2621"/>
      <c r="P36" s="2621"/>
      <c r="Q36" s="2621"/>
      <c r="R36" s="2604" t="s">
        <v>2325</v>
      </c>
      <c r="S36" s="2587"/>
      <c r="T36" s="2587" t="s">
        <v>2326</v>
      </c>
      <c r="U36" s="2587"/>
      <c r="V36" s="2595"/>
    </row>
    <row r="37" spans="1:23" s="2599" customFormat="1" ht="13.15" customHeight="1">
      <c r="A37" s="2675"/>
      <c r="B37" s="2676"/>
      <c r="C37" s="2676"/>
      <c r="D37" s="2676"/>
      <c r="E37" s="2676"/>
      <c r="F37" s="2680"/>
      <c r="G37" s="2587"/>
      <c r="H37" s="2594"/>
      <c r="I37" s="2595"/>
      <c r="J37" s="3511"/>
      <c r="K37" s="3513"/>
      <c r="L37" s="2629"/>
      <c r="M37" s="2630"/>
      <c r="N37" s="2606"/>
      <c r="O37" s="2631"/>
      <c r="P37" s="2631"/>
      <c r="Q37" s="2632"/>
      <c r="R37" s="2633"/>
      <c r="S37" s="2587"/>
      <c r="T37" s="2587" t="s">
        <v>2329</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511"/>
      <c r="K38" s="3513"/>
      <c r="L38" s="2629"/>
      <c r="M38" s="2630"/>
      <c r="N38" s="2606"/>
      <c r="O38" s="2631"/>
      <c r="P38" s="2631"/>
      <c r="Q38" s="2632"/>
      <c r="R38" s="2633"/>
      <c r="S38" s="2587"/>
      <c r="T38" s="2587" t="s">
        <v>2336</v>
      </c>
      <c r="U38" s="2587"/>
      <c r="V38" s="2595"/>
    </row>
    <row r="39" spans="1:23" s="2599" customFormat="1" ht="13.15" customHeight="1">
      <c r="A39" s="2675">
        <v>9</v>
      </c>
      <c r="B39" s="2676" t="s">
        <v>2414</v>
      </c>
      <c r="C39" s="2643" t="e">
        <f>C38</f>
        <v>#DIV/0!</v>
      </c>
      <c r="D39" s="2676">
        <f>D38/(1+D34)^C36</f>
        <v>0</v>
      </c>
      <c r="E39" s="2676">
        <f>E38/(1+E34)^(C36+D36)</f>
        <v>0</v>
      </c>
      <c r="F39" s="2680"/>
      <c r="G39" s="2595"/>
      <c r="H39" s="2594"/>
      <c r="I39" s="2595"/>
      <c r="J39" s="3511"/>
      <c r="K39" s="3513"/>
      <c r="L39" s="2629"/>
      <c r="M39" s="2630"/>
      <c r="N39" s="2606"/>
      <c r="O39" s="2631"/>
      <c r="P39" s="2631"/>
      <c r="Q39" s="2632"/>
      <c r="R39" s="2633"/>
      <c r="S39" s="2587"/>
      <c r="T39" s="2587"/>
      <c r="U39" s="2587"/>
      <c r="V39" s="2595"/>
    </row>
    <row r="40" spans="1:23" s="2599" customFormat="1" ht="13.15" customHeight="1">
      <c r="A40" s="2734">
        <v>10</v>
      </c>
      <c r="B40" s="2676" t="s">
        <v>2415</v>
      </c>
      <c r="C40" s="2735" t="e">
        <f>C39+D39+E39</f>
        <v>#DIV/0!</v>
      </c>
      <c r="D40" s="2736"/>
      <c r="E40" s="2736"/>
      <c r="F40" s="2737"/>
      <c r="G40" s="2587"/>
      <c r="H40" s="2594"/>
      <c r="I40" s="2595"/>
      <c r="J40" s="3511"/>
      <c r="K40" s="3514"/>
      <c r="L40" s="2649" t="s">
        <v>2354</v>
      </c>
      <c r="M40" s="2650"/>
      <c r="N40" s="2650"/>
      <c r="O40" s="2651"/>
      <c r="P40" s="2651"/>
      <c r="Q40" s="2652"/>
      <c r="R40" s="2598">
        <f>SUM(R37:R39)</f>
        <v>0</v>
      </c>
      <c r="S40" s="2587"/>
      <c r="T40" s="2587"/>
      <c r="U40" s="2587"/>
      <c r="V40" s="2595"/>
    </row>
    <row r="41" spans="1:23" s="2599" customFormat="1" ht="13.15" customHeight="1" thickBot="1">
      <c r="A41" s="2738">
        <v>11</v>
      </c>
      <c r="B41" s="2739" t="s">
        <v>2416</v>
      </c>
      <c r="C41" s="2739" t="e">
        <f>ROUND(C40*10000/B4,0)</f>
        <v>#DIV/0!</v>
      </c>
      <c r="D41" s="2740"/>
      <c r="E41" s="2740"/>
      <c r="F41" s="2741"/>
      <c r="G41" s="2594"/>
      <c r="H41" s="2594"/>
      <c r="I41" s="2595"/>
      <c r="J41" s="2688">
        <v>2</v>
      </c>
      <c r="K41" s="2689" t="s">
        <v>2394</v>
      </c>
      <c r="L41" s="2690"/>
      <c r="M41" s="2690"/>
      <c r="N41" s="2690"/>
      <c r="O41" s="2690"/>
      <c r="P41" s="2691"/>
      <c r="Q41" s="2692"/>
      <c r="R41" s="2665">
        <f>ROUND(R40*Q41,0)</f>
        <v>0</v>
      </c>
      <c r="S41" s="2587"/>
      <c r="T41" s="2587"/>
      <c r="U41" s="2638"/>
      <c r="V41" s="2595"/>
    </row>
    <row r="42" spans="1:23" s="2599" customFormat="1" ht="13.15" customHeight="1">
      <c r="G42" s="2594"/>
      <c r="H42" s="2594"/>
      <c r="I42" s="2595"/>
      <c r="J42" s="3515">
        <v>3</v>
      </c>
      <c r="K42" s="2695" t="s">
        <v>2396</v>
      </c>
      <c r="L42" s="2696"/>
      <c r="M42" s="2697"/>
      <c r="N42" s="2698" t="s">
        <v>2397</v>
      </c>
      <c r="O42" s="2698" t="s">
        <v>2398</v>
      </c>
      <c r="P42" s="2699" t="s">
        <v>2399</v>
      </c>
      <c r="Q42" s="2699" t="s">
        <v>2400</v>
      </c>
      <c r="R42" s="2604" t="s">
        <v>2325</v>
      </c>
      <c r="S42" s="2638"/>
      <c r="T42" s="2638"/>
      <c r="U42" s="2587"/>
      <c r="V42" s="2595"/>
    </row>
    <row r="43" spans="1:23" ht="13.15" customHeight="1">
      <c r="A43" s="2599"/>
      <c r="B43" s="2599"/>
      <c r="C43" s="2599"/>
      <c r="D43" s="2599"/>
      <c r="E43" s="2599"/>
      <c r="F43" s="2599"/>
      <c r="I43" s="2582"/>
      <c r="J43" s="3516"/>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2403</v>
      </c>
      <c r="L44" s="2744" t="s">
        <v>2404</v>
      </c>
      <c r="M44" s="2710"/>
      <c r="N44" s="2744" t="s">
        <v>2405</v>
      </c>
      <c r="O44" s="2710"/>
      <c r="P44" s="2744" t="s">
        <v>2406</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19" t="s">
        <v>1654</v>
      </c>
      <c r="B1" s="1720"/>
      <c r="C1" s="1720"/>
      <c r="D1" s="1720"/>
      <c r="E1" s="1721"/>
      <c r="F1" s="2474"/>
      <c r="G1" s="459"/>
      <c r="H1" s="459"/>
      <c r="I1" s="459"/>
      <c r="J1" s="459"/>
      <c r="K1" s="459"/>
      <c r="L1" s="459"/>
      <c r="M1" s="459"/>
      <c r="N1" s="459"/>
      <c r="O1" s="459"/>
      <c r="P1" s="459"/>
      <c r="Q1" s="459"/>
      <c r="R1" s="459"/>
      <c r="S1" s="459"/>
    </row>
    <row r="2" spans="1:22" ht="15.75">
      <c r="A2" s="1722" t="s">
        <v>1458</v>
      </c>
      <c r="B2" s="805">
        <f ca="1">SUMIF(B6:B13,"&lt;&gt;#ref!",B6:B13)</f>
        <v>9065.344000000001</v>
      </c>
      <c r="C2" s="1723" t="s">
        <v>1647</v>
      </c>
      <c r="D2" s="1724" t="s">
        <v>1648</v>
      </c>
      <c r="E2" s="2387">
        <f>SUM(E6:E13)</f>
        <v>3834.21</v>
      </c>
      <c r="F2" s="2474"/>
      <c r="G2" s="459"/>
      <c r="H2" s="459"/>
      <c r="I2" s="459"/>
      <c r="J2" s="459"/>
      <c r="K2" s="459"/>
      <c r="L2" s="459"/>
      <c r="M2" s="459"/>
      <c r="N2" s="459"/>
      <c r="O2" s="459"/>
      <c r="P2" s="459"/>
      <c r="Q2" s="459"/>
      <c r="R2" s="459"/>
      <c r="S2" s="459"/>
    </row>
    <row r="3" spans="1:22" ht="15.75">
      <c r="A3" s="1722" t="s">
        <v>682</v>
      </c>
      <c r="B3" s="2381">
        <f ca="1">ROUND(B2*10000/E2,0)</f>
        <v>23643</v>
      </c>
      <c r="C3" s="1723" t="s">
        <v>1655</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3" t="s">
        <v>1649</v>
      </c>
      <c r="B5" s="3530" t="s">
        <v>1650</v>
      </c>
      <c r="C5" s="3531"/>
      <c r="D5" s="2475"/>
      <c r="E5" s="1725" t="s">
        <v>1651</v>
      </c>
      <c r="F5" s="129" t="s">
        <v>1652</v>
      </c>
      <c r="G5" s="459"/>
      <c r="H5" s="459"/>
      <c r="I5" s="459"/>
      <c r="J5" s="459"/>
      <c r="K5" s="459"/>
      <c r="L5" s="459"/>
      <c r="M5" s="459"/>
      <c r="N5" s="459"/>
      <c r="O5" s="459"/>
      <c r="P5" s="459"/>
      <c r="Q5" s="459"/>
      <c r="R5" s="459"/>
      <c r="S5" s="459"/>
    </row>
    <row r="6" spans="1:22">
      <c r="A6" s="2384" t="str">
        <f>'数据-取费表'!AN6</f>
        <v>收益法-39-4</v>
      </c>
      <c r="B6" s="2382">
        <f ca="1">IF(F6="是",'数据-取费表'!AO6,0)</f>
        <v>2661.3472000000002</v>
      </c>
      <c r="C6" s="1723" t="s">
        <v>1647</v>
      </c>
      <c r="D6" s="2474"/>
      <c r="E6" s="2386">
        <f>IF(OR(A6=0,F6="否"),0,'数据-取费表'!K6+'数据-取费表'!S6)</f>
        <v>617.69000000000005</v>
      </c>
      <c r="F6" s="1726" t="s">
        <v>1653</v>
      </c>
      <c r="G6" s="459"/>
      <c r="H6" s="459"/>
      <c r="I6" s="459"/>
      <c r="J6" s="459"/>
      <c r="K6" s="459"/>
      <c r="L6" s="459"/>
      <c r="M6" s="459"/>
      <c r="N6" s="459"/>
      <c r="O6" s="459"/>
      <c r="P6" s="459"/>
      <c r="Q6" s="459"/>
      <c r="R6" s="459"/>
      <c r="S6" s="459"/>
    </row>
    <row r="7" spans="1:22">
      <c r="A7" s="2384">
        <f>'数据-取费表'!AN7</f>
        <v>0</v>
      </c>
      <c r="B7" s="2382" t="e">
        <f ca="1">IF(F7="是",'数据-取费表'!AO7,0)</f>
        <v>#REF!</v>
      </c>
      <c r="C7" s="1723" t="s">
        <v>1647</v>
      </c>
      <c r="D7" s="2474"/>
      <c r="E7" s="2386">
        <f>IF(OR(A7=0,F7="否"),0,'数据-取费表'!K7+'数据-取费表'!S7)</f>
        <v>0</v>
      </c>
      <c r="F7" s="1726" t="s">
        <v>1653</v>
      </c>
      <c r="G7" s="459"/>
      <c r="H7" s="459"/>
      <c r="I7" s="459"/>
      <c r="J7" s="459"/>
      <c r="K7" s="459"/>
      <c r="L7" s="459"/>
      <c r="M7" s="459"/>
      <c r="N7" s="459"/>
      <c r="O7" s="459"/>
      <c r="P7" s="459"/>
      <c r="Q7" s="459"/>
      <c r="R7" s="459"/>
      <c r="S7" s="459"/>
    </row>
    <row r="8" spans="1:22">
      <c r="A8" s="2384" t="str">
        <f>'数据-取费表'!AN8</f>
        <v>收益法-203</v>
      </c>
      <c r="B8" s="2382">
        <f ca="1">IF(F8="是",'数据-取费表'!AO8,0)</f>
        <v>3201.9983999999999</v>
      </c>
      <c r="C8" s="1723" t="s">
        <v>1647</v>
      </c>
      <c r="D8" s="2474"/>
      <c r="E8" s="2386">
        <f>IF(OR(A8=0,F8="否"),0,'数据-取费表'!K8+'数据-取费表'!S8)</f>
        <v>1608.26</v>
      </c>
      <c r="F8" s="1726" t="s">
        <v>1653</v>
      </c>
      <c r="G8" s="459"/>
      <c r="H8" s="459"/>
      <c r="I8" s="459"/>
      <c r="J8" s="459"/>
      <c r="K8" s="459"/>
      <c r="L8" s="459"/>
      <c r="M8" s="459"/>
      <c r="N8" s="459"/>
      <c r="O8" s="459"/>
      <c r="P8" s="459"/>
      <c r="Q8" s="459"/>
      <c r="R8" s="459"/>
      <c r="S8" s="459"/>
    </row>
    <row r="9" spans="1:22">
      <c r="A9" s="2384" t="str">
        <f>'数据-取费表'!AN9</f>
        <v>收益法-303</v>
      </c>
      <c r="B9" s="2382">
        <f ca="1">IF(F9="是",'数据-取费表'!AO9,0)</f>
        <v>3201.9983999999999</v>
      </c>
      <c r="C9" s="1723" t="s">
        <v>1647</v>
      </c>
      <c r="D9" s="2474"/>
      <c r="E9" s="2386">
        <f>IF(OR(A9=0,F9="否"),0,'数据-取费表'!K9+'数据-取费表'!S9)</f>
        <v>1608.26</v>
      </c>
      <c r="F9" s="1726" t="s">
        <v>1653</v>
      </c>
      <c r="G9" s="459"/>
      <c r="H9" s="459"/>
      <c r="I9" s="459"/>
      <c r="J9" s="459"/>
      <c r="K9" s="459"/>
      <c r="L9" s="459"/>
      <c r="M9" s="459"/>
      <c r="N9" s="459"/>
      <c r="O9" s="459"/>
      <c r="P9" s="459"/>
      <c r="Q9" s="459"/>
      <c r="R9" s="459"/>
      <c r="S9" s="459"/>
    </row>
    <row r="10" spans="1:22">
      <c r="A10" s="2384">
        <f>'数据-取费表'!AN10</f>
        <v>0</v>
      </c>
      <c r="B10" s="2382" t="e">
        <f ca="1">IF(F10="是",'数据-取费表'!AO10,0)</f>
        <v>#REF!</v>
      </c>
      <c r="C10" s="1723" t="s">
        <v>1647</v>
      </c>
      <c r="D10" s="2474"/>
      <c r="E10" s="2386">
        <f>IF(OR(A10=0,F10="否"),0,'数据-取费表'!K10+'数据-取费表'!S10)</f>
        <v>0</v>
      </c>
      <c r="F10" s="1726" t="s">
        <v>1653</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3" t="s">
        <v>1647</v>
      </c>
      <c r="D11" s="2474"/>
      <c r="E11" s="2386">
        <f>IF(OR(A11=0,F11="否"),0,'数据-取费表'!K11+'数据-取费表'!S11)</f>
        <v>0</v>
      </c>
      <c r="F11" s="1726" t="s">
        <v>1653</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3" t="s">
        <v>1647</v>
      </c>
      <c r="D12" s="2474"/>
      <c r="E12" s="2386">
        <f>IF(OR(A12=0,F12="否"),0,'数据-取费表'!K12+'数据-取费表'!S12)</f>
        <v>0</v>
      </c>
      <c r="F12" s="1726" t="s">
        <v>1653</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27" t="s">
        <v>1647</v>
      </c>
      <c r="D13" s="2476"/>
      <c r="E13" s="2386">
        <f>IF(OR(A13=0,F13="否"),0,'数据-取费表'!K13+'数据-取费表'!S13)</f>
        <v>0</v>
      </c>
      <c r="F13" s="1726"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1656</v>
      </c>
      <c r="B1" s="1802" t="s">
        <v>1806</v>
      </c>
      <c r="C1" s="1135" t="s">
        <v>1658</v>
      </c>
      <c r="D1" s="1136"/>
      <c r="E1" s="3125"/>
      <c r="F1" s="1729"/>
      <c r="G1" s="1146" t="s">
        <v>1763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1458</v>
      </c>
      <c r="B2" s="1079" t="b">
        <f>IF(E1="项目模式",IF(C2="——",ROUND(C50*D3/10000,0),ROUND(C50*D3/10000,0)-D2),IF(E1="单套模式",IF(C2="——",ROUND(C50*D3/10000,4),ROUND(C50*D3/10000,4)-D2)))</f>
        <v>0</v>
      </c>
      <c r="C2" s="1731"/>
      <c r="D2" s="1046" t="e">
        <f ca="1">IF(E1="项目模式",SUMIF(INDIRECT("'"&amp;F2&amp;"'"&amp;"!A:A"),"承租人权益价值",INDIRECT("'"&amp;F2&amp;"'"&amp;"!c:c")),SUMIF(INDIRECT("'"&amp;F2&amp;"'"&amp;"!A:A"),"承租人权益价值（单套）",INDIRECT("'"&amp;F2&amp;"'"&amp;"!c:c")))</f>
        <v>#REF!</v>
      </c>
      <c r="E2" s="1732" t="s">
        <v>1459</v>
      </c>
      <c r="F2" s="1733"/>
      <c r="G2" s="849"/>
      <c r="H2" s="849"/>
      <c r="I2" s="849"/>
      <c r="J2" s="849"/>
      <c r="K2" s="849"/>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1460</v>
      </c>
      <c r="B3" s="536">
        <f>IF(C2="——",C50,ROUND(B2*10000/D3,0))</f>
        <v>0</v>
      </c>
      <c r="C3" s="344" t="s">
        <v>1764</v>
      </c>
      <c r="D3" s="343">
        <f>IF(D1="",'数据-汇总表'!E3,SUMIF('数据-汇总表'!$C19:$C33,D1,'数据-汇总表'!$E19:$E33))</f>
        <v>4179.0200000000004</v>
      </c>
      <c r="E3" s="1799"/>
      <c r="F3" s="850"/>
      <c r="G3" s="849"/>
      <c r="H3" s="849"/>
      <c r="I3" s="849"/>
      <c r="J3" s="849"/>
      <c r="K3" s="851"/>
      <c r="L3" s="2498"/>
      <c r="M3" s="2499"/>
      <c r="N3" s="2499"/>
      <c r="O3" s="2499"/>
      <c r="P3" s="341"/>
      <c r="Q3" s="341"/>
      <c r="R3" s="341"/>
      <c r="S3" s="341"/>
      <c r="T3" s="341"/>
      <c r="U3" s="341"/>
      <c r="V3" s="341"/>
      <c r="W3" s="341"/>
      <c r="X3" s="341"/>
      <c r="Y3" s="341"/>
      <c r="Z3" s="341"/>
      <c r="AA3" s="341"/>
      <c r="AB3" s="341"/>
      <c r="AC3" s="663"/>
    </row>
    <row r="4" spans="1:29" ht="15">
      <c r="A4" s="345" t="s">
        <v>1765</v>
      </c>
      <c r="B4" s="346"/>
      <c r="C4" s="3484" t="s">
        <v>1766</v>
      </c>
      <c r="D4" s="3485"/>
      <c r="E4" s="3486" t="s">
        <v>1767</v>
      </c>
      <c r="F4" s="3487"/>
      <c r="G4" s="3484" t="s">
        <v>1768</v>
      </c>
      <c r="H4" s="3485"/>
      <c r="I4" s="3484" t="s">
        <v>1769</v>
      </c>
      <c r="J4" s="3485"/>
      <c r="K4" s="537" t="s">
        <v>1770</v>
      </c>
      <c r="L4" s="2481"/>
      <c r="M4" s="2482"/>
      <c r="N4" s="2482"/>
      <c r="O4" s="2482"/>
      <c r="P4" s="3538" t="s">
        <v>1771</v>
      </c>
      <c r="Q4" s="3539"/>
      <c r="R4" s="3542" t="s">
        <v>1767</v>
      </c>
      <c r="S4" s="3543"/>
      <c r="T4" s="3542" t="s">
        <v>1768</v>
      </c>
      <c r="U4" s="3543"/>
      <c r="V4" s="3544" t="s">
        <v>1769</v>
      </c>
      <c r="W4" s="3544"/>
      <c r="X4" s="1803"/>
      <c r="Y4" s="3542" t="s">
        <v>1771</v>
      </c>
      <c r="Z4" s="3543"/>
      <c r="AA4" s="3546" t="s">
        <v>1767</v>
      </c>
      <c r="AB4" s="3546" t="s">
        <v>1768</v>
      </c>
      <c r="AC4" s="3535" t="s">
        <v>1769</v>
      </c>
    </row>
    <row r="5" spans="1:29" ht="15">
      <c r="A5" s="348"/>
      <c r="B5" s="349"/>
      <c r="C5" s="3502" t="s">
        <v>1669</v>
      </c>
      <c r="D5" s="3503"/>
      <c r="E5" s="3509" t="s">
        <v>1670</v>
      </c>
      <c r="F5" s="3510"/>
      <c r="G5" s="3502" t="s">
        <v>1671</v>
      </c>
      <c r="H5" s="3503"/>
      <c r="I5" s="3502" t="s">
        <v>1672</v>
      </c>
      <c r="J5" s="3503"/>
      <c r="K5" s="537"/>
      <c r="L5" s="2481"/>
      <c r="M5" s="2482"/>
      <c r="N5" s="2482"/>
      <c r="O5" s="2482"/>
      <c r="P5" s="3540"/>
      <c r="Q5" s="3491"/>
      <c r="R5" s="3496"/>
      <c r="S5" s="3497"/>
      <c r="T5" s="3496"/>
      <c r="U5" s="3497"/>
      <c r="V5" s="3467"/>
      <c r="W5" s="3467"/>
      <c r="X5" s="1259"/>
      <c r="Y5" s="3496"/>
      <c r="Z5" s="3497"/>
      <c r="AA5" s="3482"/>
      <c r="AB5" s="3482"/>
      <c r="AC5" s="3536"/>
    </row>
    <row r="6" spans="1:29" ht="15.75" thickBot="1">
      <c r="A6" s="350"/>
      <c r="B6" s="351"/>
      <c r="C6" s="3500" t="s">
        <v>1673</v>
      </c>
      <c r="D6" s="3501"/>
      <c r="E6" s="3507" t="s">
        <v>1673</v>
      </c>
      <c r="F6" s="3508"/>
      <c r="G6" s="3500" t="s">
        <v>1673</v>
      </c>
      <c r="H6" s="3501"/>
      <c r="I6" s="3500" t="s">
        <v>1673</v>
      </c>
      <c r="J6" s="3501"/>
      <c r="K6" s="537" t="s">
        <v>1674</v>
      </c>
      <c r="L6" s="2481"/>
      <c r="M6" s="2482"/>
      <c r="N6" s="2482"/>
      <c r="O6" s="2482"/>
      <c r="P6" s="3541"/>
      <c r="Q6" s="3493"/>
      <c r="R6" s="3496"/>
      <c r="S6" s="3497"/>
      <c r="T6" s="3498"/>
      <c r="U6" s="3499"/>
      <c r="V6" s="3467"/>
      <c r="W6" s="3467"/>
      <c r="X6" s="1259"/>
      <c r="Y6" s="3498"/>
      <c r="Z6" s="3499"/>
      <c r="AA6" s="3483"/>
      <c r="AB6" s="3483"/>
      <c r="AC6" s="3537"/>
    </row>
    <row r="7" spans="1:29" s="102" customFormat="1" ht="15.75" thickBot="1">
      <c r="A7" s="352" t="s">
        <v>1675</v>
      </c>
      <c r="B7" s="353"/>
      <c r="C7" s="354">
        <f>'数据-取费表'!B2</f>
        <v>45873</v>
      </c>
      <c r="D7" s="355">
        <v>100</v>
      </c>
      <c r="E7" s="356"/>
      <c r="F7" s="357">
        <f>SUMIF(59:59,YEAR(E7)&amp;"-"&amp;MONTH(E7),60:60)</f>
        <v>0</v>
      </c>
      <c r="G7" s="356"/>
      <c r="H7" s="355">
        <f>SUMIF(59:59,YEAR(G7)&amp;"-"&amp;MONTH(G7),60:60)</f>
        <v>0</v>
      </c>
      <c r="I7" s="356"/>
      <c r="J7" s="355">
        <f>SUMIF(59:59,YEAR(I7)&amp;"-"&amp;MONTH(I7),60:60)</f>
        <v>0</v>
      </c>
      <c r="K7" s="38"/>
      <c r="L7" s="2483"/>
      <c r="M7" s="2434"/>
      <c r="N7" s="2434"/>
      <c r="O7" s="2434"/>
      <c r="P7" s="3545" t="s">
        <v>1676</v>
      </c>
      <c r="Q7" s="3506"/>
      <c r="R7" s="664" t="s">
        <v>14</v>
      </c>
      <c r="S7" s="665">
        <f t="shared" ref="S7:S15" si="0">F7</f>
        <v>0</v>
      </c>
      <c r="T7" s="664" t="s">
        <v>14</v>
      </c>
      <c r="U7" s="665">
        <f t="shared" ref="U7:U15" si="1">H7</f>
        <v>0</v>
      </c>
      <c r="V7" s="664" t="s">
        <v>14</v>
      </c>
      <c r="W7" s="665">
        <f t="shared" ref="W7:W15" si="2">J7</f>
        <v>0</v>
      </c>
      <c r="X7" s="666"/>
      <c r="Y7" s="3504" t="s">
        <v>1676</v>
      </c>
      <c r="Z7" s="3505"/>
      <c r="AA7" s="50" t="e">
        <f>D7/F7</f>
        <v>#DIV/0!</v>
      </c>
      <c r="AB7" s="50" t="e">
        <f>D7/H7</f>
        <v>#DIV/0!</v>
      </c>
      <c r="AC7" s="796" t="e">
        <f>D7/J7</f>
        <v>#DIV/0!</v>
      </c>
    </row>
    <row r="8" spans="1:29" s="102" customFormat="1" ht="15.75" thickBot="1">
      <c r="A8" s="352" t="s">
        <v>1677</v>
      </c>
      <c r="B8" s="353"/>
      <c r="C8" s="358"/>
      <c r="D8" s="355">
        <v>100</v>
      </c>
      <c r="E8" s="358"/>
      <c r="F8" s="357">
        <f>SUMIF(62:62,E8,63:63)-SUMIF(62:62,C8,63:63)+100</f>
        <v>100</v>
      </c>
      <c r="G8" s="358"/>
      <c r="H8" s="355">
        <f>SUMIF(62:62,G8,63:63)-SUMIF(62:62,C8,63:63)+100</f>
        <v>100</v>
      </c>
      <c r="I8" s="358"/>
      <c r="J8" s="355">
        <f>SUMIF(62:62,I8,63:63)-SUMIF(62:62,C8,63:63)+100</f>
        <v>100</v>
      </c>
      <c r="K8" s="38"/>
      <c r="L8" s="2483"/>
      <c r="M8" s="2434"/>
      <c r="N8" s="2434"/>
      <c r="O8" s="2434"/>
      <c r="P8" s="3545" t="s">
        <v>1679</v>
      </c>
      <c r="Q8" s="3505"/>
      <c r="R8" s="664" t="s">
        <v>14</v>
      </c>
      <c r="S8" s="665">
        <f t="shared" si="0"/>
        <v>100</v>
      </c>
      <c r="T8" s="664" t="s">
        <v>14</v>
      </c>
      <c r="U8" s="665">
        <f t="shared" si="1"/>
        <v>100</v>
      </c>
      <c r="V8" s="664" t="s">
        <v>14</v>
      </c>
      <c r="W8" s="665">
        <f t="shared" si="2"/>
        <v>100</v>
      </c>
      <c r="X8" s="666"/>
      <c r="Y8" s="3504" t="s">
        <v>1679</v>
      </c>
      <c r="Z8" s="3505"/>
      <c r="AA8" s="50">
        <f t="shared" ref="AA8:AA47" si="3">D8/F8</f>
        <v>1</v>
      </c>
      <c r="AB8" s="50">
        <f t="shared" ref="AB8:AB47" si="4">D8/H8</f>
        <v>1</v>
      </c>
      <c r="AC8" s="796">
        <f t="shared" ref="AC8:AC47" si="5">D8/J8</f>
        <v>1</v>
      </c>
    </row>
    <row r="9" spans="1:29" s="102" customFormat="1">
      <c r="A9" s="359" t="s">
        <v>1680</v>
      </c>
      <c r="B9" s="60" t="s">
        <v>1681</v>
      </c>
      <c r="C9" s="360"/>
      <c r="D9" s="59">
        <v>100</v>
      </c>
      <c r="E9" s="362"/>
      <c r="F9" s="59">
        <f>SUMIF(64:64,E9,65:65)-SUMIF(64:64,C9,65:65)+100</f>
        <v>100</v>
      </c>
      <c r="G9" s="361"/>
      <c r="H9" s="59">
        <f>SUMIF(64:64,G9,65:65)-SUMIF(64:64,C9,65:65)+100</f>
        <v>100</v>
      </c>
      <c r="I9" s="361"/>
      <c r="J9" s="59">
        <f>SUMIF(64:64,I9,65:65)-SUMIF(64:64,C9,65:65)+100</f>
        <v>100</v>
      </c>
      <c r="K9" s="38"/>
      <c r="L9" s="2483"/>
      <c r="M9" s="2434"/>
      <c r="N9" s="2434"/>
      <c r="O9" s="2434"/>
      <c r="P9" s="3480" t="s">
        <v>1682</v>
      </c>
      <c r="Q9" s="530" t="str">
        <f t="shared" ref="Q9:Q15" si="6">B9</f>
        <v>用途</v>
      </c>
      <c r="R9" s="664" t="s">
        <v>14</v>
      </c>
      <c r="S9" s="665">
        <f t="shared" si="0"/>
        <v>100</v>
      </c>
      <c r="T9" s="664" t="s">
        <v>14</v>
      </c>
      <c r="U9" s="665">
        <f t="shared" si="1"/>
        <v>100</v>
      </c>
      <c r="V9" s="664" t="s">
        <v>14</v>
      </c>
      <c r="W9" s="665">
        <f t="shared" si="2"/>
        <v>100</v>
      </c>
      <c r="X9" s="666"/>
      <c r="Y9" s="3346" t="s">
        <v>1683</v>
      </c>
      <c r="Z9" s="50" t="str">
        <f t="shared" ref="Z9:Z15" si="7">Q9</f>
        <v>用途</v>
      </c>
      <c r="AA9" s="50">
        <f t="shared" si="3"/>
        <v>1</v>
      </c>
      <c r="AB9" s="50">
        <f t="shared" si="4"/>
        <v>1</v>
      </c>
      <c r="AC9" s="796">
        <f t="shared" si="5"/>
        <v>1</v>
      </c>
    </row>
    <row r="10" spans="1:29" s="366" customFormat="1" ht="27">
      <c r="A10" s="363"/>
      <c r="B10" s="364" t="s">
        <v>1684</v>
      </c>
      <c r="C10" s="3126"/>
      <c r="D10" s="119">
        <v>100</v>
      </c>
      <c r="E10" s="3126"/>
      <c r="F10" s="119">
        <f>SUMIF(66:66,E10,67:67)-SUMIF(66:66,C10,67:67)+100</f>
        <v>100</v>
      </c>
      <c r="G10" s="3127"/>
      <c r="H10" s="119">
        <f>SUMIF(66:66,G10,67:67)-SUMIF(66:66,C10,67:67)+100</f>
        <v>100</v>
      </c>
      <c r="I10" s="3126"/>
      <c r="J10" s="119">
        <f>SUMIF(66:66,I10,67:67)-SUMIF(66:66,C10,67:67)+100</f>
        <v>100</v>
      </c>
      <c r="K10" s="38"/>
      <c r="L10" s="2484"/>
      <c r="M10" s="2485"/>
      <c r="N10" s="2485"/>
      <c r="O10" s="2485"/>
      <c r="P10" s="3480"/>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796">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80"/>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796">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3"/>
      <c r="M12" s="2434"/>
      <c r="N12" s="2434"/>
      <c r="O12" s="2434"/>
      <c r="P12" s="3480"/>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796">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7"/>
      <c r="M13" s="2482"/>
      <c r="N13" s="2482"/>
      <c r="O13" s="2482"/>
      <c r="P13" s="3480"/>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796">
        <f t="shared" si="5"/>
        <v>1</v>
      </c>
    </row>
    <row r="14" spans="1:29" ht="15.75" thickBot="1">
      <c r="A14" s="375"/>
      <c r="B14" s="1743">
        <v>111</v>
      </c>
      <c r="C14" s="376"/>
      <c r="D14" s="377">
        <v>100</v>
      </c>
      <c r="E14" s="553"/>
      <c r="F14" s="377">
        <f>SUMIF(75:75,E14,76:76)-SUMIF(75:75,C14,76:76)+100</f>
        <v>100</v>
      </c>
      <c r="G14" s="1804"/>
      <c r="H14" s="377">
        <f>SUMIF(75:75,G14,76:76)-SUMIF(75:75,C14,76:76)+100</f>
        <v>100</v>
      </c>
      <c r="I14" s="371"/>
      <c r="J14" s="377">
        <f>SUMIF(75:75,I14,76:76)-SUMIF(75:75,C14,76:76)+100</f>
        <v>100</v>
      </c>
      <c r="K14" s="539"/>
      <c r="L14" s="2487"/>
      <c r="M14" s="2482"/>
      <c r="N14" s="2482"/>
      <c r="O14" s="2482"/>
      <c r="P14" s="3480"/>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796">
        <f t="shared" si="5"/>
        <v>1</v>
      </c>
    </row>
    <row r="15" spans="1:29" ht="15">
      <c r="A15" s="379" t="s">
        <v>1686</v>
      </c>
      <c r="B15" s="554" t="s">
        <v>1807</v>
      </c>
      <c r="C15" s="1805">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71" t="s">
        <v>1687</v>
      </c>
      <c r="Q15" s="1257" t="str">
        <f t="shared" si="6"/>
        <v>办公集聚程度</v>
      </c>
      <c r="R15" s="667" t="s">
        <v>14</v>
      </c>
      <c r="S15" s="668">
        <f t="shared" si="0"/>
        <v>100</v>
      </c>
      <c r="T15" s="667" t="s">
        <v>14</v>
      </c>
      <c r="U15" s="668">
        <f t="shared" si="1"/>
        <v>100</v>
      </c>
      <c r="V15" s="667" t="s">
        <v>14</v>
      </c>
      <c r="W15" s="668">
        <f t="shared" si="2"/>
        <v>100</v>
      </c>
      <c r="X15" s="1259"/>
      <c r="Y15" s="3473" t="s">
        <v>1687</v>
      </c>
      <c r="Z15" s="1258" t="str">
        <f t="shared" si="7"/>
        <v>办公集聚程度</v>
      </c>
      <c r="AA15" s="1258">
        <f t="shared" si="3"/>
        <v>1</v>
      </c>
      <c r="AB15" s="1258">
        <f t="shared" si="4"/>
        <v>1</v>
      </c>
      <c r="AC15" s="1806">
        <f t="shared" si="5"/>
        <v>1</v>
      </c>
    </row>
    <row r="16" spans="1:29" ht="15">
      <c r="A16" s="367"/>
      <c r="B16" s="555"/>
      <c r="C16" s="1752"/>
      <c r="D16" s="387"/>
      <c r="E16" s="386"/>
      <c r="F16" s="387"/>
      <c r="G16" s="1752"/>
      <c r="H16" s="389"/>
      <c r="I16" s="386"/>
      <c r="J16" s="387"/>
      <c r="K16" s="541"/>
      <c r="L16" s="2487"/>
      <c r="M16" s="2482"/>
      <c r="N16" s="2482"/>
      <c r="O16" s="2482"/>
      <c r="P16" s="3472"/>
      <c r="Q16" s="1257"/>
      <c r="R16" s="667"/>
      <c r="S16" s="668"/>
      <c r="T16" s="667"/>
      <c r="U16" s="668"/>
      <c r="V16" s="667"/>
      <c r="W16" s="668"/>
      <c r="X16" s="1259"/>
      <c r="Y16" s="3474"/>
      <c r="Z16" s="1258"/>
      <c r="AA16" s="1258">
        <v>1</v>
      </c>
      <c r="AB16" s="1258">
        <v>1</v>
      </c>
      <c r="AC16" s="1806">
        <v>1</v>
      </c>
    </row>
    <row r="17" spans="1:29" ht="15">
      <c r="A17" s="367"/>
      <c r="B17" s="556" t="s">
        <v>1255</v>
      </c>
      <c r="C17" s="1807">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72"/>
      <c r="Q17" s="1257" t="str">
        <f>B17</f>
        <v>交通便捷度</v>
      </c>
      <c r="R17" s="667" t="s">
        <v>14</v>
      </c>
      <c r="S17" s="668">
        <f>F17</f>
        <v>100</v>
      </c>
      <c r="T17" s="667" t="s">
        <v>14</v>
      </c>
      <c r="U17" s="668">
        <f>H17</f>
        <v>100</v>
      </c>
      <c r="V17" s="667" t="s">
        <v>14</v>
      </c>
      <c r="W17" s="668">
        <f>J17</f>
        <v>100</v>
      </c>
      <c r="X17" s="1259"/>
      <c r="Y17" s="3474"/>
      <c r="Z17" s="1258" t="str">
        <f>Q17</f>
        <v>交通便捷度</v>
      </c>
      <c r="AA17" s="1258">
        <f t="shared" si="3"/>
        <v>1</v>
      </c>
      <c r="AB17" s="1258">
        <f t="shared" si="4"/>
        <v>1</v>
      </c>
      <c r="AC17" s="1806">
        <f t="shared" si="5"/>
        <v>1</v>
      </c>
    </row>
    <row r="18" spans="1:29" ht="15">
      <c r="A18" s="367"/>
      <c r="B18" s="401"/>
      <c r="C18" s="1808"/>
      <c r="D18" s="389"/>
      <c r="E18" s="1750"/>
      <c r="F18" s="389"/>
      <c r="G18" s="1751"/>
      <c r="H18" s="387"/>
      <c r="I18" s="1751"/>
      <c r="J18" s="387"/>
      <c r="K18" s="541"/>
      <c r="L18" s="2487"/>
      <c r="M18" s="2482"/>
      <c r="N18" s="2482"/>
      <c r="O18" s="2482"/>
      <c r="P18" s="3472"/>
      <c r="Q18" s="1257"/>
      <c r="R18" s="667"/>
      <c r="S18" s="668"/>
      <c r="T18" s="667"/>
      <c r="U18" s="668"/>
      <c r="V18" s="667"/>
      <c r="W18" s="668"/>
      <c r="X18" s="1259"/>
      <c r="Y18" s="3474"/>
      <c r="Z18" s="1258"/>
      <c r="AA18" s="1258">
        <v>1</v>
      </c>
      <c r="AB18" s="1258">
        <v>1</v>
      </c>
      <c r="AC18" s="1806">
        <v>1</v>
      </c>
    </row>
    <row r="19" spans="1:29" ht="15">
      <c r="A19" s="367"/>
      <c r="B19" s="556" t="s">
        <v>1808</v>
      </c>
      <c r="C19" s="1807">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72"/>
      <c r="Q19" s="1257" t="str">
        <f>B19</f>
        <v>公共配套设施</v>
      </c>
      <c r="R19" s="667" t="s">
        <v>14</v>
      </c>
      <c r="S19" s="668">
        <f>F19</f>
        <v>100</v>
      </c>
      <c r="T19" s="667" t="s">
        <v>14</v>
      </c>
      <c r="U19" s="668">
        <f>H19</f>
        <v>100</v>
      </c>
      <c r="V19" s="667" t="s">
        <v>14</v>
      </c>
      <c r="W19" s="668">
        <f>J19</f>
        <v>100</v>
      </c>
      <c r="X19" s="1259"/>
      <c r="Y19" s="3474"/>
      <c r="Z19" s="1258" t="str">
        <f>Q19</f>
        <v>公共配套设施</v>
      </c>
      <c r="AA19" s="1258">
        <f t="shared" si="3"/>
        <v>1</v>
      </c>
      <c r="AB19" s="1258">
        <f t="shared" si="4"/>
        <v>1</v>
      </c>
      <c r="AC19" s="1806">
        <f t="shared" si="5"/>
        <v>1</v>
      </c>
    </row>
    <row r="20" spans="1:29" ht="15">
      <c r="A20" s="367"/>
      <c r="B20" s="401"/>
      <c r="C20" s="1752"/>
      <c r="D20" s="387"/>
      <c r="E20" s="1745"/>
      <c r="F20" s="387"/>
      <c r="G20" s="1746"/>
      <c r="H20" s="387"/>
      <c r="I20" s="1746"/>
      <c r="J20" s="387"/>
      <c r="K20" s="541"/>
      <c r="L20" s="2487"/>
      <c r="M20" s="2482"/>
      <c r="N20" s="2482"/>
      <c r="O20" s="2482"/>
      <c r="P20" s="3472"/>
      <c r="Q20" s="1257"/>
      <c r="R20" s="667"/>
      <c r="S20" s="668"/>
      <c r="T20" s="667"/>
      <c r="U20" s="668"/>
      <c r="V20" s="667"/>
      <c r="W20" s="668"/>
      <c r="X20" s="1259"/>
      <c r="Y20" s="3474"/>
      <c r="Z20" s="1258"/>
      <c r="AA20" s="1258">
        <v>1</v>
      </c>
      <c r="AB20" s="1258">
        <v>1</v>
      </c>
      <c r="AC20" s="1806">
        <v>1</v>
      </c>
    </row>
    <row r="21" spans="1:29" ht="15">
      <c r="A21" s="367"/>
      <c r="B21" s="557" t="s">
        <v>1809</v>
      </c>
      <c r="C21" s="1807">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72"/>
      <c r="Q21" s="1257" t="str">
        <f>B21</f>
        <v>基础设施水平</v>
      </c>
      <c r="R21" s="667" t="s">
        <v>14</v>
      </c>
      <c r="S21" s="668">
        <f>F21</f>
        <v>100</v>
      </c>
      <c r="T21" s="667" t="s">
        <v>14</v>
      </c>
      <c r="U21" s="668">
        <f>H21</f>
        <v>100</v>
      </c>
      <c r="V21" s="667" t="s">
        <v>14</v>
      </c>
      <c r="W21" s="668">
        <f>J21</f>
        <v>100</v>
      </c>
      <c r="X21" s="1259"/>
      <c r="Y21" s="3474"/>
      <c r="Z21" s="1258" t="str">
        <f>Q21</f>
        <v>基础设施水平</v>
      </c>
      <c r="AA21" s="1258">
        <f t="shared" ref="AA21" si="8">D21/F21</f>
        <v>1</v>
      </c>
      <c r="AB21" s="1258">
        <f t="shared" ref="AB21" si="9">D21/H21</f>
        <v>1</v>
      </c>
      <c r="AC21" s="1806">
        <f t="shared" ref="AC21" si="10">D21/J21</f>
        <v>1</v>
      </c>
    </row>
    <row r="22" spans="1:29" ht="15">
      <c r="A22" s="367"/>
      <c r="B22" s="557"/>
      <c r="C22" s="1808"/>
      <c r="D22" s="387"/>
      <c r="E22" s="386"/>
      <c r="F22" s="387"/>
      <c r="G22" s="1752"/>
      <c r="H22" s="387"/>
      <c r="I22" s="1752"/>
      <c r="J22" s="387"/>
      <c r="K22" s="1058"/>
      <c r="L22" s="2487"/>
      <c r="M22" s="2482"/>
      <c r="N22" s="2482"/>
      <c r="O22" s="2482"/>
      <c r="P22" s="3472"/>
      <c r="Q22" s="1257"/>
      <c r="R22" s="667"/>
      <c r="S22" s="668"/>
      <c r="T22" s="667"/>
      <c r="U22" s="668"/>
      <c r="V22" s="667"/>
      <c r="W22" s="668"/>
      <c r="X22" s="1259"/>
      <c r="Y22" s="3474"/>
      <c r="Z22" s="1258"/>
      <c r="AA22" s="1258">
        <v>1</v>
      </c>
      <c r="AB22" s="1258">
        <v>1</v>
      </c>
      <c r="AC22" s="1806">
        <v>1</v>
      </c>
    </row>
    <row r="23" spans="1:29" ht="15">
      <c r="A23" s="367"/>
      <c r="B23" s="556" t="s">
        <v>1810</v>
      </c>
      <c r="C23" s="1807">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72"/>
      <c r="Q23" s="1257" t="str">
        <f>B23</f>
        <v>环境质量</v>
      </c>
      <c r="R23" s="667" t="s">
        <v>14</v>
      </c>
      <c r="S23" s="668">
        <f>F23</f>
        <v>100</v>
      </c>
      <c r="T23" s="667" t="s">
        <v>14</v>
      </c>
      <c r="U23" s="668">
        <f>H23</f>
        <v>100</v>
      </c>
      <c r="V23" s="667" t="s">
        <v>14</v>
      </c>
      <c r="W23" s="668">
        <f>J23</f>
        <v>100</v>
      </c>
      <c r="X23" s="1259"/>
      <c r="Y23" s="3474"/>
      <c r="Z23" s="1258" t="str">
        <f>Q23</f>
        <v>环境质量</v>
      </c>
      <c r="AA23" s="1258">
        <f t="shared" si="3"/>
        <v>1</v>
      </c>
      <c r="AB23" s="1258">
        <f t="shared" si="4"/>
        <v>1</v>
      </c>
      <c r="AC23" s="1806">
        <f t="shared" si="5"/>
        <v>1</v>
      </c>
    </row>
    <row r="24" spans="1:29" ht="15">
      <c r="A24" s="367"/>
      <c r="B24" s="557"/>
      <c r="C24" s="1752"/>
      <c r="D24" s="387"/>
      <c r="E24" s="1745"/>
      <c r="F24" s="387"/>
      <c r="G24" s="1746"/>
      <c r="H24" s="387"/>
      <c r="I24" s="1746"/>
      <c r="J24" s="387"/>
      <c r="K24" s="541"/>
      <c r="L24" s="2487"/>
      <c r="M24" s="2482"/>
      <c r="N24" s="2482"/>
      <c r="O24" s="2482"/>
      <c r="P24" s="3472"/>
      <c r="Q24" s="1257"/>
      <c r="R24" s="667"/>
      <c r="S24" s="668"/>
      <c r="T24" s="667"/>
      <c r="U24" s="668"/>
      <c r="V24" s="667"/>
      <c r="W24" s="668"/>
      <c r="X24" s="1259"/>
      <c r="Y24" s="3474"/>
      <c r="Z24" s="1258"/>
      <c r="AA24" s="1258">
        <v>1</v>
      </c>
      <c r="AB24" s="1258">
        <v>1</v>
      </c>
      <c r="AC24" s="1806">
        <v>1</v>
      </c>
    </row>
    <row r="25" spans="1:29" ht="27">
      <c r="A25" s="348"/>
      <c r="B25" s="556" t="s">
        <v>1811</v>
      </c>
      <c r="C25" s="1756"/>
      <c r="D25" s="374">
        <v>100</v>
      </c>
      <c r="E25" s="373"/>
      <c r="F25" s="374">
        <f>SUMIF(87:87,E26,88:88)-SUMIF(87:87,C26,88:88)+100</f>
        <v>100</v>
      </c>
      <c r="G25" s="1756"/>
      <c r="H25" s="374">
        <f>SUMIF(87:87,G26,88:88)-SUMIF(87:87,C26,88:88)+100</f>
        <v>100</v>
      </c>
      <c r="I25" s="373"/>
      <c r="J25" s="374">
        <f>SUMIF(87:87,I26,88:88)-SUMIF(87:87,C26,88:88)+100</f>
        <v>100</v>
      </c>
      <c r="K25" s="540"/>
      <c r="L25" s="2487"/>
      <c r="M25" s="2482"/>
      <c r="N25" s="2482"/>
      <c r="O25" s="2482"/>
      <c r="P25" s="3472"/>
      <c r="Q25" s="1257" t="str">
        <f>B25</f>
        <v>毗邻道路的类型与等级</v>
      </c>
      <c r="R25" s="667" t="s">
        <v>14</v>
      </c>
      <c r="S25" s="668">
        <f>F25</f>
        <v>100</v>
      </c>
      <c r="T25" s="667" t="s">
        <v>14</v>
      </c>
      <c r="U25" s="668">
        <f>H25</f>
        <v>100</v>
      </c>
      <c r="V25" s="667" t="s">
        <v>14</v>
      </c>
      <c r="W25" s="668">
        <f>J25</f>
        <v>100</v>
      </c>
      <c r="X25" s="1259"/>
      <c r="Y25" s="3474"/>
      <c r="Z25" s="1258" t="str">
        <f>Q25</f>
        <v>毗邻道路的类型与等级</v>
      </c>
      <c r="AA25" s="1258">
        <f t="shared" si="3"/>
        <v>1</v>
      </c>
      <c r="AB25" s="1258">
        <f t="shared" si="4"/>
        <v>1</v>
      </c>
      <c r="AC25" s="1806">
        <f t="shared" si="5"/>
        <v>1</v>
      </c>
    </row>
    <row r="26" spans="1:29" ht="15">
      <c r="A26" s="348"/>
      <c r="B26" s="401"/>
      <c r="C26" s="558"/>
      <c r="D26" s="374"/>
      <c r="E26" s="542"/>
      <c r="F26" s="374"/>
      <c r="G26" s="558"/>
      <c r="H26" s="374"/>
      <c r="I26" s="542"/>
      <c r="J26" s="374"/>
      <c r="K26" s="541"/>
      <c r="L26" s="2487"/>
      <c r="M26" s="2482"/>
      <c r="N26" s="2482"/>
      <c r="O26" s="2482"/>
      <c r="P26" s="3472"/>
      <c r="Q26" s="1257"/>
      <c r="R26" s="667"/>
      <c r="S26" s="668"/>
      <c r="T26" s="667"/>
      <c r="U26" s="668"/>
      <c r="V26" s="667"/>
      <c r="W26" s="668"/>
      <c r="X26" s="1259"/>
      <c r="Y26" s="3474"/>
      <c r="Z26" s="1258"/>
      <c r="AA26" s="1258">
        <v>1</v>
      </c>
      <c r="AB26" s="1258">
        <v>1</v>
      </c>
      <c r="AC26" s="1806">
        <v>1</v>
      </c>
    </row>
    <row r="27" spans="1:29" ht="15">
      <c r="A27" s="367"/>
      <c r="B27" s="401" t="s">
        <v>1779</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72"/>
      <c r="Q27" s="1257" t="str">
        <f t="shared" ref="Q27:Q47" si="11">B27</f>
        <v>楼层</v>
      </c>
      <c r="R27" s="667" t="s">
        <v>14</v>
      </c>
      <c r="S27" s="668">
        <f>F27</f>
        <v>100</v>
      </c>
      <c r="T27" s="667" t="s">
        <v>14</v>
      </c>
      <c r="U27" s="668">
        <f>H27</f>
        <v>100</v>
      </c>
      <c r="V27" s="667" t="s">
        <v>14</v>
      </c>
      <c r="W27" s="668">
        <f>J27</f>
        <v>100</v>
      </c>
      <c r="X27" s="1259"/>
      <c r="Y27" s="3474"/>
      <c r="Z27" s="1258" t="str">
        <f>Q27</f>
        <v>楼层</v>
      </c>
      <c r="AA27" s="1258">
        <f t="shared" si="3"/>
        <v>1</v>
      </c>
      <c r="AB27" s="1258">
        <f t="shared" si="4"/>
        <v>1</v>
      </c>
      <c r="AC27" s="1806">
        <f t="shared" si="5"/>
        <v>1</v>
      </c>
    </row>
    <row r="28" spans="1:29" s="102" customFormat="1" ht="15">
      <c r="A28" s="370"/>
      <c r="B28" s="556" t="s">
        <v>1812</v>
      </c>
      <c r="C28" s="1809"/>
      <c r="D28" s="401">
        <v>100</v>
      </c>
      <c r="E28" s="1801"/>
      <c r="F28" s="401">
        <f>SUMIF(91:91,E28,92:92)-SUMIF(91:91,C28,92:92)+100</f>
        <v>100</v>
      </c>
      <c r="G28" s="1809"/>
      <c r="H28" s="401">
        <f>SUMIF(91:91,G28,92:92)-SUMIF(91:91,C28,92:92)+100</f>
        <v>100</v>
      </c>
      <c r="I28" s="1801"/>
      <c r="J28" s="401">
        <f>SUMIF(91:91,I28,92:92)-SUMIF(91:91,C28,92:92)+100</f>
        <v>100</v>
      </c>
      <c r="K28" s="538"/>
      <c r="L28" s="2483"/>
      <c r="M28" s="2434"/>
      <c r="N28" s="2434"/>
      <c r="O28" s="2434"/>
      <c r="P28" s="3472"/>
      <c r="Q28" s="530" t="str">
        <f t="shared" si="11"/>
        <v>朝向</v>
      </c>
      <c r="R28" s="664" t="s">
        <v>14</v>
      </c>
      <c r="S28" s="665">
        <f>F28</f>
        <v>100</v>
      </c>
      <c r="T28" s="664" t="s">
        <v>14</v>
      </c>
      <c r="U28" s="665">
        <f>H28</f>
        <v>100</v>
      </c>
      <c r="V28" s="664" t="s">
        <v>14</v>
      </c>
      <c r="W28" s="665">
        <f>J28</f>
        <v>100</v>
      </c>
      <c r="X28" s="666"/>
      <c r="Y28" s="3474"/>
      <c r="Z28" s="50" t="str">
        <f>Q28</f>
        <v>朝向</v>
      </c>
      <c r="AA28" s="1258">
        <f>D28/F28</f>
        <v>1</v>
      </c>
      <c r="AB28" s="1258">
        <f>D28/H28</f>
        <v>1</v>
      </c>
      <c r="AC28" s="1806">
        <f>D28/J28</f>
        <v>1</v>
      </c>
    </row>
    <row r="29" spans="1:29" ht="15">
      <c r="A29" s="367"/>
      <c r="B29" s="1093">
        <v>111</v>
      </c>
      <c r="C29" s="1756"/>
      <c r="D29" s="374">
        <v>100</v>
      </c>
      <c r="E29" s="371"/>
      <c r="F29" s="374">
        <f>SUMIF(93:93,E29,94:94)-SUMIF(93:93,C29,94:94)+100</f>
        <v>100</v>
      </c>
      <c r="G29" s="1804"/>
      <c r="H29" s="374">
        <f>SUMIF(93:93,G29,94:94)-SUMIF(93:93,C29,94:94)+100</f>
        <v>100</v>
      </c>
      <c r="I29" s="371"/>
      <c r="J29" s="374">
        <f>SUMIF(93:93,I29,94:94)-SUMIF(93:93,C29,94:94)+100</f>
        <v>100</v>
      </c>
      <c r="K29" s="539"/>
      <c r="L29" s="2487"/>
      <c r="M29" s="2482"/>
      <c r="N29" s="2482"/>
      <c r="O29" s="2482"/>
      <c r="P29" s="3472"/>
      <c r="Q29" s="1257">
        <f t="shared" si="11"/>
        <v>111</v>
      </c>
      <c r="R29" s="667" t="s">
        <v>14</v>
      </c>
      <c r="S29" s="668">
        <f t="shared" ref="S29:S47" si="12">F29</f>
        <v>100</v>
      </c>
      <c r="T29" s="667" t="s">
        <v>14</v>
      </c>
      <c r="U29" s="668">
        <f t="shared" ref="U29:U47" si="13">H29</f>
        <v>100</v>
      </c>
      <c r="V29" s="667" t="s">
        <v>14</v>
      </c>
      <c r="W29" s="668">
        <f t="shared" ref="W29:W47" si="14">J29</f>
        <v>100</v>
      </c>
      <c r="X29" s="1259"/>
      <c r="Y29" s="3474"/>
      <c r="Z29" s="1258">
        <f t="shared" ref="Z29:Z47" si="15">Q29</f>
        <v>111</v>
      </c>
      <c r="AA29" s="1258">
        <f t="shared" si="3"/>
        <v>1</v>
      </c>
      <c r="AB29" s="1258">
        <f t="shared" si="4"/>
        <v>1</v>
      </c>
      <c r="AC29" s="1806">
        <f t="shared" si="5"/>
        <v>1</v>
      </c>
    </row>
    <row r="30" spans="1:29" ht="15">
      <c r="A30" s="367"/>
      <c r="B30" s="1093">
        <v>111</v>
      </c>
      <c r="C30" s="1756"/>
      <c r="D30" s="374">
        <v>100</v>
      </c>
      <c r="E30" s="371"/>
      <c r="F30" s="374">
        <f>SUMIF(95:95,E30,96:96)-SUMIF(95:95,C30,96:96)+100</f>
        <v>100</v>
      </c>
      <c r="G30" s="1804"/>
      <c r="H30" s="374">
        <f>SUMIF(95:95,G30,96:96)-SUMIF(95:95,C30,96:96)+100</f>
        <v>100</v>
      </c>
      <c r="I30" s="371"/>
      <c r="J30" s="374">
        <f>SUMIF(95:95,I30,96:96)-SUMIF(95:95,C30,96:96)+100</f>
        <v>100</v>
      </c>
      <c r="K30" s="539"/>
      <c r="L30" s="2487"/>
      <c r="M30" s="2482"/>
      <c r="N30" s="2482"/>
      <c r="O30" s="2482"/>
      <c r="P30" s="3472"/>
      <c r="Q30" s="1257">
        <f t="shared" si="11"/>
        <v>111</v>
      </c>
      <c r="R30" s="667" t="s">
        <v>14</v>
      </c>
      <c r="S30" s="668">
        <f t="shared" si="12"/>
        <v>100</v>
      </c>
      <c r="T30" s="667" t="s">
        <v>14</v>
      </c>
      <c r="U30" s="668">
        <f t="shared" si="13"/>
        <v>100</v>
      </c>
      <c r="V30" s="667" t="s">
        <v>14</v>
      </c>
      <c r="W30" s="668">
        <f t="shared" si="14"/>
        <v>100</v>
      </c>
      <c r="X30" s="1259"/>
      <c r="Y30" s="3474"/>
      <c r="Z30" s="1258">
        <f t="shared" si="15"/>
        <v>111</v>
      </c>
      <c r="AA30" s="1258">
        <f t="shared" si="3"/>
        <v>1</v>
      </c>
      <c r="AB30" s="1258">
        <f t="shared" si="4"/>
        <v>1</v>
      </c>
      <c r="AC30" s="1806">
        <f t="shared" si="5"/>
        <v>1</v>
      </c>
    </row>
    <row r="31" spans="1:29" ht="15">
      <c r="A31" s="367"/>
      <c r="B31" s="1093">
        <v>111</v>
      </c>
      <c r="C31" s="1756"/>
      <c r="D31" s="374">
        <v>100</v>
      </c>
      <c r="E31" s="371"/>
      <c r="F31" s="374">
        <f>SUMIF(97:97,E31,98:98)-SUMIF(97:97,C31,98:98)+100</f>
        <v>100</v>
      </c>
      <c r="G31" s="1804"/>
      <c r="H31" s="374">
        <f>SUMIF(97:97,G31,98:98)-SUMIF(97:97,C31,98:98)+100</f>
        <v>100</v>
      </c>
      <c r="I31" s="371"/>
      <c r="J31" s="374">
        <f>SUMIF(97:97,I31,98:98)-SUMIF(97:97,C31,98:98)+100</f>
        <v>100</v>
      </c>
      <c r="K31" s="539"/>
      <c r="L31" s="2487"/>
      <c r="M31" s="2482"/>
      <c r="N31" s="2482"/>
      <c r="O31" s="2482"/>
      <c r="P31" s="3472"/>
      <c r="Q31" s="1257">
        <f t="shared" si="11"/>
        <v>111</v>
      </c>
      <c r="R31" s="667" t="s">
        <v>14</v>
      </c>
      <c r="S31" s="668">
        <f t="shared" si="12"/>
        <v>100</v>
      </c>
      <c r="T31" s="667" t="s">
        <v>14</v>
      </c>
      <c r="U31" s="668">
        <f t="shared" si="13"/>
        <v>100</v>
      </c>
      <c r="V31" s="667" t="s">
        <v>14</v>
      </c>
      <c r="W31" s="668">
        <f t="shared" si="14"/>
        <v>100</v>
      </c>
      <c r="X31" s="1259"/>
      <c r="Y31" s="3474"/>
      <c r="Z31" s="1258">
        <f t="shared" si="15"/>
        <v>111</v>
      </c>
      <c r="AA31" s="1258">
        <f t="shared" si="3"/>
        <v>1</v>
      </c>
      <c r="AB31" s="1258">
        <f t="shared" si="4"/>
        <v>1</v>
      </c>
      <c r="AC31" s="1806">
        <f t="shared" si="5"/>
        <v>1</v>
      </c>
    </row>
    <row r="32" spans="1:29" ht="15.75" thickBot="1">
      <c r="A32" s="375"/>
      <c r="B32" s="559">
        <v>111</v>
      </c>
      <c r="C32" s="1757"/>
      <c r="D32" s="377">
        <v>100</v>
      </c>
      <c r="E32" s="553"/>
      <c r="F32" s="377">
        <f>SUMIF(99:99,E32,100:100)-SUMIF(99:99,C32,100:100)+100</f>
        <v>100</v>
      </c>
      <c r="G32" s="1804"/>
      <c r="H32" s="377">
        <f>SUMIF(99:99,G32,100:100)-SUMIF(99:99,C32,100:100)+100</f>
        <v>100</v>
      </c>
      <c r="I32" s="371"/>
      <c r="J32" s="377">
        <f>SUMIF(99:99,I32,100:100)-SUMIF(99:99,C32,100:100)+100</f>
        <v>100</v>
      </c>
      <c r="K32" s="539"/>
      <c r="L32" s="2487"/>
      <c r="M32" s="2482"/>
      <c r="N32" s="2482"/>
      <c r="O32" s="2482"/>
      <c r="P32" s="3472"/>
      <c r="Q32" s="1257">
        <f t="shared" si="11"/>
        <v>111</v>
      </c>
      <c r="R32" s="667" t="s">
        <v>14</v>
      </c>
      <c r="S32" s="668">
        <f t="shared" si="12"/>
        <v>100</v>
      </c>
      <c r="T32" s="667" t="s">
        <v>14</v>
      </c>
      <c r="U32" s="668">
        <f t="shared" si="13"/>
        <v>100</v>
      </c>
      <c r="V32" s="667" t="s">
        <v>14</v>
      </c>
      <c r="W32" s="668">
        <f t="shared" si="14"/>
        <v>100</v>
      </c>
      <c r="X32" s="1259"/>
      <c r="Y32" s="3474"/>
      <c r="Z32" s="1258">
        <f t="shared" si="15"/>
        <v>111</v>
      </c>
      <c r="AA32" s="1258">
        <f t="shared" si="3"/>
        <v>1</v>
      </c>
      <c r="AB32" s="1258">
        <f t="shared" si="4"/>
        <v>1</v>
      </c>
      <c r="AC32" s="1806">
        <f t="shared" si="5"/>
        <v>1</v>
      </c>
    </row>
    <row r="33" spans="1:29" ht="15">
      <c r="A33" s="379" t="s">
        <v>1690</v>
      </c>
      <c r="B33" s="60" t="s">
        <v>1813</v>
      </c>
      <c r="C33" s="1758"/>
      <c r="D33" s="405">
        <v>100</v>
      </c>
      <c r="E33" s="1758"/>
      <c r="F33" s="400">
        <f>SUMIF(101:101,E33,102:102)-SUMIF(101:101,C33,102:102)+100</f>
        <v>100</v>
      </c>
      <c r="G33" s="1758"/>
      <c r="H33" s="374">
        <f>SUMIF(101:101,G33,102:102)-SUMIF(101:101,C33,102:102)+100</f>
        <v>100</v>
      </c>
      <c r="I33" s="1758"/>
      <c r="J33" s="405">
        <f>SUMIF(101:101,I33,102:102)-SUMIF(101:101,C33,102:102)+100</f>
        <v>100</v>
      </c>
      <c r="K33" s="538"/>
      <c r="L33" s="2487"/>
      <c r="M33" s="2482"/>
      <c r="N33" s="2482"/>
      <c r="O33" s="2482"/>
      <c r="P33" s="3475" t="s">
        <v>1692</v>
      </c>
      <c r="Q33" s="1257" t="str">
        <f t="shared" si="11"/>
        <v>建筑类型</v>
      </c>
      <c r="R33" s="667" t="s">
        <v>14</v>
      </c>
      <c r="S33" s="668">
        <f t="shared" si="12"/>
        <v>100</v>
      </c>
      <c r="T33" s="667" t="s">
        <v>14</v>
      </c>
      <c r="U33" s="668">
        <f t="shared" si="13"/>
        <v>100</v>
      </c>
      <c r="V33" s="667" t="s">
        <v>14</v>
      </c>
      <c r="W33" s="668">
        <f t="shared" si="14"/>
        <v>100</v>
      </c>
      <c r="X33" s="1259"/>
      <c r="Y33" s="3478" t="s">
        <v>1692</v>
      </c>
      <c r="Z33" s="1258" t="str">
        <f t="shared" si="15"/>
        <v>建筑类型</v>
      </c>
      <c r="AA33" s="1258">
        <f t="shared" si="3"/>
        <v>1</v>
      </c>
      <c r="AB33" s="1258">
        <f t="shared" si="4"/>
        <v>1</v>
      </c>
      <c r="AC33" s="1806">
        <f t="shared" si="5"/>
        <v>1</v>
      </c>
    </row>
    <row r="34" spans="1:29" s="408" customFormat="1" ht="15">
      <c r="A34" s="406"/>
      <c r="B34" s="364" t="s">
        <v>1693</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76"/>
      <c r="Q34" s="531" t="str">
        <f t="shared" si="11"/>
        <v>项目建筑规模</v>
      </c>
      <c r="R34" s="669" t="s">
        <v>14</v>
      </c>
      <c r="S34" s="670" t="e">
        <f t="shared" si="12"/>
        <v>#N/A</v>
      </c>
      <c r="T34" s="669" t="s">
        <v>14</v>
      </c>
      <c r="U34" s="670" t="e">
        <f t="shared" si="13"/>
        <v>#N/A</v>
      </c>
      <c r="V34" s="669" t="s">
        <v>14</v>
      </c>
      <c r="W34" s="670" t="e">
        <f t="shared" si="14"/>
        <v>#N/A</v>
      </c>
      <c r="X34" s="671"/>
      <c r="Y34" s="3478"/>
      <c r="Z34" s="672" t="str">
        <f t="shared" si="15"/>
        <v>项目建筑规模</v>
      </c>
      <c r="AA34" s="1258" t="e">
        <f t="shared" si="3"/>
        <v>#N/A</v>
      </c>
      <c r="AB34" s="1258" t="e">
        <f t="shared" si="4"/>
        <v>#N/A</v>
      </c>
      <c r="AC34" s="1806" t="e">
        <f t="shared" si="5"/>
        <v>#N/A</v>
      </c>
    </row>
    <row r="35" spans="1:29" ht="15">
      <c r="A35" s="409"/>
      <c r="B35" s="364" t="s">
        <v>1694</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76"/>
      <c r="Q35" s="1257" t="str">
        <f t="shared" si="11"/>
        <v>建筑结构</v>
      </c>
      <c r="R35" s="667" t="s">
        <v>14</v>
      </c>
      <c r="S35" s="668">
        <f t="shared" si="12"/>
        <v>100</v>
      </c>
      <c r="T35" s="667" t="s">
        <v>14</v>
      </c>
      <c r="U35" s="668">
        <f t="shared" si="13"/>
        <v>100</v>
      </c>
      <c r="V35" s="667" t="s">
        <v>14</v>
      </c>
      <c r="W35" s="668">
        <f t="shared" si="14"/>
        <v>100</v>
      </c>
      <c r="X35" s="1259"/>
      <c r="Y35" s="3478"/>
      <c r="Z35" s="1258" t="str">
        <f t="shared" si="15"/>
        <v>建筑结构</v>
      </c>
      <c r="AA35" s="1258">
        <f t="shared" si="3"/>
        <v>1</v>
      </c>
      <c r="AB35" s="1258">
        <f t="shared" si="4"/>
        <v>1</v>
      </c>
      <c r="AC35" s="1806">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76"/>
      <c r="Q36" s="1257" t="str">
        <f t="shared" si="11"/>
        <v>公共部分装修</v>
      </c>
      <c r="R36" s="667" t="s">
        <v>14</v>
      </c>
      <c r="S36" s="668">
        <f t="shared" si="12"/>
        <v>100</v>
      </c>
      <c r="T36" s="667" t="s">
        <v>14</v>
      </c>
      <c r="U36" s="668">
        <f t="shared" si="13"/>
        <v>100</v>
      </c>
      <c r="V36" s="667" t="s">
        <v>14</v>
      </c>
      <c r="W36" s="668">
        <f t="shared" si="14"/>
        <v>100</v>
      </c>
      <c r="X36" s="1259"/>
      <c r="Y36" s="3478"/>
      <c r="Z36" s="1258" t="str">
        <f t="shared" si="15"/>
        <v>公共部分装修</v>
      </c>
      <c r="AA36" s="1258">
        <f t="shared" si="3"/>
        <v>1</v>
      </c>
      <c r="AB36" s="1258">
        <f t="shared" si="4"/>
        <v>1</v>
      </c>
      <c r="AC36" s="1806">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76"/>
      <c r="Q37" s="1257" t="str">
        <f t="shared" si="11"/>
        <v>成新度</v>
      </c>
      <c r="R37" s="667" t="s">
        <v>14</v>
      </c>
      <c r="S37" s="668" t="e">
        <f t="shared" si="12"/>
        <v>#N/A</v>
      </c>
      <c r="T37" s="667" t="s">
        <v>14</v>
      </c>
      <c r="U37" s="668" t="e">
        <f t="shared" si="13"/>
        <v>#N/A</v>
      </c>
      <c r="V37" s="667" t="s">
        <v>14</v>
      </c>
      <c r="W37" s="668" t="e">
        <f t="shared" si="14"/>
        <v>#N/A</v>
      </c>
      <c r="X37" s="1259"/>
      <c r="Y37" s="3478"/>
      <c r="Z37" s="1258" t="str">
        <f t="shared" si="15"/>
        <v>成新度</v>
      </c>
      <c r="AA37" s="1258" t="e">
        <f t="shared" si="3"/>
        <v>#N/A</v>
      </c>
      <c r="AB37" s="1258" t="e">
        <f t="shared" si="4"/>
        <v>#N/A</v>
      </c>
      <c r="AC37" s="1806" t="e">
        <f t="shared" si="5"/>
        <v>#N/A</v>
      </c>
    </row>
    <row r="38" spans="1:29" s="102" customFormat="1" ht="15">
      <c r="A38" s="410"/>
      <c r="B38" s="364" t="s">
        <v>1814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4"/>
      <c r="N38" s="2434"/>
      <c r="O38" s="2434"/>
      <c r="P38" s="3476"/>
      <c r="Q38" s="530" t="str">
        <f t="shared" si="11"/>
        <v>写字楼等级</v>
      </c>
      <c r="R38" s="664" t="s">
        <v>14</v>
      </c>
      <c r="S38" s="665">
        <f t="shared" si="12"/>
        <v>100</v>
      </c>
      <c r="T38" s="664" t="s">
        <v>14</v>
      </c>
      <c r="U38" s="665">
        <f t="shared" si="13"/>
        <v>100</v>
      </c>
      <c r="V38" s="664" t="s">
        <v>14</v>
      </c>
      <c r="W38" s="665">
        <f t="shared" si="14"/>
        <v>100</v>
      </c>
      <c r="X38" s="666"/>
      <c r="Y38" s="3478"/>
      <c r="Z38" s="50" t="str">
        <f t="shared" si="15"/>
        <v>写字楼等级</v>
      </c>
      <c r="AA38" s="50">
        <f t="shared" si="3"/>
        <v>1</v>
      </c>
      <c r="AB38" s="50">
        <f t="shared" si="4"/>
        <v>1</v>
      </c>
      <c r="AC38" s="796">
        <f t="shared" si="5"/>
        <v>1</v>
      </c>
    </row>
    <row r="39" spans="1:29" ht="15">
      <c r="A39" s="409"/>
      <c r="B39" s="364" t="s">
        <v>1815</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76" t="s">
        <v>1692</v>
      </c>
      <c r="Q39" s="1257" t="str">
        <f t="shared" si="11"/>
        <v>物业管理</v>
      </c>
      <c r="R39" s="667" t="s">
        <v>14</v>
      </c>
      <c r="S39" s="668">
        <f t="shared" si="12"/>
        <v>100</v>
      </c>
      <c r="T39" s="667" t="s">
        <v>14</v>
      </c>
      <c r="U39" s="668">
        <f t="shared" si="13"/>
        <v>100</v>
      </c>
      <c r="V39" s="667" t="s">
        <v>14</v>
      </c>
      <c r="W39" s="668">
        <f t="shared" si="14"/>
        <v>100</v>
      </c>
      <c r="X39" s="1259"/>
      <c r="Y39" s="3478" t="s">
        <v>1692</v>
      </c>
      <c r="Z39" s="1258" t="str">
        <f t="shared" si="15"/>
        <v>物业管理</v>
      </c>
      <c r="AA39" s="1258">
        <f t="shared" si="3"/>
        <v>1</v>
      </c>
      <c r="AB39" s="1258">
        <f t="shared" si="4"/>
        <v>1</v>
      </c>
      <c r="AC39" s="1806">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76"/>
      <c r="Q40" s="1257" t="str">
        <f t="shared" si="11"/>
        <v>市政基础设施</v>
      </c>
      <c r="R40" s="667" t="s">
        <v>14</v>
      </c>
      <c r="S40" s="668">
        <f t="shared" si="12"/>
        <v>100</v>
      </c>
      <c r="T40" s="667" t="s">
        <v>14</v>
      </c>
      <c r="U40" s="668">
        <f t="shared" si="13"/>
        <v>100</v>
      </c>
      <c r="V40" s="667" t="s">
        <v>14</v>
      </c>
      <c r="W40" s="668">
        <f t="shared" si="14"/>
        <v>100</v>
      </c>
      <c r="X40" s="1259"/>
      <c r="Y40" s="3478"/>
      <c r="Z40" s="1258" t="str">
        <f t="shared" si="15"/>
        <v>市政基础设施</v>
      </c>
      <c r="AA40" s="1258">
        <f t="shared" si="3"/>
        <v>1</v>
      </c>
      <c r="AB40" s="1258">
        <f t="shared" si="4"/>
        <v>1</v>
      </c>
      <c r="AC40" s="1806">
        <f t="shared" si="5"/>
        <v>1</v>
      </c>
    </row>
    <row r="41" spans="1:29" ht="15">
      <c r="A41" s="409"/>
      <c r="B41" s="364" t="s">
        <v>1785</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76"/>
      <c r="Q41" s="1257" t="str">
        <f t="shared" si="11"/>
        <v>层高</v>
      </c>
      <c r="R41" s="667" t="s">
        <v>14</v>
      </c>
      <c r="S41" s="668">
        <f t="shared" si="12"/>
        <v>100</v>
      </c>
      <c r="T41" s="667" t="s">
        <v>14</v>
      </c>
      <c r="U41" s="668">
        <f t="shared" si="13"/>
        <v>100</v>
      </c>
      <c r="V41" s="667" t="s">
        <v>14</v>
      </c>
      <c r="W41" s="668">
        <f t="shared" si="14"/>
        <v>100</v>
      </c>
      <c r="X41" s="1259"/>
      <c r="Y41" s="3478"/>
      <c r="Z41" s="1258" t="str">
        <f t="shared" si="15"/>
        <v>层高</v>
      </c>
      <c r="AA41" s="1258">
        <f t="shared" si="3"/>
        <v>1</v>
      </c>
      <c r="AB41" s="1258">
        <f t="shared" si="4"/>
        <v>1</v>
      </c>
      <c r="AC41" s="1806">
        <f t="shared" si="5"/>
        <v>1</v>
      </c>
    </row>
    <row r="42" spans="1:29" s="408" customFormat="1" ht="15">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76"/>
      <c r="Q42" s="531" t="str">
        <f t="shared" si="11"/>
        <v>单套建筑面积</v>
      </c>
      <c r="R42" s="669" t="s">
        <v>14</v>
      </c>
      <c r="S42" s="670">
        <f t="shared" si="12"/>
        <v>100</v>
      </c>
      <c r="T42" s="669" t="s">
        <v>14</v>
      </c>
      <c r="U42" s="670">
        <f t="shared" si="13"/>
        <v>100</v>
      </c>
      <c r="V42" s="669" t="s">
        <v>14</v>
      </c>
      <c r="W42" s="670">
        <f t="shared" si="14"/>
        <v>100</v>
      </c>
      <c r="X42" s="671"/>
      <c r="Y42" s="3478"/>
      <c r="Z42" s="672" t="str">
        <f t="shared" si="15"/>
        <v>单套建筑面积</v>
      </c>
      <c r="AA42" s="1258">
        <f t="shared" si="3"/>
        <v>1</v>
      </c>
      <c r="AB42" s="1258">
        <f t="shared" si="4"/>
        <v>1</v>
      </c>
      <c r="AC42" s="1806">
        <f t="shared" si="5"/>
        <v>1</v>
      </c>
    </row>
    <row r="43" spans="1:29" ht="15">
      <c r="A43" s="409"/>
      <c r="B43" s="364" t="s">
        <v>1788</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76"/>
      <c r="Q43" s="1257" t="str">
        <f t="shared" si="11"/>
        <v>内部装修</v>
      </c>
      <c r="R43" s="667" t="s">
        <v>14</v>
      </c>
      <c r="S43" s="668">
        <f t="shared" si="12"/>
        <v>100</v>
      </c>
      <c r="T43" s="667" t="s">
        <v>14</v>
      </c>
      <c r="U43" s="668">
        <f t="shared" si="13"/>
        <v>100</v>
      </c>
      <c r="V43" s="667" t="s">
        <v>14</v>
      </c>
      <c r="W43" s="668">
        <f t="shared" si="14"/>
        <v>100</v>
      </c>
      <c r="X43" s="1259"/>
      <c r="Y43" s="3478"/>
      <c r="Z43" s="1258" t="str">
        <f t="shared" si="15"/>
        <v>内部装修</v>
      </c>
      <c r="AA43" s="1258">
        <f t="shared" si="3"/>
        <v>1</v>
      </c>
      <c r="AB43" s="1258">
        <f t="shared" si="4"/>
        <v>1</v>
      </c>
      <c r="AC43" s="1806">
        <f t="shared" si="5"/>
        <v>1</v>
      </c>
    </row>
    <row r="44" spans="1:29" ht="15">
      <c r="A44" s="409"/>
      <c r="B44" s="364" t="s">
        <v>1703</v>
      </c>
      <c r="C44" s="399"/>
      <c r="D44" s="374">
        <v>100</v>
      </c>
      <c r="E44" s="1754"/>
      <c r="F44" s="400">
        <f>SUMIF(125:125,E44,126:126)-SUMIF(125:125,C44,126:126)+100</f>
        <v>100</v>
      </c>
      <c r="G44" s="1754"/>
      <c r="H44" s="374">
        <f>SUMIF(125:125,G44,126:126)-SUMIF(125:125,C44,126:126)+100</f>
        <v>100</v>
      </c>
      <c r="I44" s="1754"/>
      <c r="J44" s="374">
        <f>SUMIF(125:125,I44,126:126)-SUMIF(125:125,C44,126:126)+100</f>
        <v>100</v>
      </c>
      <c r="K44" s="538"/>
      <c r="L44" s="2487"/>
      <c r="M44" s="2482"/>
      <c r="N44" s="2482"/>
      <c r="O44" s="2482"/>
      <c r="P44" s="3476"/>
      <c r="Q44" s="1257" t="str">
        <f t="shared" si="11"/>
        <v>内部装修维护情况</v>
      </c>
      <c r="R44" s="667" t="s">
        <v>14</v>
      </c>
      <c r="S44" s="668">
        <f t="shared" si="12"/>
        <v>100</v>
      </c>
      <c r="T44" s="667" t="s">
        <v>14</v>
      </c>
      <c r="U44" s="668">
        <f t="shared" si="13"/>
        <v>100</v>
      </c>
      <c r="V44" s="667" t="s">
        <v>14</v>
      </c>
      <c r="W44" s="668">
        <f t="shared" si="14"/>
        <v>100</v>
      </c>
      <c r="X44" s="1259"/>
      <c r="Y44" s="3478"/>
      <c r="Z44" s="1258" t="str">
        <f t="shared" si="15"/>
        <v>内部装修维护情况</v>
      </c>
      <c r="AA44" s="1258">
        <f t="shared" si="3"/>
        <v>1</v>
      </c>
      <c r="AB44" s="1258">
        <f t="shared" si="4"/>
        <v>1</v>
      </c>
      <c r="AC44" s="1806">
        <f t="shared" si="5"/>
        <v>1</v>
      </c>
    </row>
    <row r="45" spans="1:29" s="102" customFormat="1" ht="15">
      <c r="A45" s="410"/>
      <c r="B45" s="1060">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4"/>
      <c r="N45" s="2434"/>
      <c r="O45" s="2434"/>
      <c r="P45" s="3476"/>
      <c r="Q45" s="530">
        <f t="shared" si="11"/>
        <v>111</v>
      </c>
      <c r="R45" s="664" t="s">
        <v>14</v>
      </c>
      <c r="S45" s="665">
        <f t="shared" si="12"/>
        <v>100</v>
      </c>
      <c r="T45" s="664" t="s">
        <v>14</v>
      </c>
      <c r="U45" s="665">
        <f t="shared" si="13"/>
        <v>100</v>
      </c>
      <c r="V45" s="664" t="s">
        <v>14</v>
      </c>
      <c r="W45" s="665">
        <f t="shared" si="14"/>
        <v>100</v>
      </c>
      <c r="X45" s="666"/>
      <c r="Y45" s="3478"/>
      <c r="Z45" s="50">
        <f t="shared" si="15"/>
        <v>111</v>
      </c>
      <c r="AA45" s="50">
        <f t="shared" si="3"/>
        <v>1</v>
      </c>
      <c r="AB45" s="50">
        <f t="shared" si="4"/>
        <v>1</v>
      </c>
      <c r="AC45" s="796">
        <f t="shared" si="5"/>
        <v>1</v>
      </c>
    </row>
    <row r="46" spans="1:29" ht="15">
      <c r="A46" s="409"/>
      <c r="B46" s="1060">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76"/>
      <c r="Q46" s="1257">
        <f t="shared" si="11"/>
        <v>111</v>
      </c>
      <c r="R46" s="667" t="s">
        <v>14</v>
      </c>
      <c r="S46" s="668">
        <f t="shared" si="12"/>
        <v>100</v>
      </c>
      <c r="T46" s="667" t="s">
        <v>14</v>
      </c>
      <c r="U46" s="668">
        <f t="shared" si="13"/>
        <v>100</v>
      </c>
      <c r="V46" s="667" t="s">
        <v>14</v>
      </c>
      <c r="W46" s="668">
        <f t="shared" si="14"/>
        <v>100</v>
      </c>
      <c r="X46" s="1259"/>
      <c r="Y46" s="3478"/>
      <c r="Z46" s="1258">
        <f t="shared" si="15"/>
        <v>111</v>
      </c>
      <c r="AA46" s="1258">
        <f t="shared" si="3"/>
        <v>1</v>
      </c>
      <c r="AB46" s="1258">
        <f t="shared" si="4"/>
        <v>1</v>
      </c>
      <c r="AC46" s="1806">
        <f t="shared" si="5"/>
        <v>1</v>
      </c>
    </row>
    <row r="47" spans="1:29" ht="15.75" thickBot="1">
      <c r="A47" s="415"/>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77"/>
      <c r="Q47" s="1257">
        <f t="shared" si="11"/>
        <v>111</v>
      </c>
      <c r="R47" s="667" t="s">
        <v>14</v>
      </c>
      <c r="S47" s="668">
        <f t="shared" si="12"/>
        <v>100</v>
      </c>
      <c r="T47" s="667" t="s">
        <v>14</v>
      </c>
      <c r="U47" s="668">
        <f t="shared" si="13"/>
        <v>100</v>
      </c>
      <c r="V47" s="667" t="s">
        <v>14</v>
      </c>
      <c r="W47" s="668">
        <f t="shared" si="14"/>
        <v>100</v>
      </c>
      <c r="X47" s="1259"/>
      <c r="Y47" s="3479"/>
      <c r="Z47" s="1258">
        <f t="shared" si="15"/>
        <v>111</v>
      </c>
      <c r="AA47" s="1258">
        <f t="shared" si="3"/>
        <v>1</v>
      </c>
      <c r="AB47" s="1258">
        <f t="shared" si="4"/>
        <v>1</v>
      </c>
      <c r="AC47" s="1806">
        <f t="shared" si="5"/>
        <v>1</v>
      </c>
    </row>
    <row r="48" spans="1:29" ht="15">
      <c r="A48" s="416" t="s">
        <v>1704</v>
      </c>
      <c r="B48" s="417"/>
      <c r="C48" s="1075" t="s">
        <v>0</v>
      </c>
      <c r="D48" s="418"/>
      <c r="E48" s="419"/>
      <c r="F48" s="420"/>
      <c r="G48" s="421"/>
      <c r="H48" s="422"/>
      <c r="I48" s="419"/>
      <c r="J48" s="422"/>
      <c r="K48" s="674"/>
      <c r="L48" s="2489"/>
      <c r="M48" s="2482"/>
      <c r="N48" s="2482"/>
      <c r="O48" s="2482"/>
      <c r="P48" s="3480" t="str">
        <f>A48</f>
        <v>成交单价（元/平方米）</v>
      </c>
      <c r="Q48" s="3466"/>
      <c r="R48" s="3467">
        <f>E48</f>
        <v>0</v>
      </c>
      <c r="S48" s="3467"/>
      <c r="T48" s="3467">
        <f>G48</f>
        <v>0</v>
      </c>
      <c r="U48" s="3467"/>
      <c r="V48" s="3467">
        <f>I48</f>
        <v>0</v>
      </c>
      <c r="W48" s="3467"/>
      <c r="X48" s="385"/>
      <c r="Y48" s="673"/>
      <c r="Z48" s="385"/>
      <c r="AA48" s="385"/>
      <c r="AB48" s="385"/>
      <c r="AC48" s="555"/>
    </row>
    <row r="49" spans="1:29" ht="15.75" thickBot="1">
      <c r="A49" s="423" t="s">
        <v>1789</v>
      </c>
      <c r="B49" s="424"/>
      <c r="C49" s="1076" t="e">
        <f>R50</f>
        <v>#DIV/0!</v>
      </c>
      <c r="D49" s="2135" t="s">
        <v>2131</v>
      </c>
      <c r="E49" s="1077" t="e">
        <f>R49</f>
        <v>#DIV/0!</v>
      </c>
      <c r="F49" s="2136"/>
      <c r="G49" s="1076" t="e">
        <f>T49</f>
        <v>#DIV/0!</v>
      </c>
      <c r="H49" s="2136"/>
      <c r="I49" s="1077" t="e">
        <f>V49</f>
        <v>#DIV/0!</v>
      </c>
      <c r="J49" s="2136"/>
      <c r="K49" s="2138">
        <f>F49+H49+J49</f>
        <v>0</v>
      </c>
      <c r="L49" s="2489"/>
      <c r="M49" s="2482"/>
      <c r="N49" s="2482"/>
      <c r="O49" s="2482"/>
      <c r="P49" s="3480"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385"/>
      <c r="Y49" s="385"/>
      <c r="Z49" s="385"/>
      <c r="AA49" s="385"/>
      <c r="AB49" s="385"/>
      <c r="AC49" s="555"/>
    </row>
    <row r="50" spans="1:29" ht="15.75" thickBot="1">
      <c r="A50" s="427" t="s">
        <v>1790</v>
      </c>
      <c r="B50" s="428"/>
      <c r="C50" s="351" t="e">
        <f>R50</f>
        <v>#DIV/0!</v>
      </c>
      <c r="D50" s="351"/>
      <c r="E50" s="351"/>
      <c r="F50" s="351"/>
      <c r="G50" s="351"/>
      <c r="H50" s="351"/>
      <c r="I50" s="351"/>
      <c r="J50" s="429"/>
      <c r="K50" s="675"/>
      <c r="L50" s="2489"/>
      <c r="M50" s="2482"/>
      <c r="N50" s="2482"/>
      <c r="O50" s="2482"/>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1792"/>
      <c r="Y50" s="1792"/>
      <c r="Z50" s="1792"/>
      <c r="AA50" s="1792"/>
      <c r="AB50" s="1792"/>
      <c r="AC50" s="1793"/>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1791</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1792</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1793</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8" t="s">
        <v>1794</v>
      </c>
      <c r="B58" s="385"/>
      <c r="C58" s="659"/>
      <c r="D58" s="659"/>
      <c r="E58" s="659"/>
      <c r="F58" s="660"/>
      <c r="G58" s="660"/>
      <c r="H58" s="659"/>
      <c r="I58" s="659"/>
      <c r="J58" s="659"/>
      <c r="K58" s="661"/>
      <c r="L58" s="882"/>
      <c r="M58" s="880"/>
      <c r="N58" s="2532"/>
      <c r="O58" s="2532"/>
      <c r="P58" s="2521"/>
      <c r="Q58" s="2503"/>
      <c r="R58" s="2482"/>
      <c r="S58" s="2482"/>
      <c r="T58" s="2482"/>
      <c r="U58" s="2482"/>
      <c r="V58" s="2482"/>
      <c r="W58" s="2482"/>
      <c r="X58" s="2482"/>
      <c r="Y58" s="2482"/>
      <c r="Z58" s="2482"/>
      <c r="AA58" s="2482"/>
      <c r="AB58" s="2482"/>
      <c r="AC58" s="2482"/>
    </row>
    <row r="59" spans="1:29" s="442" customFormat="1" ht="15">
      <c r="A59" s="440" t="s">
        <v>1675</v>
      </c>
      <c r="B59" s="441"/>
      <c r="C59" s="1097" t="str">
        <f>YEAR(C7)&amp;"-"&amp;MONTH(C7)</f>
        <v>2025-8</v>
      </c>
      <c r="D59" s="1098">
        <f>EDATE(C59,-1)</f>
        <v>45839</v>
      </c>
      <c r="E59" s="1098">
        <f>EDATE(D59,-1)</f>
        <v>45809</v>
      </c>
      <c r="F59" s="1098">
        <f t="shared" ref="F59:O59" si="16">EDATE(E59,-1)</f>
        <v>45778</v>
      </c>
      <c r="G59" s="1098">
        <f t="shared" si="16"/>
        <v>45748</v>
      </c>
      <c r="H59" s="1098">
        <f t="shared" si="16"/>
        <v>45717</v>
      </c>
      <c r="I59" s="1098">
        <f t="shared" si="16"/>
        <v>45689</v>
      </c>
      <c r="J59" s="1098">
        <f t="shared" si="16"/>
        <v>45658</v>
      </c>
      <c r="K59" s="1098">
        <f t="shared" si="16"/>
        <v>45627</v>
      </c>
      <c r="L59" s="1098">
        <f t="shared" si="16"/>
        <v>45597</v>
      </c>
      <c r="M59" s="1098">
        <f t="shared" si="16"/>
        <v>45566</v>
      </c>
      <c r="N59" s="1098">
        <f t="shared" si="16"/>
        <v>45536</v>
      </c>
      <c r="O59" s="1098">
        <f t="shared" si="16"/>
        <v>45505</v>
      </c>
      <c r="P59" s="2522"/>
      <c r="Q59" s="2505"/>
      <c r="R59" s="2505"/>
      <c r="S59" s="2505"/>
      <c r="T59" s="2505"/>
      <c r="U59" s="2505"/>
      <c r="V59" s="2505"/>
      <c r="W59" s="2505"/>
      <c r="X59" s="2505"/>
      <c r="Y59" s="2505"/>
      <c r="Z59" s="2505"/>
      <c r="AA59" s="2505"/>
      <c r="AB59" s="2505"/>
      <c r="AC59" s="2505"/>
    </row>
    <row r="60" spans="1:29" s="102" customFormat="1" ht="15">
      <c r="A60" s="443"/>
      <c r="B60" s="444"/>
      <c r="C60" s="1096">
        <v>100</v>
      </c>
      <c r="D60" s="446"/>
      <c r="E60" s="446"/>
      <c r="F60" s="446"/>
      <c r="G60" s="446"/>
      <c r="H60" s="446"/>
      <c r="I60" s="446"/>
      <c r="J60" s="446"/>
      <c r="K60" s="446"/>
      <c r="L60" s="446"/>
      <c r="M60" s="447"/>
      <c r="N60" s="446"/>
      <c r="O60" s="447"/>
      <c r="P60" s="2523"/>
      <c r="Q60" s="2434"/>
      <c r="R60" s="2434"/>
      <c r="S60" s="2434"/>
      <c r="T60" s="2434"/>
      <c r="U60" s="2434"/>
      <c r="V60" s="2434"/>
      <c r="W60" s="2434"/>
      <c r="X60" s="2434"/>
      <c r="Y60" s="2434"/>
      <c r="Z60" s="2434"/>
      <c r="AA60" s="2434"/>
      <c r="AB60" s="2434"/>
      <c r="AC60" s="2434"/>
    </row>
    <row r="61" spans="1:29" s="102" customFormat="1" ht="15.75" thickBot="1">
      <c r="A61" s="449" t="s">
        <v>1712</v>
      </c>
      <c r="B61" s="450"/>
      <c r="C61" s="451"/>
      <c r="D61" s="452"/>
      <c r="E61" s="452"/>
      <c r="F61" s="452"/>
      <c r="G61" s="452"/>
      <c r="H61" s="452"/>
      <c r="I61" s="452"/>
      <c r="J61" s="452"/>
      <c r="K61" s="452"/>
      <c r="L61" s="452"/>
      <c r="M61" s="453"/>
      <c r="N61" s="452"/>
      <c r="O61" s="453"/>
      <c r="P61" s="2523"/>
      <c r="Q61" s="2503"/>
      <c r="R61" s="2434"/>
      <c r="S61" s="2434"/>
      <c r="T61" s="2434"/>
      <c r="U61" s="2434"/>
      <c r="V61" s="2434"/>
      <c r="W61" s="2434"/>
      <c r="X61" s="2434"/>
      <c r="Y61" s="2434"/>
      <c r="Z61" s="2434"/>
      <c r="AA61" s="2434"/>
      <c r="AB61" s="2434"/>
      <c r="AC61" s="2434"/>
    </row>
    <row r="62" spans="1:29" s="102" customFormat="1" ht="15">
      <c r="A62" s="455" t="s">
        <v>1677</v>
      </c>
      <c r="B62" s="444"/>
      <c r="C62" s="456" t="s">
        <v>1772</v>
      </c>
      <c r="D62" s="31"/>
      <c r="E62" s="31"/>
      <c r="F62" s="31"/>
      <c r="G62" s="31"/>
      <c r="H62" s="31"/>
      <c r="I62" s="31"/>
      <c r="J62" s="31"/>
      <c r="K62" s="31"/>
      <c r="L62" s="457"/>
      <c r="M62" s="458"/>
      <c r="N62" s="2515"/>
      <c r="O62" s="2515"/>
      <c r="P62" s="2524"/>
      <c r="Q62" s="2503"/>
      <c r="R62" s="2434"/>
      <c r="S62" s="2434"/>
      <c r="T62" s="2434"/>
      <c r="U62" s="2434"/>
      <c r="V62" s="2434"/>
      <c r="W62" s="2434"/>
      <c r="X62" s="2434"/>
      <c r="Y62" s="2434"/>
      <c r="Z62" s="2434"/>
      <c r="AA62" s="2434"/>
      <c r="AB62" s="2434"/>
      <c r="AC62" s="2434"/>
    </row>
    <row r="63" spans="1:29" s="102" customFormat="1" ht="15.75" thickBot="1">
      <c r="A63" s="455"/>
      <c r="B63" s="444"/>
      <c r="C63" s="445">
        <v>100</v>
      </c>
      <c r="D63" s="446"/>
      <c r="E63" s="446"/>
      <c r="F63" s="446"/>
      <c r="G63" s="446"/>
      <c r="H63" s="446"/>
      <c r="I63" s="446"/>
      <c r="J63" s="446"/>
      <c r="K63" s="446"/>
      <c r="L63" s="446"/>
      <c r="M63" s="448"/>
      <c r="N63" s="2515"/>
      <c r="O63" s="2515"/>
      <c r="P63" s="2523"/>
      <c r="Q63" s="2503"/>
      <c r="R63" s="2434"/>
      <c r="S63" s="2434"/>
      <c r="T63" s="2434"/>
      <c r="U63" s="2434"/>
      <c r="V63" s="2434"/>
      <c r="W63" s="2434"/>
      <c r="X63" s="2434"/>
      <c r="Y63" s="2434"/>
      <c r="Z63" s="2434"/>
      <c r="AA63" s="2434"/>
      <c r="AB63" s="2434"/>
      <c r="AC63" s="2434"/>
    </row>
    <row r="64" spans="1:29">
      <c r="A64" s="379" t="s">
        <v>1715</v>
      </c>
      <c r="B64" s="460" t="s">
        <v>1681</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1684</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1685</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1686</v>
      </c>
      <c r="B77" s="460" t="s">
        <v>1817</v>
      </c>
      <c r="C77" s="504" t="s">
        <v>1717</v>
      </c>
      <c r="D77" s="504" t="s">
        <v>1718</v>
      </c>
      <c r="E77" s="504" t="s">
        <v>1719</v>
      </c>
      <c r="F77" s="504" t="s">
        <v>1720</v>
      </c>
      <c r="G77" s="504" t="s">
        <v>1721</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1722</v>
      </c>
      <c r="C79" s="509" t="s">
        <v>1717</v>
      </c>
      <c r="D79" s="509" t="s">
        <v>1718</v>
      </c>
      <c r="E79" s="509" t="s">
        <v>1719</v>
      </c>
      <c r="F79" s="509" t="s">
        <v>1720</v>
      </c>
      <c r="G79" s="509" t="s">
        <v>1721</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1723</v>
      </c>
      <c r="C81" s="509" t="s">
        <v>1717</v>
      </c>
      <c r="D81" s="509" t="s">
        <v>1718</v>
      </c>
      <c r="E81" s="509" t="s">
        <v>1719</v>
      </c>
      <c r="F81" s="509" t="s">
        <v>1720</v>
      </c>
      <c r="G81" s="509" t="s">
        <v>1721</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1809</v>
      </c>
      <c r="C83" s="581" t="s">
        <v>1795</v>
      </c>
      <c r="D83" s="581" t="s">
        <v>1796</v>
      </c>
      <c r="E83" s="581" t="s">
        <v>1797</v>
      </c>
      <c r="F83" s="581" t="s">
        <v>1798</v>
      </c>
      <c r="G83" s="581" t="s">
        <v>1799</v>
      </c>
      <c r="H83" s="470"/>
      <c r="I83" s="470"/>
      <c r="J83" s="470"/>
      <c r="K83" s="470"/>
      <c r="L83" s="470"/>
      <c r="M83" s="1057"/>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1818</v>
      </c>
      <c r="C85" s="509" t="s">
        <v>1717</v>
      </c>
      <c r="D85" s="509" t="s">
        <v>1718</v>
      </c>
      <c r="E85" s="509" t="s">
        <v>1719</v>
      </c>
      <c r="F85" s="509" t="s">
        <v>1720</v>
      </c>
      <c r="G85" s="509" t="s">
        <v>1721</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1819</v>
      </c>
      <c r="C87" s="485"/>
      <c r="D87" s="485"/>
      <c r="E87" s="485"/>
      <c r="F87" s="485"/>
      <c r="G87" s="485"/>
      <c r="H87" s="485"/>
      <c r="I87" s="485"/>
      <c r="J87" s="485"/>
      <c r="K87" s="485"/>
      <c r="L87" s="510"/>
      <c r="M87" s="511"/>
      <c r="N87" s="2515"/>
      <c r="O87" s="2515"/>
      <c r="P87" s="2525"/>
      <c r="Q87" s="2503"/>
      <c r="R87" s="2434"/>
      <c r="S87" s="2434"/>
      <c r="T87" s="2434"/>
      <c r="U87" s="2434"/>
      <c r="V87" s="2434"/>
      <c r="W87" s="2434"/>
      <c r="X87" s="2434"/>
      <c r="Y87" s="2434"/>
      <c r="Z87" s="2434"/>
      <c r="AA87" s="2434"/>
      <c r="AB87" s="2434"/>
      <c r="AC87" s="2434"/>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4"/>
      <c r="S88" s="2434"/>
      <c r="T88" s="2434"/>
      <c r="U88" s="2434"/>
      <c r="V88" s="2434"/>
      <c r="W88" s="2434"/>
      <c r="X88" s="2434"/>
      <c r="Y88" s="2434"/>
      <c r="Z88" s="2434"/>
      <c r="AA88" s="2434"/>
      <c r="AB88" s="2434"/>
      <c r="AC88" s="2434"/>
    </row>
    <row r="89" spans="1:29" s="102" customFormat="1" ht="15.75" thickTop="1">
      <c r="A89" s="370"/>
      <c r="B89" s="469" t="str">
        <f>B27</f>
        <v>楼层</v>
      </c>
      <c r="C89" s="485"/>
      <c r="D89" s="485"/>
      <c r="E89" s="485"/>
      <c r="F89" s="1774"/>
      <c r="G89" s="485"/>
      <c r="H89" s="485"/>
      <c r="I89" s="485"/>
      <c r="J89" s="485"/>
      <c r="K89" s="485"/>
      <c r="L89" s="485"/>
      <c r="M89" s="511"/>
      <c r="N89" s="2515"/>
      <c r="O89" s="2515"/>
      <c r="P89" s="2525"/>
      <c r="Q89" s="2503"/>
      <c r="R89" s="2434"/>
      <c r="S89" s="2434"/>
      <c r="T89" s="2434"/>
      <c r="U89" s="2434"/>
      <c r="V89" s="2434"/>
      <c r="W89" s="2434"/>
      <c r="X89" s="2434"/>
      <c r="Y89" s="2434"/>
      <c r="Z89" s="2434"/>
      <c r="AA89" s="2434"/>
      <c r="AB89" s="2434"/>
      <c r="AC89" s="2434"/>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4"/>
      <c r="S90" s="2434"/>
      <c r="T90" s="2434"/>
      <c r="U90" s="2434"/>
      <c r="V90" s="2434"/>
      <c r="W90" s="2434"/>
      <c r="X90" s="2434"/>
      <c r="Y90" s="2434"/>
      <c r="Z90" s="2434"/>
      <c r="AA90" s="2434"/>
      <c r="AB90" s="2434"/>
      <c r="AC90" s="2434"/>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1690</v>
      </c>
      <c r="B101" s="460" t="s">
        <v>1732</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7"/>
      <c r="B103" s="469" t="s">
        <v>1733</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1734</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1736</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1186</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1820</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1737</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1738</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1821</v>
      </c>
      <c r="C119" s="513"/>
      <c r="D119" s="513"/>
      <c r="E119" s="513"/>
      <c r="F119" s="513"/>
      <c r="G119" s="513"/>
      <c r="H119" s="513"/>
      <c r="I119" s="513"/>
      <c r="J119" s="513"/>
      <c r="K119" s="513"/>
      <c r="L119" s="1810"/>
      <c r="M119" s="1811"/>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1804</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1740</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1656</v>
      </c>
      <c r="B1" s="1802" t="s">
        <v>1822</v>
      </c>
      <c r="C1" s="1135" t="s">
        <v>1658</v>
      </c>
      <c r="D1" s="1136"/>
      <c r="E1" s="3125"/>
      <c r="F1" s="1729"/>
      <c r="G1" s="1146" t="s">
        <v>1763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1458</v>
      </c>
      <c r="B2" s="1079" t="b">
        <f>IF(E1="项目模式",IF(C2="——",ROUND(C43*D3/10000,0),ROUND(C43*D3/10000,0)-D2),IF(E1="单套模式",IF(C2="——",ROUND(C43*D3/10000,4),ROUND(C43*D3/10000,4)-D2)))</f>
        <v>0</v>
      </c>
      <c r="C2" s="1731"/>
      <c r="D2" s="848" t="e">
        <f ca="1">IF(E1="项目模式",SUMIF(INDIRECT("'"&amp;F2&amp;"'"&amp;"!A:A"),"承租人权益价值",INDIRECT("'"&amp;F2&amp;"'"&amp;"!c:c")),SUMIF(INDIRECT("'"&amp;F2&amp;"'"&amp;"!A:A"),"承租人权益价值（单套）",INDIRECT("'"&amp;F2&amp;"'"&amp;"!c:c")))</f>
        <v>#REF!</v>
      </c>
      <c r="E2" s="1732" t="s">
        <v>1459</v>
      </c>
      <c r="F2" s="1733"/>
      <c r="G2" s="849"/>
      <c r="H2" s="849"/>
      <c r="I2" s="849"/>
      <c r="J2" s="849"/>
      <c r="K2" s="849"/>
      <c r="L2" s="852"/>
      <c r="M2" s="853"/>
      <c r="N2" s="853"/>
      <c r="O2" s="853"/>
      <c r="P2" s="341"/>
      <c r="Q2" s="341"/>
      <c r="R2" s="341"/>
      <c r="S2" s="341"/>
      <c r="T2" s="341"/>
      <c r="U2" s="341"/>
      <c r="V2" s="341"/>
      <c r="W2" s="341"/>
      <c r="X2" s="341"/>
      <c r="Y2" s="341"/>
      <c r="Z2" s="341"/>
      <c r="AA2" s="341"/>
      <c r="AB2" s="341"/>
      <c r="AC2" s="663"/>
    </row>
    <row r="3" spans="1:29" s="342" customFormat="1" ht="28.5" customHeight="1" thickBot="1">
      <c r="A3" s="195" t="s">
        <v>1460</v>
      </c>
      <c r="B3" s="536">
        <f>IF(C2="——",C43,ROUND(B2*10000/D3,0))</f>
        <v>0</v>
      </c>
      <c r="C3" s="344" t="s">
        <v>1764</v>
      </c>
      <c r="D3" s="343">
        <f>IF(D1="",'数据-汇总表'!E3,SUMIF('数据-汇总表'!$C19:$C33,D1,'数据-汇总表'!$E19:$E33))</f>
        <v>4179.0200000000004</v>
      </c>
      <c r="E3" s="849"/>
      <c r="F3" s="850"/>
      <c r="G3" s="849"/>
      <c r="H3" s="849"/>
      <c r="I3" s="849"/>
      <c r="J3" s="849"/>
      <c r="K3" s="851"/>
      <c r="L3" s="852"/>
      <c r="M3" s="853"/>
      <c r="N3" s="853"/>
      <c r="O3" s="853"/>
      <c r="P3" s="341"/>
      <c r="Q3" s="341"/>
      <c r="R3" s="341"/>
      <c r="S3" s="341"/>
      <c r="T3" s="341"/>
      <c r="U3" s="341"/>
      <c r="V3" s="341"/>
      <c r="W3" s="341"/>
      <c r="X3" s="341"/>
      <c r="Y3" s="341"/>
      <c r="Z3" s="341"/>
      <c r="AA3" s="341"/>
      <c r="AB3" s="676"/>
      <c r="AC3" s="663"/>
    </row>
    <row r="4" spans="1:29" ht="15">
      <c r="A4" s="345" t="s">
        <v>1765</v>
      </c>
      <c r="B4" s="346"/>
      <c r="C4" s="3484" t="s">
        <v>1766</v>
      </c>
      <c r="D4" s="3485"/>
      <c r="E4" s="3486" t="s">
        <v>1767</v>
      </c>
      <c r="F4" s="3487"/>
      <c r="G4" s="3484" t="s">
        <v>1768</v>
      </c>
      <c r="H4" s="3485"/>
      <c r="I4" s="3484" t="s">
        <v>1769</v>
      </c>
      <c r="J4" s="3485"/>
      <c r="K4" s="537" t="s">
        <v>1770</v>
      </c>
      <c r="L4" s="854"/>
      <c r="M4" s="855"/>
      <c r="N4" s="855"/>
      <c r="O4" s="855"/>
      <c r="P4" s="3488" t="s">
        <v>1771</v>
      </c>
      <c r="Q4" s="3489"/>
      <c r="R4" s="3494" t="s">
        <v>1767</v>
      </c>
      <c r="S4" s="3495"/>
      <c r="T4" s="3494" t="s">
        <v>1768</v>
      </c>
      <c r="U4" s="3495"/>
      <c r="V4" s="3467" t="s">
        <v>1769</v>
      </c>
      <c r="W4" s="3467"/>
      <c r="X4" s="1259"/>
      <c r="Y4" s="3494" t="s">
        <v>1771</v>
      </c>
      <c r="Z4" s="3495"/>
      <c r="AA4" s="3481" t="s">
        <v>1767</v>
      </c>
      <c r="AB4" s="3482" t="s">
        <v>1768</v>
      </c>
      <c r="AC4" s="3481" t="s">
        <v>1769</v>
      </c>
    </row>
    <row r="5" spans="1:29" ht="15">
      <c r="A5" s="348"/>
      <c r="B5" s="349"/>
      <c r="C5" s="3502" t="s">
        <v>1669</v>
      </c>
      <c r="D5" s="3503"/>
      <c r="E5" s="3509" t="s">
        <v>1670</v>
      </c>
      <c r="F5" s="3510"/>
      <c r="G5" s="3502" t="s">
        <v>1671</v>
      </c>
      <c r="H5" s="3503"/>
      <c r="I5" s="3502" t="s">
        <v>1672</v>
      </c>
      <c r="J5" s="3503"/>
      <c r="K5" s="537"/>
      <c r="L5" s="854"/>
      <c r="M5" s="855"/>
      <c r="N5" s="855"/>
      <c r="O5" s="855"/>
      <c r="P5" s="3490"/>
      <c r="Q5" s="3491"/>
      <c r="R5" s="3496"/>
      <c r="S5" s="3497"/>
      <c r="T5" s="3496"/>
      <c r="U5" s="3497"/>
      <c r="V5" s="3467"/>
      <c r="W5" s="3467"/>
      <c r="X5" s="1259"/>
      <c r="Y5" s="3496"/>
      <c r="Z5" s="3497"/>
      <c r="AA5" s="3482"/>
      <c r="AB5" s="3482"/>
      <c r="AC5" s="3482"/>
    </row>
    <row r="6" spans="1:29" ht="15.75" thickBot="1">
      <c r="A6" s="350"/>
      <c r="B6" s="351"/>
      <c r="C6" s="3500" t="s">
        <v>1673</v>
      </c>
      <c r="D6" s="3501"/>
      <c r="E6" s="3507" t="s">
        <v>1673</v>
      </c>
      <c r="F6" s="3508"/>
      <c r="G6" s="3500" t="s">
        <v>1673</v>
      </c>
      <c r="H6" s="3501"/>
      <c r="I6" s="3500" t="s">
        <v>1673</v>
      </c>
      <c r="J6" s="3501"/>
      <c r="K6" s="537" t="s">
        <v>1674</v>
      </c>
      <c r="L6" s="854"/>
      <c r="M6" s="855"/>
      <c r="N6" s="855"/>
      <c r="O6" s="855"/>
      <c r="P6" s="3492"/>
      <c r="Q6" s="3493"/>
      <c r="R6" s="3496"/>
      <c r="S6" s="3497"/>
      <c r="T6" s="3498"/>
      <c r="U6" s="3499"/>
      <c r="V6" s="3467"/>
      <c r="W6" s="3467"/>
      <c r="X6" s="1259"/>
      <c r="Y6" s="3498"/>
      <c r="Z6" s="3499"/>
      <c r="AA6" s="3483"/>
      <c r="AB6" s="3483"/>
      <c r="AC6" s="3483"/>
    </row>
    <row r="7" spans="1:29" s="102" customFormat="1" ht="15.75" thickBot="1">
      <c r="A7" s="352" t="s">
        <v>1675</v>
      </c>
      <c r="B7" s="353"/>
      <c r="C7" s="354">
        <f>'数据-取费表'!B2</f>
        <v>45873</v>
      </c>
      <c r="D7" s="355">
        <v>100</v>
      </c>
      <c r="E7" s="356"/>
      <c r="F7" s="357">
        <f>SUMIF(52:52,YEAR(E7)&amp;"-"&amp;MONTH(E7),53:53)</f>
        <v>0</v>
      </c>
      <c r="G7" s="356"/>
      <c r="H7" s="355">
        <f>SUMIF(52:52,YEAR(G7)&amp;"-"&amp;MONTH(G7),53:53)</f>
        <v>0</v>
      </c>
      <c r="I7" s="356"/>
      <c r="J7" s="355">
        <f>SUMIF(52:52,YEAR(I7)&amp;"-"&amp;MONTH(I7),53:53)</f>
        <v>0</v>
      </c>
      <c r="K7" s="38"/>
      <c r="L7" s="856"/>
      <c r="M7" s="857"/>
      <c r="N7" s="857"/>
      <c r="O7" s="857"/>
      <c r="P7" s="3504" t="s">
        <v>1676</v>
      </c>
      <c r="Q7" s="3506"/>
      <c r="R7" s="664" t="s">
        <v>14</v>
      </c>
      <c r="S7" s="665">
        <f t="shared" ref="S7:S15" si="0">F7</f>
        <v>0</v>
      </c>
      <c r="T7" s="664" t="s">
        <v>14</v>
      </c>
      <c r="U7" s="665">
        <f t="shared" ref="U7:U15" si="1">H7</f>
        <v>0</v>
      </c>
      <c r="V7" s="664" t="s">
        <v>14</v>
      </c>
      <c r="W7" s="665">
        <f t="shared" ref="W7:W15" si="2">J7</f>
        <v>0</v>
      </c>
      <c r="X7" s="666"/>
      <c r="Y7" s="3504" t="s">
        <v>1676</v>
      </c>
      <c r="Z7" s="3505"/>
      <c r="AA7" s="50" t="e">
        <f>D7/F7</f>
        <v>#DIV/0!</v>
      </c>
      <c r="AB7" s="50" t="e">
        <f>D7/H7</f>
        <v>#DIV/0!</v>
      </c>
      <c r="AC7" s="50" t="e">
        <f>D7/J7</f>
        <v>#DIV/0!</v>
      </c>
    </row>
    <row r="8" spans="1:29" s="102" customFormat="1" ht="15.75" thickBot="1">
      <c r="A8" s="352" t="s">
        <v>1677</v>
      </c>
      <c r="B8" s="353"/>
      <c r="C8" s="358"/>
      <c r="D8" s="355">
        <v>100</v>
      </c>
      <c r="E8" s="358"/>
      <c r="F8" s="357">
        <f>SUMIF(55:55,E8,56:56)-SUMIF(55:55,C8,56:56)+100</f>
        <v>100</v>
      </c>
      <c r="G8" s="358"/>
      <c r="H8" s="355">
        <f>SUMIF(55:55,G8,56:56)-SUMIF(55:55,C8,56:56)+100</f>
        <v>100</v>
      </c>
      <c r="I8" s="358"/>
      <c r="J8" s="355">
        <f>SUMIF(55:55,I8,56:56)-SUMIF(55:55,C8,56:56)+100</f>
        <v>100</v>
      </c>
      <c r="K8" s="38"/>
      <c r="L8" s="856"/>
      <c r="M8" s="857"/>
      <c r="N8" s="857"/>
      <c r="O8" s="857"/>
      <c r="P8" s="3504" t="s">
        <v>1679</v>
      </c>
      <c r="Q8" s="3505"/>
      <c r="R8" s="664" t="s">
        <v>14</v>
      </c>
      <c r="S8" s="665">
        <f t="shared" si="0"/>
        <v>100</v>
      </c>
      <c r="T8" s="664" t="s">
        <v>14</v>
      </c>
      <c r="U8" s="665">
        <f t="shared" si="1"/>
        <v>100</v>
      </c>
      <c r="V8" s="664" t="s">
        <v>14</v>
      </c>
      <c r="W8" s="665">
        <f t="shared" si="2"/>
        <v>100</v>
      </c>
      <c r="X8" s="666"/>
      <c r="Y8" s="3504" t="s">
        <v>1679</v>
      </c>
      <c r="Z8" s="3505"/>
      <c r="AA8" s="50">
        <f t="shared" ref="AA8:AA40" si="3">D8/F8</f>
        <v>1</v>
      </c>
      <c r="AB8" s="50">
        <f t="shared" ref="AB8:AB40" si="4">D8/H8</f>
        <v>1</v>
      </c>
      <c r="AC8" s="50">
        <f t="shared" ref="AC8:AC40" si="5">D8/J8</f>
        <v>1</v>
      </c>
    </row>
    <row r="9" spans="1:29" s="102" customFormat="1">
      <c r="A9" s="359" t="s">
        <v>1680</v>
      </c>
      <c r="B9" s="60" t="s">
        <v>1681</v>
      </c>
      <c r="C9" s="360"/>
      <c r="D9" s="59">
        <v>100</v>
      </c>
      <c r="E9" s="362"/>
      <c r="F9" s="59">
        <f>SUMIF(57:57,E9,58:58)-SUMIF(57:57,C9,58:58)+100</f>
        <v>100</v>
      </c>
      <c r="G9" s="361"/>
      <c r="H9" s="59">
        <f>SUMIF(57:57,G9,58:58)-SUMIF(57:57,C9,58:58)+100</f>
        <v>100</v>
      </c>
      <c r="I9" s="361"/>
      <c r="J9" s="59">
        <f>SUMIF(57:57,I9,58:58)-SUMIF(57:57,C9,58:58)+100</f>
        <v>100</v>
      </c>
      <c r="K9" s="38"/>
      <c r="L9" s="856"/>
      <c r="M9" s="857"/>
      <c r="N9" s="857"/>
      <c r="O9" s="858"/>
      <c r="P9" s="3466" t="s">
        <v>1682</v>
      </c>
      <c r="Q9" s="530" t="str">
        <f t="shared" ref="Q9:Q15" si="6">B9</f>
        <v>用途</v>
      </c>
      <c r="R9" s="664" t="s">
        <v>14</v>
      </c>
      <c r="S9" s="665">
        <f t="shared" si="0"/>
        <v>100</v>
      </c>
      <c r="T9" s="664" t="s">
        <v>14</v>
      </c>
      <c r="U9" s="665">
        <f t="shared" si="1"/>
        <v>100</v>
      </c>
      <c r="V9" s="664" t="s">
        <v>14</v>
      </c>
      <c r="W9" s="665">
        <f t="shared" si="2"/>
        <v>100</v>
      </c>
      <c r="X9" s="666"/>
      <c r="Y9" s="3346" t="s">
        <v>1683</v>
      </c>
      <c r="Z9" s="50" t="str">
        <f t="shared" ref="Z9:Z15" si="7">Q9</f>
        <v>用途</v>
      </c>
      <c r="AA9" s="50">
        <f t="shared" si="3"/>
        <v>1</v>
      </c>
      <c r="AB9" s="50">
        <f t="shared" si="4"/>
        <v>1</v>
      </c>
      <c r="AC9" s="50">
        <f t="shared" si="5"/>
        <v>1</v>
      </c>
    </row>
    <row r="10" spans="1:29" s="366" customFormat="1" ht="27">
      <c r="A10" s="363"/>
      <c r="B10" s="364" t="s">
        <v>1684</v>
      </c>
      <c r="C10" s="3126"/>
      <c r="D10" s="119">
        <v>100</v>
      </c>
      <c r="E10" s="3126"/>
      <c r="F10" s="119">
        <f>SUMIF(59:59,E10,60:60)-SUMIF(59:59,C10,60:60)+100</f>
        <v>100</v>
      </c>
      <c r="G10" s="3127"/>
      <c r="H10" s="119">
        <f>SUMIF(59:59,G10,60:60)-SUMIF(59:59,C10,60:60)+100</f>
        <v>100</v>
      </c>
      <c r="I10" s="3126"/>
      <c r="J10" s="119">
        <f>SUMIF(59:59,I10,60:60)-SUMIF(59:59,C10,60:60)+100</f>
        <v>100</v>
      </c>
      <c r="K10" s="38"/>
      <c r="L10" s="859"/>
      <c r="M10" s="860"/>
      <c r="N10" s="860"/>
      <c r="O10" s="861"/>
      <c r="P10" s="346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2"/>
      <c r="M11" s="855"/>
      <c r="N11" s="855"/>
      <c r="O11" s="863"/>
      <c r="P11" s="3466"/>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6"/>
      <c r="M12" s="857"/>
      <c r="N12" s="857"/>
      <c r="O12" s="858"/>
      <c r="P12" s="346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4"/>
      <c r="M13" s="855"/>
      <c r="N13" s="855"/>
      <c r="O13" s="863"/>
      <c r="P13" s="346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3">
        <v>111</v>
      </c>
      <c r="C14" s="376"/>
      <c r="D14" s="377">
        <v>100</v>
      </c>
      <c r="E14" s="376"/>
      <c r="F14" s="377">
        <f>SUMIF(68:68,E14,69:69)-SUMIF(68:68,C14,69:69)+100</f>
        <v>100</v>
      </c>
      <c r="G14" s="1812"/>
      <c r="H14" s="377">
        <f>SUMIF(68:68,G14,69:69)-SUMIF(68:68,C14,69:69)+100</f>
        <v>100</v>
      </c>
      <c r="I14" s="407"/>
      <c r="J14" s="377">
        <f>SUMIF(68:68,I14,69:69)-SUMIF(68:68,C14,69:69)+100</f>
        <v>100</v>
      </c>
      <c r="K14" s="539"/>
      <c r="L14" s="864"/>
      <c r="M14" s="855"/>
      <c r="N14" s="855"/>
      <c r="O14" s="863"/>
      <c r="P14" s="3466"/>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15">
      <c r="A15" s="379" t="s">
        <v>1686</v>
      </c>
      <c r="B15" s="58" t="s">
        <v>1823</v>
      </c>
      <c r="C15" s="1813">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4"/>
      <c r="M15" s="855"/>
      <c r="N15" s="855"/>
      <c r="O15" s="863"/>
      <c r="P15" s="3473" t="s">
        <v>1687</v>
      </c>
      <c r="Q15" s="1257" t="str">
        <f t="shared" si="6"/>
        <v>产业集聚程度</v>
      </c>
      <c r="R15" s="667" t="s">
        <v>14</v>
      </c>
      <c r="S15" s="668">
        <f t="shared" si="0"/>
        <v>100</v>
      </c>
      <c r="T15" s="667" t="s">
        <v>14</v>
      </c>
      <c r="U15" s="668">
        <f t="shared" si="1"/>
        <v>100</v>
      </c>
      <c r="V15" s="667" t="s">
        <v>14</v>
      </c>
      <c r="W15" s="668">
        <f t="shared" si="2"/>
        <v>100</v>
      </c>
      <c r="X15" s="1259"/>
      <c r="Y15" s="3473" t="s">
        <v>1687</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41"/>
      <c r="L16" s="864"/>
      <c r="M16" s="855"/>
      <c r="N16" s="855"/>
      <c r="O16" s="863"/>
      <c r="P16" s="3474"/>
      <c r="Q16" s="1257"/>
      <c r="R16" s="667"/>
      <c r="S16" s="668"/>
      <c r="T16" s="667"/>
      <c r="U16" s="668"/>
      <c r="V16" s="667"/>
      <c r="W16" s="668"/>
      <c r="X16" s="1259"/>
      <c r="Y16" s="3474"/>
      <c r="Z16" s="1258"/>
      <c r="AA16" s="1258">
        <v>1</v>
      </c>
      <c r="AB16" s="1258">
        <v>1</v>
      </c>
      <c r="AC16" s="1258">
        <v>1</v>
      </c>
    </row>
    <row r="17" spans="1:29" ht="15">
      <c r="A17" s="367"/>
      <c r="B17" s="390" t="s">
        <v>1255</v>
      </c>
      <c r="C17" s="1748">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4"/>
      <c r="M17" s="855"/>
      <c r="N17" s="855"/>
      <c r="O17" s="863"/>
      <c r="P17" s="3474"/>
      <c r="Q17" s="1257" t="str">
        <f>B17</f>
        <v>交通便捷度</v>
      </c>
      <c r="R17" s="667" t="s">
        <v>14</v>
      </c>
      <c r="S17" s="668">
        <f>F17</f>
        <v>100</v>
      </c>
      <c r="T17" s="667" t="s">
        <v>14</v>
      </c>
      <c r="U17" s="668">
        <f>H17</f>
        <v>100</v>
      </c>
      <c r="V17" s="667" t="s">
        <v>14</v>
      </c>
      <c r="W17" s="668">
        <f>J17</f>
        <v>100</v>
      </c>
      <c r="X17" s="1259"/>
      <c r="Y17" s="3474"/>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41"/>
      <c r="L18" s="864"/>
      <c r="M18" s="855"/>
      <c r="N18" s="855"/>
      <c r="O18" s="863"/>
      <c r="P18" s="3474"/>
      <c r="Q18" s="1257"/>
      <c r="R18" s="667"/>
      <c r="S18" s="668"/>
      <c r="T18" s="667"/>
      <c r="U18" s="668"/>
      <c r="V18" s="667"/>
      <c r="W18" s="668"/>
      <c r="X18" s="1259"/>
      <c r="Y18" s="3474"/>
      <c r="Z18" s="1258"/>
      <c r="AA18" s="1258">
        <v>1</v>
      </c>
      <c r="AB18" s="1258">
        <v>1</v>
      </c>
      <c r="AC18" s="1258">
        <v>1</v>
      </c>
    </row>
    <row r="19" spans="1:29" ht="15">
      <c r="A19" s="367"/>
      <c r="B19" s="390" t="s">
        <v>1808</v>
      </c>
      <c r="C19" s="1748">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4"/>
      <c r="M19" s="855"/>
      <c r="N19" s="855"/>
      <c r="O19" s="863"/>
      <c r="P19" s="3474"/>
      <c r="Q19" s="1257" t="str">
        <f>B19</f>
        <v>公共配套设施</v>
      </c>
      <c r="R19" s="667" t="s">
        <v>14</v>
      </c>
      <c r="S19" s="668">
        <f>F19</f>
        <v>100</v>
      </c>
      <c r="T19" s="667" t="s">
        <v>14</v>
      </c>
      <c r="U19" s="668">
        <f>H19</f>
        <v>100</v>
      </c>
      <c r="V19" s="667" t="s">
        <v>14</v>
      </c>
      <c r="W19" s="668">
        <f>J19</f>
        <v>100</v>
      </c>
      <c r="X19" s="1259"/>
      <c r="Y19" s="3474"/>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41"/>
      <c r="L20" s="864"/>
      <c r="M20" s="855"/>
      <c r="N20" s="855"/>
      <c r="O20" s="863"/>
      <c r="P20" s="3474"/>
      <c r="Q20" s="1257"/>
      <c r="R20" s="667"/>
      <c r="S20" s="668"/>
      <c r="T20" s="667"/>
      <c r="U20" s="668"/>
      <c r="V20" s="667"/>
      <c r="W20" s="668"/>
      <c r="X20" s="1259"/>
      <c r="Y20" s="3474"/>
      <c r="Z20" s="1258"/>
      <c r="AA20" s="1258">
        <v>1</v>
      </c>
      <c r="AB20" s="1258">
        <v>1</v>
      </c>
      <c r="AC20" s="1258">
        <v>1</v>
      </c>
    </row>
    <row r="21" spans="1:29" ht="15">
      <c r="A21" s="367"/>
      <c r="B21" s="586" t="s">
        <v>1809</v>
      </c>
      <c r="C21" s="1748">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4"/>
      <c r="M21" s="855"/>
      <c r="N21" s="855"/>
      <c r="O21" s="863"/>
      <c r="P21" s="3474"/>
      <c r="Q21" s="1257" t="str">
        <f>B21</f>
        <v>基础设施水平</v>
      </c>
      <c r="R21" s="667" t="s">
        <v>14</v>
      </c>
      <c r="S21" s="668">
        <f>F21</f>
        <v>100</v>
      </c>
      <c r="T21" s="667" t="s">
        <v>14</v>
      </c>
      <c r="U21" s="668">
        <f>H21</f>
        <v>100</v>
      </c>
      <c r="V21" s="667" t="s">
        <v>14</v>
      </c>
      <c r="W21" s="668">
        <f>J21</f>
        <v>100</v>
      </c>
      <c r="X21" s="1259"/>
      <c r="Y21" s="3474"/>
      <c r="Z21" s="1258" t="str">
        <f>Q21</f>
        <v>基础设施水平</v>
      </c>
      <c r="AA21" s="1258">
        <f t="shared" ref="AA21" si="8">D21/F21</f>
        <v>1</v>
      </c>
      <c r="AB21" s="1258">
        <f t="shared" ref="AB21" si="9">D21/H21</f>
        <v>1</v>
      </c>
      <c r="AC21" s="1258">
        <f t="shared" ref="AC21" si="10">D21/J21</f>
        <v>1</v>
      </c>
    </row>
    <row r="22" spans="1:29" ht="15">
      <c r="A22" s="367"/>
      <c r="B22" s="586"/>
      <c r="C22" s="1749"/>
      <c r="D22" s="387"/>
      <c r="E22" s="386"/>
      <c r="F22" s="388"/>
      <c r="G22" s="386"/>
      <c r="H22" s="387"/>
      <c r="I22" s="386"/>
      <c r="J22" s="387"/>
      <c r="K22" s="1058"/>
      <c r="L22" s="864"/>
      <c r="M22" s="855"/>
      <c r="N22" s="855"/>
      <c r="O22" s="863"/>
      <c r="P22" s="3474"/>
      <c r="Q22" s="1257"/>
      <c r="R22" s="667"/>
      <c r="S22" s="668"/>
      <c r="T22" s="667"/>
      <c r="U22" s="668"/>
      <c r="V22" s="667"/>
      <c r="W22" s="668"/>
      <c r="X22" s="1259"/>
      <c r="Y22" s="3474"/>
      <c r="Z22" s="1258"/>
      <c r="AA22" s="1258">
        <v>1</v>
      </c>
      <c r="AB22" s="1258">
        <v>1</v>
      </c>
      <c r="AC22" s="1258">
        <v>1</v>
      </c>
    </row>
    <row r="23" spans="1:29" ht="15">
      <c r="A23" s="367"/>
      <c r="B23" s="390" t="s">
        <v>1810</v>
      </c>
      <c r="C23" s="1748">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4"/>
      <c r="M23" s="855"/>
      <c r="N23" s="855"/>
      <c r="O23" s="863"/>
      <c r="P23" s="3474"/>
      <c r="Q23" s="1257" t="str">
        <f>B23</f>
        <v>环境质量</v>
      </c>
      <c r="R23" s="667" t="s">
        <v>14</v>
      </c>
      <c r="S23" s="668">
        <f>F23</f>
        <v>100</v>
      </c>
      <c r="T23" s="667" t="s">
        <v>14</v>
      </c>
      <c r="U23" s="668">
        <f>H23</f>
        <v>100</v>
      </c>
      <c r="V23" s="667" t="s">
        <v>14</v>
      </c>
      <c r="W23" s="668">
        <f>J23</f>
        <v>100</v>
      </c>
      <c r="X23" s="1259"/>
      <c r="Y23" s="3474"/>
      <c r="Z23" s="1258" t="str">
        <f>Q23</f>
        <v>环境质量</v>
      </c>
      <c r="AA23" s="1258">
        <f t="shared" si="3"/>
        <v>1</v>
      </c>
      <c r="AB23" s="1258">
        <f t="shared" si="4"/>
        <v>1</v>
      </c>
      <c r="AC23" s="1258">
        <f t="shared" si="5"/>
        <v>1</v>
      </c>
    </row>
    <row r="24" spans="1:29" ht="15">
      <c r="A24" s="367"/>
      <c r="B24" s="586"/>
      <c r="C24" s="386"/>
      <c r="D24" s="387"/>
      <c r="E24" s="1746"/>
      <c r="F24" s="388"/>
      <c r="G24" s="1745"/>
      <c r="H24" s="387"/>
      <c r="I24" s="1746"/>
      <c r="J24" s="387"/>
      <c r="K24" s="541"/>
      <c r="L24" s="864"/>
      <c r="M24" s="855"/>
      <c r="N24" s="855"/>
      <c r="O24" s="863"/>
      <c r="P24" s="3474"/>
      <c r="Q24" s="1257"/>
      <c r="R24" s="667"/>
      <c r="S24" s="668"/>
      <c r="T24" s="667"/>
      <c r="U24" s="668"/>
      <c r="V24" s="667"/>
      <c r="W24" s="668"/>
      <c r="X24" s="1259"/>
      <c r="Y24" s="3474"/>
      <c r="Z24" s="1258"/>
      <c r="AA24" s="1258">
        <v>1</v>
      </c>
      <c r="AB24" s="1258">
        <v>1</v>
      </c>
      <c r="AC24" s="1258">
        <v>1</v>
      </c>
    </row>
    <row r="25" spans="1:29" ht="15">
      <c r="A25" s="348"/>
      <c r="B25" s="1060">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4"/>
      <c r="M25" s="855"/>
      <c r="N25" s="855"/>
      <c r="O25" s="863"/>
      <c r="P25" s="3474"/>
      <c r="Q25" s="1257">
        <f>B25</f>
        <v>111</v>
      </c>
      <c r="R25" s="667" t="s">
        <v>14</v>
      </c>
      <c r="S25" s="668">
        <f>F25</f>
        <v>100</v>
      </c>
      <c r="T25" s="667" t="s">
        <v>14</v>
      </c>
      <c r="U25" s="668">
        <f>H25</f>
        <v>100</v>
      </c>
      <c r="V25" s="667" t="s">
        <v>14</v>
      </c>
      <c r="W25" s="668">
        <f>J25</f>
        <v>100</v>
      </c>
      <c r="X25" s="1259"/>
      <c r="Y25" s="3474"/>
      <c r="Z25" s="1258">
        <f>Q25</f>
        <v>111</v>
      </c>
      <c r="AA25" s="1258">
        <f t="shared" si="3"/>
        <v>1</v>
      </c>
      <c r="AB25" s="1258">
        <f t="shared" si="4"/>
        <v>1</v>
      </c>
      <c r="AC25" s="1258">
        <f t="shared" si="5"/>
        <v>1</v>
      </c>
    </row>
    <row r="26" spans="1:29" ht="15">
      <c r="A26" s="367"/>
      <c r="B26" s="1060">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4"/>
      <c r="M26" s="855"/>
      <c r="N26" s="855"/>
      <c r="O26" s="863"/>
      <c r="P26" s="3474"/>
      <c r="Q26" s="1257">
        <f t="shared" ref="Q26:Q40" si="11">B26</f>
        <v>111</v>
      </c>
      <c r="R26" s="667" t="s">
        <v>14</v>
      </c>
      <c r="S26" s="668">
        <f>F26</f>
        <v>100</v>
      </c>
      <c r="T26" s="667" t="s">
        <v>14</v>
      </c>
      <c r="U26" s="668">
        <f>H26</f>
        <v>100</v>
      </c>
      <c r="V26" s="667" t="s">
        <v>14</v>
      </c>
      <c r="W26" s="668">
        <f>J26</f>
        <v>100</v>
      </c>
      <c r="X26" s="1259"/>
      <c r="Y26" s="3474"/>
      <c r="Z26" s="1258">
        <f>Q26</f>
        <v>111</v>
      </c>
      <c r="AA26" s="1258">
        <f t="shared" si="3"/>
        <v>1</v>
      </c>
      <c r="AB26" s="1258">
        <f t="shared" si="4"/>
        <v>1</v>
      </c>
      <c r="AC26" s="1258">
        <f t="shared" si="5"/>
        <v>1</v>
      </c>
    </row>
    <row r="27" spans="1:29" s="102" customFormat="1" ht="15">
      <c r="A27" s="370"/>
      <c r="B27" s="1060">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6"/>
      <c r="M27" s="857"/>
      <c r="N27" s="857"/>
      <c r="O27" s="858"/>
      <c r="P27" s="3474"/>
      <c r="Q27" s="530">
        <f t="shared" si="11"/>
        <v>111</v>
      </c>
      <c r="R27" s="664" t="s">
        <v>14</v>
      </c>
      <c r="S27" s="665">
        <f>F27</f>
        <v>100</v>
      </c>
      <c r="T27" s="664" t="s">
        <v>14</v>
      </c>
      <c r="U27" s="665">
        <f>H27</f>
        <v>100</v>
      </c>
      <c r="V27" s="664" t="s">
        <v>14</v>
      </c>
      <c r="W27" s="665">
        <f>J27</f>
        <v>100</v>
      </c>
      <c r="X27" s="666"/>
      <c r="Y27" s="3474"/>
      <c r="Z27" s="50">
        <f>Q27</f>
        <v>111</v>
      </c>
      <c r="AA27" s="1258">
        <f>D27/F27</f>
        <v>1</v>
      </c>
      <c r="AB27" s="1258">
        <f>D27/H27</f>
        <v>1</v>
      </c>
      <c r="AC27" s="1258">
        <f>D27/J27</f>
        <v>1</v>
      </c>
    </row>
    <row r="28" spans="1:29" ht="15.75" thickBot="1">
      <c r="A28" s="375"/>
      <c r="B28" s="1060">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4"/>
      <c r="M28" s="855"/>
      <c r="N28" s="855"/>
      <c r="O28" s="863"/>
      <c r="P28" s="3474"/>
      <c r="Q28" s="1257">
        <f t="shared" si="11"/>
        <v>111</v>
      </c>
      <c r="R28" s="667" t="s">
        <v>14</v>
      </c>
      <c r="S28" s="668">
        <f t="shared" ref="S28:S40" si="12">F28</f>
        <v>100</v>
      </c>
      <c r="T28" s="667" t="s">
        <v>14</v>
      </c>
      <c r="U28" s="668">
        <f t="shared" ref="U28:U40" si="13">H28</f>
        <v>100</v>
      </c>
      <c r="V28" s="667" t="s">
        <v>14</v>
      </c>
      <c r="W28" s="668">
        <f t="shared" ref="W28:W40" si="14">J28</f>
        <v>100</v>
      </c>
      <c r="X28" s="1259"/>
      <c r="Y28" s="3474"/>
      <c r="Z28" s="1258">
        <f t="shared" ref="Z28:Z40" si="15">Q28</f>
        <v>111</v>
      </c>
      <c r="AA28" s="1258">
        <f t="shared" si="3"/>
        <v>1</v>
      </c>
      <c r="AB28" s="1258">
        <f t="shared" si="4"/>
        <v>1</v>
      </c>
      <c r="AC28" s="1258">
        <f t="shared" si="5"/>
        <v>1</v>
      </c>
    </row>
    <row r="29" spans="1:29" ht="28.5">
      <c r="A29" s="404" t="s">
        <v>1690</v>
      </c>
      <c r="B29" s="60" t="s">
        <v>1813</v>
      </c>
      <c r="C29" s="1758"/>
      <c r="D29" s="405">
        <v>100</v>
      </c>
      <c r="E29" s="1758"/>
      <c r="F29" s="400">
        <f>SUMIF(88:88,E29,89:89)-SUMIF(88:88,C29,89:89)+100</f>
        <v>100</v>
      </c>
      <c r="G29" s="1758"/>
      <c r="H29" s="374">
        <f>SUMIF(88:88,G29,89:89)-SUMIF(88:88,C29,89:89)+100</f>
        <v>100</v>
      </c>
      <c r="I29" s="1758"/>
      <c r="J29" s="405">
        <f>SUMIF(88:88,I29,89:89)-SUMIF(88:88,C29,89:89)+100</f>
        <v>100</v>
      </c>
      <c r="K29" s="538"/>
      <c r="L29" s="864"/>
      <c r="M29" s="855"/>
      <c r="N29" s="855"/>
      <c r="O29" s="863"/>
      <c r="P29" s="3547" t="s">
        <v>1692</v>
      </c>
      <c r="Q29" s="1257" t="str">
        <f t="shared" si="11"/>
        <v>建筑类型</v>
      </c>
      <c r="R29" s="667" t="s">
        <v>14</v>
      </c>
      <c r="S29" s="668">
        <f t="shared" si="12"/>
        <v>100</v>
      </c>
      <c r="T29" s="667" t="s">
        <v>14</v>
      </c>
      <c r="U29" s="668">
        <f t="shared" si="13"/>
        <v>100</v>
      </c>
      <c r="V29" s="667" t="s">
        <v>14</v>
      </c>
      <c r="W29" s="668">
        <f t="shared" si="14"/>
        <v>100</v>
      </c>
      <c r="X29" s="1259"/>
      <c r="Y29" s="3478" t="s">
        <v>1692</v>
      </c>
      <c r="Z29" s="1258" t="str">
        <f t="shared" si="15"/>
        <v>建筑类型</v>
      </c>
      <c r="AA29" s="1258">
        <f t="shared" si="3"/>
        <v>1</v>
      </c>
      <c r="AB29" s="1258">
        <f t="shared" si="4"/>
        <v>1</v>
      </c>
      <c r="AC29" s="1258">
        <f t="shared" si="5"/>
        <v>1</v>
      </c>
    </row>
    <row r="30" spans="1:29" s="408" customFormat="1" ht="15">
      <c r="A30" s="406"/>
      <c r="B30" s="364" t="s">
        <v>1693</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2"/>
      <c r="M30" s="865"/>
      <c r="N30" s="865"/>
      <c r="O30" s="866"/>
      <c r="P30" s="3478"/>
      <c r="Q30" s="531" t="str">
        <f t="shared" si="11"/>
        <v>项目建筑规模</v>
      </c>
      <c r="R30" s="669" t="s">
        <v>14</v>
      </c>
      <c r="S30" s="670" t="e">
        <f t="shared" si="12"/>
        <v>#N/A</v>
      </c>
      <c r="T30" s="669" t="s">
        <v>14</v>
      </c>
      <c r="U30" s="670" t="e">
        <f t="shared" si="13"/>
        <v>#N/A</v>
      </c>
      <c r="V30" s="669" t="s">
        <v>14</v>
      </c>
      <c r="W30" s="670" t="e">
        <f t="shared" si="14"/>
        <v>#N/A</v>
      </c>
      <c r="X30" s="671"/>
      <c r="Y30" s="3478"/>
      <c r="Z30" s="672" t="str">
        <f t="shared" si="15"/>
        <v>项目建筑规模</v>
      </c>
      <c r="AA30" s="1258" t="e">
        <f t="shared" si="3"/>
        <v>#N/A</v>
      </c>
      <c r="AB30" s="1258" t="e">
        <f t="shared" si="4"/>
        <v>#N/A</v>
      </c>
      <c r="AC30" s="1258" t="e">
        <f t="shared" si="5"/>
        <v>#N/A</v>
      </c>
    </row>
    <row r="31" spans="1:29" ht="15">
      <c r="A31" s="409"/>
      <c r="B31" s="364" t="s">
        <v>1694</v>
      </c>
      <c r="C31" s="399"/>
      <c r="D31" s="374">
        <v>100</v>
      </c>
      <c r="E31" s="399"/>
      <c r="F31" s="400">
        <f>SUMIF(93:93,E31,94:94)-SUMIF(93:93,C31,94:94)+100</f>
        <v>100</v>
      </c>
      <c r="G31" s="399"/>
      <c r="H31" s="374">
        <f>SUMIF(93:93,G31,94:94)-SUMIF(93:93,C31,94:94)+100</f>
        <v>100</v>
      </c>
      <c r="I31" s="399"/>
      <c r="J31" s="374">
        <f>SUMIF(93:93,I31,94:94)-SUMIF(93:93,C31,94:94)+100</f>
        <v>100</v>
      </c>
      <c r="K31" s="538"/>
      <c r="L31" s="864"/>
      <c r="M31" s="855"/>
      <c r="N31" s="855"/>
      <c r="O31" s="863"/>
      <c r="P31" s="3478"/>
      <c r="Q31" s="1257" t="str">
        <f t="shared" si="11"/>
        <v>建筑结构</v>
      </c>
      <c r="R31" s="667" t="s">
        <v>14</v>
      </c>
      <c r="S31" s="668">
        <f t="shared" si="12"/>
        <v>100</v>
      </c>
      <c r="T31" s="667" t="s">
        <v>14</v>
      </c>
      <c r="U31" s="668">
        <f t="shared" si="13"/>
        <v>100</v>
      </c>
      <c r="V31" s="667" t="s">
        <v>14</v>
      </c>
      <c r="W31" s="668">
        <f t="shared" si="14"/>
        <v>100</v>
      </c>
      <c r="X31" s="1259"/>
      <c r="Y31" s="3478"/>
      <c r="Z31" s="1258" t="str">
        <f t="shared" si="15"/>
        <v>建筑结构</v>
      </c>
      <c r="AA31" s="1258">
        <f t="shared" si="3"/>
        <v>1</v>
      </c>
      <c r="AB31" s="1258">
        <f t="shared" si="4"/>
        <v>1</v>
      </c>
      <c r="AC31" s="1258">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64"/>
      <c r="M32" s="855"/>
      <c r="N32" s="855"/>
      <c r="O32" s="863"/>
      <c r="P32" s="3478"/>
      <c r="Q32" s="1257" t="str">
        <f t="shared" si="11"/>
        <v>公共部分装修</v>
      </c>
      <c r="R32" s="667" t="s">
        <v>14</v>
      </c>
      <c r="S32" s="668">
        <f t="shared" si="12"/>
        <v>100</v>
      </c>
      <c r="T32" s="667" t="s">
        <v>14</v>
      </c>
      <c r="U32" s="668">
        <f t="shared" si="13"/>
        <v>100</v>
      </c>
      <c r="V32" s="667" t="s">
        <v>14</v>
      </c>
      <c r="W32" s="668">
        <f t="shared" si="14"/>
        <v>100</v>
      </c>
      <c r="X32" s="1259"/>
      <c r="Y32" s="3478"/>
      <c r="Z32" s="1258" t="str">
        <f t="shared" si="15"/>
        <v>公共部分装修</v>
      </c>
      <c r="AA32" s="1258">
        <f t="shared" si="3"/>
        <v>1</v>
      </c>
      <c r="AB32" s="1258">
        <f t="shared" si="4"/>
        <v>1</v>
      </c>
      <c r="AC32" s="1258">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4"/>
      <c r="M33" s="855"/>
      <c r="N33" s="855"/>
      <c r="O33" s="863"/>
      <c r="P33" s="3478"/>
      <c r="Q33" s="1257" t="str">
        <f t="shared" si="11"/>
        <v>成新度</v>
      </c>
      <c r="R33" s="667" t="s">
        <v>14</v>
      </c>
      <c r="S33" s="668" t="e">
        <f t="shared" si="12"/>
        <v>#N/A</v>
      </c>
      <c r="T33" s="667" t="s">
        <v>14</v>
      </c>
      <c r="U33" s="668" t="e">
        <f t="shared" si="13"/>
        <v>#N/A</v>
      </c>
      <c r="V33" s="667" t="s">
        <v>14</v>
      </c>
      <c r="W33" s="668" t="e">
        <f t="shared" si="14"/>
        <v>#N/A</v>
      </c>
      <c r="X33" s="1259"/>
      <c r="Y33" s="3478"/>
      <c r="Z33" s="1258" t="str">
        <f t="shared" si="15"/>
        <v>成新度</v>
      </c>
      <c r="AA33" s="1258" t="e">
        <f t="shared" si="3"/>
        <v>#N/A</v>
      </c>
      <c r="AB33" s="1258" t="e">
        <f t="shared" si="4"/>
        <v>#N/A</v>
      </c>
      <c r="AC33" s="1258" t="e">
        <f t="shared" si="5"/>
        <v>#N/A</v>
      </c>
    </row>
    <row r="34" spans="1:29" s="102" customFormat="1" ht="15">
      <c r="A34" s="410"/>
      <c r="B34" s="364" t="s">
        <v>1815</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6"/>
      <c r="M34" s="857"/>
      <c r="N34" s="857"/>
      <c r="O34" s="858"/>
      <c r="P34" s="3478"/>
      <c r="Q34" s="530" t="str">
        <f t="shared" si="11"/>
        <v>物业管理</v>
      </c>
      <c r="R34" s="664" t="s">
        <v>14</v>
      </c>
      <c r="S34" s="665">
        <f t="shared" si="12"/>
        <v>100</v>
      </c>
      <c r="T34" s="664" t="s">
        <v>14</v>
      </c>
      <c r="U34" s="665">
        <f t="shared" si="13"/>
        <v>100</v>
      </c>
      <c r="V34" s="664" t="s">
        <v>14</v>
      </c>
      <c r="W34" s="665">
        <f t="shared" si="14"/>
        <v>100</v>
      </c>
      <c r="X34" s="666"/>
      <c r="Y34" s="3478"/>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4"/>
      <c r="M35" s="855"/>
      <c r="N35" s="855"/>
      <c r="O35" s="863"/>
      <c r="P35" s="3478" t="s">
        <v>1692</v>
      </c>
      <c r="Q35" s="1257" t="str">
        <f t="shared" si="11"/>
        <v>市政基础设施</v>
      </c>
      <c r="R35" s="667" t="s">
        <v>14</v>
      </c>
      <c r="S35" s="668">
        <f t="shared" si="12"/>
        <v>100</v>
      </c>
      <c r="T35" s="667" t="s">
        <v>14</v>
      </c>
      <c r="U35" s="668">
        <f t="shared" si="13"/>
        <v>100</v>
      </c>
      <c r="V35" s="667" t="s">
        <v>14</v>
      </c>
      <c r="W35" s="668">
        <f t="shared" si="14"/>
        <v>100</v>
      </c>
      <c r="X35" s="1259"/>
      <c r="Y35" s="3478" t="s">
        <v>1692</v>
      </c>
      <c r="Z35" s="1258" t="str">
        <f t="shared" si="15"/>
        <v>市政基础设施</v>
      </c>
      <c r="AA35" s="1258">
        <f t="shared" si="3"/>
        <v>1</v>
      </c>
      <c r="AB35" s="1258">
        <f t="shared" si="4"/>
        <v>1</v>
      </c>
      <c r="AC35" s="1258">
        <f t="shared" si="5"/>
        <v>1</v>
      </c>
    </row>
    <row r="36" spans="1:29" ht="15">
      <c r="A36" s="409"/>
      <c r="B36" s="364" t="s">
        <v>1788</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4"/>
      <c r="M36" s="855"/>
      <c r="N36" s="855"/>
      <c r="O36" s="863"/>
      <c r="P36" s="3478"/>
      <c r="Q36" s="1257" t="str">
        <f t="shared" si="11"/>
        <v>内部装修</v>
      </c>
      <c r="R36" s="667" t="s">
        <v>14</v>
      </c>
      <c r="S36" s="668">
        <f t="shared" si="12"/>
        <v>100</v>
      </c>
      <c r="T36" s="667" t="s">
        <v>14</v>
      </c>
      <c r="U36" s="668">
        <f t="shared" si="13"/>
        <v>100</v>
      </c>
      <c r="V36" s="667" t="s">
        <v>14</v>
      </c>
      <c r="W36" s="668">
        <f t="shared" si="14"/>
        <v>100</v>
      </c>
      <c r="X36" s="1259"/>
      <c r="Y36" s="3478"/>
      <c r="Z36" s="1258" t="str">
        <f t="shared" si="15"/>
        <v>内部装修</v>
      </c>
      <c r="AA36" s="1258">
        <f t="shared" si="3"/>
        <v>1</v>
      </c>
      <c r="AB36" s="1258">
        <f t="shared" si="4"/>
        <v>1</v>
      </c>
      <c r="AC36" s="1258">
        <f t="shared" si="5"/>
        <v>1</v>
      </c>
    </row>
    <row r="37" spans="1:29" ht="15">
      <c r="A37" s="409"/>
      <c r="B37" s="364" t="s">
        <v>1824</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4"/>
      <c r="M37" s="855"/>
      <c r="N37" s="855"/>
      <c r="O37" s="863"/>
      <c r="P37" s="3478"/>
      <c r="Q37" s="1257" t="str">
        <f t="shared" si="11"/>
        <v>内部装修状况</v>
      </c>
      <c r="R37" s="667" t="s">
        <v>14</v>
      </c>
      <c r="S37" s="668">
        <f t="shared" si="12"/>
        <v>100</v>
      </c>
      <c r="T37" s="667" t="s">
        <v>14</v>
      </c>
      <c r="U37" s="668">
        <f t="shared" si="13"/>
        <v>100</v>
      </c>
      <c r="V37" s="667" t="s">
        <v>14</v>
      </c>
      <c r="W37" s="668">
        <f t="shared" si="14"/>
        <v>100</v>
      </c>
      <c r="X37" s="1259"/>
      <c r="Y37" s="3478"/>
      <c r="Z37" s="1258" t="str">
        <f t="shared" si="15"/>
        <v>内部装修状况</v>
      </c>
      <c r="AA37" s="1258">
        <f t="shared" si="3"/>
        <v>1</v>
      </c>
      <c r="AB37" s="1258">
        <f t="shared" si="4"/>
        <v>1</v>
      </c>
      <c r="AC37" s="1258">
        <f t="shared" si="5"/>
        <v>1</v>
      </c>
    </row>
    <row r="38" spans="1:29" s="408" customFormat="1" ht="15">
      <c r="A38" s="406"/>
      <c r="B38" s="1060">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2"/>
      <c r="M38" s="865"/>
      <c r="N38" s="865"/>
      <c r="O38" s="866"/>
      <c r="P38" s="3478"/>
      <c r="Q38" s="531">
        <f t="shared" si="11"/>
        <v>111</v>
      </c>
      <c r="R38" s="669" t="s">
        <v>14</v>
      </c>
      <c r="S38" s="670">
        <f t="shared" si="12"/>
        <v>100</v>
      </c>
      <c r="T38" s="669" t="s">
        <v>14</v>
      </c>
      <c r="U38" s="670">
        <f t="shared" si="13"/>
        <v>100</v>
      </c>
      <c r="V38" s="669" t="s">
        <v>14</v>
      </c>
      <c r="W38" s="670">
        <f t="shared" si="14"/>
        <v>100</v>
      </c>
      <c r="X38" s="671"/>
      <c r="Y38" s="3478"/>
      <c r="Z38" s="672">
        <f t="shared" si="15"/>
        <v>111</v>
      </c>
      <c r="AA38" s="1258">
        <f t="shared" si="3"/>
        <v>1</v>
      </c>
      <c r="AB38" s="1258">
        <f t="shared" si="4"/>
        <v>1</v>
      </c>
      <c r="AC38" s="1258">
        <f t="shared" si="5"/>
        <v>1</v>
      </c>
    </row>
    <row r="39" spans="1:29" ht="15">
      <c r="A39" s="409"/>
      <c r="B39" s="1060">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4"/>
      <c r="M39" s="855"/>
      <c r="N39" s="855"/>
      <c r="O39" s="863"/>
      <c r="P39" s="3478"/>
      <c r="Q39" s="1257">
        <f t="shared" si="11"/>
        <v>111</v>
      </c>
      <c r="R39" s="667" t="s">
        <v>14</v>
      </c>
      <c r="S39" s="668">
        <f t="shared" si="12"/>
        <v>100</v>
      </c>
      <c r="T39" s="667" t="s">
        <v>14</v>
      </c>
      <c r="U39" s="668">
        <f t="shared" si="13"/>
        <v>100</v>
      </c>
      <c r="V39" s="667" t="s">
        <v>14</v>
      </c>
      <c r="W39" s="668">
        <f t="shared" si="14"/>
        <v>100</v>
      </c>
      <c r="X39" s="1259"/>
      <c r="Y39" s="3478"/>
      <c r="Z39" s="1258">
        <f t="shared" si="15"/>
        <v>111</v>
      </c>
      <c r="AA39" s="1258">
        <f t="shared" si="3"/>
        <v>1</v>
      </c>
      <c r="AB39" s="1258">
        <f t="shared" si="4"/>
        <v>1</v>
      </c>
      <c r="AC39" s="1258">
        <f t="shared" si="5"/>
        <v>1</v>
      </c>
    </row>
    <row r="40" spans="1:29" ht="15.75" thickBot="1">
      <c r="A40" s="415"/>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4"/>
      <c r="M40" s="855"/>
      <c r="N40" s="855"/>
      <c r="O40" s="863"/>
      <c r="P40" s="3479"/>
      <c r="Q40" s="1257">
        <f t="shared" si="11"/>
        <v>111</v>
      </c>
      <c r="R40" s="667" t="s">
        <v>14</v>
      </c>
      <c r="S40" s="668">
        <f t="shared" si="12"/>
        <v>100</v>
      </c>
      <c r="T40" s="667" t="s">
        <v>14</v>
      </c>
      <c r="U40" s="668">
        <f t="shared" si="13"/>
        <v>100</v>
      </c>
      <c r="V40" s="667" t="s">
        <v>14</v>
      </c>
      <c r="W40" s="668">
        <f t="shared" si="14"/>
        <v>100</v>
      </c>
      <c r="X40" s="1259"/>
      <c r="Y40" s="3479"/>
      <c r="Z40" s="1258">
        <f t="shared" si="15"/>
        <v>111</v>
      </c>
      <c r="AA40" s="1258">
        <f t="shared" si="3"/>
        <v>1</v>
      </c>
      <c r="AB40" s="1258">
        <f t="shared" si="4"/>
        <v>1</v>
      </c>
      <c r="AC40" s="1258">
        <f t="shared" si="5"/>
        <v>1</v>
      </c>
    </row>
    <row r="41" spans="1:29" ht="15">
      <c r="A41" s="416" t="s">
        <v>1704</v>
      </c>
      <c r="B41" s="417"/>
      <c r="C41" s="1075" t="s">
        <v>0</v>
      </c>
      <c r="D41" s="418"/>
      <c r="E41" s="419"/>
      <c r="F41" s="420"/>
      <c r="G41" s="421"/>
      <c r="H41" s="422"/>
      <c r="I41" s="419"/>
      <c r="J41" s="422"/>
      <c r="K41" s="674"/>
      <c r="L41" s="867"/>
      <c r="M41" s="855"/>
      <c r="N41" s="855"/>
      <c r="O41" s="855"/>
      <c r="P41" s="3466" t="str">
        <f>A41</f>
        <v>成交单价（元/平方米）</v>
      </c>
      <c r="Q41" s="3466"/>
      <c r="R41" s="3467">
        <f>E41</f>
        <v>0</v>
      </c>
      <c r="S41" s="3467"/>
      <c r="T41" s="3467">
        <f>G41</f>
        <v>0</v>
      </c>
      <c r="U41" s="3467"/>
      <c r="V41" s="3467">
        <f>I41</f>
        <v>0</v>
      </c>
      <c r="W41" s="3467"/>
      <c r="X41" s="385"/>
      <c r="Y41" s="673"/>
      <c r="Z41" s="385"/>
      <c r="AA41" s="385"/>
      <c r="AB41" s="385"/>
      <c r="AC41" s="385"/>
    </row>
    <row r="42" spans="1:29" ht="15.75" thickBot="1">
      <c r="A42" s="423" t="s">
        <v>1789</v>
      </c>
      <c r="B42" s="424"/>
      <c r="C42" s="1076" t="e">
        <f>R43</f>
        <v>#DIV/0!</v>
      </c>
      <c r="D42" s="2135" t="s">
        <v>2131</v>
      </c>
      <c r="E42" s="1077" t="e">
        <f>R42</f>
        <v>#DIV/0!</v>
      </c>
      <c r="F42" s="2136"/>
      <c r="G42" s="1076" t="e">
        <f>T42</f>
        <v>#DIV/0!</v>
      </c>
      <c r="H42" s="2136"/>
      <c r="I42" s="1077" t="e">
        <f>V42</f>
        <v>#DIV/0!</v>
      </c>
      <c r="J42" s="2136"/>
      <c r="K42" s="2138">
        <f>F42+H42+J42</f>
        <v>0</v>
      </c>
      <c r="L42" s="867"/>
      <c r="M42" s="855"/>
      <c r="N42" s="855"/>
      <c r="O42" s="855"/>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385"/>
      <c r="Y42" s="385"/>
      <c r="Z42" s="385"/>
      <c r="AA42" s="385"/>
      <c r="AB42" s="385"/>
      <c r="AC42" s="385"/>
    </row>
    <row r="43" spans="1:29" ht="15.75" thickBot="1">
      <c r="A43" s="427" t="s">
        <v>1790</v>
      </c>
      <c r="B43" s="428"/>
      <c r="C43" s="351" t="e">
        <f>R43</f>
        <v>#DIV/0!</v>
      </c>
      <c r="D43" s="351"/>
      <c r="E43" s="351"/>
      <c r="F43" s="351"/>
      <c r="G43" s="351"/>
      <c r="H43" s="351"/>
      <c r="I43" s="351"/>
      <c r="J43" s="351"/>
      <c r="K43" s="675"/>
      <c r="L43" s="867"/>
      <c r="M43" s="855"/>
      <c r="N43" s="855"/>
      <c r="O43" s="855"/>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385"/>
      <c r="Y43" s="385"/>
      <c r="Z43" s="385"/>
      <c r="AA43" s="385"/>
      <c r="AB43" s="385"/>
      <c r="AC43" s="385"/>
    </row>
    <row r="44" spans="1:29">
      <c r="A44" s="2482"/>
      <c r="B44" s="2482"/>
      <c r="C44" s="2482"/>
      <c r="D44" s="2482"/>
      <c r="E44" s="2482"/>
      <c r="F44" s="2482"/>
      <c r="G44" s="2493"/>
      <c r="H44" s="2482"/>
      <c r="I44" s="2482"/>
      <c r="J44" s="2482"/>
      <c r="K44" s="2494"/>
      <c r="L44" s="830"/>
      <c r="M44" s="855"/>
      <c r="N44" s="855"/>
      <c r="O44" s="855"/>
    </row>
    <row r="45" spans="1:29">
      <c r="A45" s="2482"/>
      <c r="B45" s="2482"/>
      <c r="C45" s="2482"/>
      <c r="D45" s="2482"/>
      <c r="E45" s="2482"/>
      <c r="F45" s="2482"/>
      <c r="G45" s="2482"/>
      <c r="H45" s="2482"/>
      <c r="I45" s="2482"/>
      <c r="J45" s="2482"/>
      <c r="K45" s="2494"/>
      <c r="L45" s="830"/>
      <c r="M45" s="855"/>
      <c r="N45" s="855"/>
      <c r="O45" s="855"/>
    </row>
    <row r="46" spans="1:29" ht="13.5" customHeight="1">
      <c r="A46" s="2482"/>
      <c r="B46" s="2482"/>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0"/>
      <c r="M46" s="855"/>
      <c r="N46" s="855"/>
      <c r="O46" s="855"/>
    </row>
    <row r="47" spans="1:29" ht="13.5" customHeight="1">
      <c r="A47" s="2482"/>
      <c r="B47" s="2482"/>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0"/>
      <c r="M47" s="855"/>
      <c r="N47" s="855"/>
      <c r="O47" s="855"/>
    </row>
    <row r="48" spans="1:29" s="437" customFormat="1" ht="13.5" customHeight="1">
      <c r="A48" s="2492"/>
      <c r="B48" s="2492"/>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0"/>
      <c r="M48" s="868"/>
      <c r="N48" s="868"/>
      <c r="O48" s="868"/>
    </row>
    <row r="49" spans="1:17" s="437" customFormat="1">
      <c r="A49" s="2492"/>
      <c r="B49" s="2495"/>
      <c r="C49" s="2496"/>
      <c r="D49" s="2492"/>
      <c r="E49" s="2492"/>
      <c r="F49" s="2492"/>
      <c r="G49" s="2492"/>
      <c r="H49" s="2492"/>
      <c r="I49" s="2492"/>
      <c r="J49" s="2492"/>
      <c r="K49" s="2497"/>
      <c r="L49" s="870"/>
      <c r="M49" s="868"/>
      <c r="N49" s="868"/>
      <c r="O49" s="868"/>
    </row>
    <row r="50" spans="1:17">
      <c r="A50" s="2482"/>
      <c r="B50" s="2495"/>
      <c r="C50" s="2496"/>
      <c r="D50" s="2482"/>
      <c r="E50" s="2482"/>
      <c r="F50" s="2482"/>
      <c r="G50" s="2482"/>
      <c r="H50" s="2482"/>
      <c r="I50" s="2482"/>
      <c r="J50" s="2482"/>
      <c r="K50" s="2494"/>
      <c r="L50" s="830"/>
      <c r="M50" s="855"/>
      <c r="N50" s="855"/>
      <c r="O50" s="855"/>
    </row>
    <row r="51" spans="1:17" ht="21.75" thickBot="1">
      <c r="A51" s="658" t="s">
        <v>1794</v>
      </c>
      <c r="B51" s="385"/>
      <c r="C51" s="659"/>
      <c r="D51" s="659"/>
      <c r="E51" s="659"/>
      <c r="F51" s="660"/>
      <c r="G51" s="660"/>
      <c r="H51" s="659"/>
      <c r="I51" s="659"/>
      <c r="J51" s="659"/>
      <c r="K51" s="881"/>
      <c r="L51" s="882"/>
      <c r="M51" s="880"/>
      <c r="N51" s="880"/>
      <c r="O51" s="880"/>
      <c r="P51" s="438"/>
      <c r="Q51" s="439"/>
    </row>
    <row r="52" spans="1:17" s="442" customFormat="1" ht="15">
      <c r="A52" s="440" t="s">
        <v>1675</v>
      </c>
      <c r="B52" s="441"/>
      <c r="C52" s="1097" t="str">
        <f>YEAR(C7)&amp;"-"&amp;MONTH(C7)</f>
        <v>2025-8</v>
      </c>
      <c r="D52" s="1098">
        <f>EDATE(C52,-1)</f>
        <v>45839</v>
      </c>
      <c r="E52" s="1098">
        <f t="shared" ref="E52:O52" si="16">EDATE(D52,-1)</f>
        <v>45809</v>
      </c>
      <c r="F52" s="1098">
        <f t="shared" si="16"/>
        <v>45778</v>
      </c>
      <c r="G52" s="1098">
        <f t="shared" si="16"/>
        <v>45748</v>
      </c>
      <c r="H52" s="1098">
        <f t="shared" si="16"/>
        <v>45717</v>
      </c>
      <c r="I52" s="1098">
        <f t="shared" si="16"/>
        <v>45689</v>
      </c>
      <c r="J52" s="1098">
        <f t="shared" si="16"/>
        <v>45658</v>
      </c>
      <c r="K52" s="1098">
        <f t="shared" si="16"/>
        <v>45627</v>
      </c>
      <c r="L52" s="1098">
        <f t="shared" si="16"/>
        <v>45597</v>
      </c>
      <c r="M52" s="1098">
        <f t="shared" si="16"/>
        <v>45566</v>
      </c>
      <c r="N52" s="1098">
        <f t="shared" si="16"/>
        <v>45536</v>
      </c>
      <c r="O52" s="1098">
        <f t="shared" si="16"/>
        <v>45505</v>
      </c>
    </row>
    <row r="53" spans="1:17" s="102" customFormat="1" ht="15">
      <c r="A53" s="443"/>
      <c r="B53" s="444"/>
      <c r="C53" s="1096">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3"/>
      <c r="O54" s="2534"/>
      <c r="P54" s="439"/>
      <c r="Q54" s="439"/>
    </row>
    <row r="55" spans="1:17" s="102" customFormat="1" ht="15">
      <c r="A55" s="455" t="s">
        <v>1677</v>
      </c>
      <c r="B55" s="444"/>
      <c r="C55" s="456" t="s">
        <v>1772</v>
      </c>
      <c r="D55" s="31"/>
      <c r="E55" s="31"/>
      <c r="F55" s="31"/>
      <c r="G55" s="31"/>
      <c r="H55" s="31"/>
      <c r="I55" s="31"/>
      <c r="J55" s="31"/>
      <c r="K55" s="31"/>
      <c r="L55" s="457"/>
      <c r="M55" s="458"/>
      <c r="N55" s="872"/>
      <c r="O55" s="872"/>
      <c r="P55" s="459"/>
      <c r="Q55" s="439"/>
    </row>
    <row r="56" spans="1:17" s="102" customFormat="1" ht="15.75" thickBot="1">
      <c r="A56" s="455"/>
      <c r="B56" s="444"/>
      <c r="C56" s="563">
        <v>100</v>
      </c>
      <c r="D56" s="446"/>
      <c r="E56" s="446"/>
      <c r="F56" s="446"/>
      <c r="G56" s="446"/>
      <c r="H56" s="446"/>
      <c r="I56" s="446"/>
      <c r="J56" s="446"/>
      <c r="K56" s="446"/>
      <c r="L56" s="446"/>
      <c r="M56" s="448"/>
      <c r="N56" s="872"/>
      <c r="O56" s="872"/>
      <c r="P56" s="439"/>
      <c r="Q56" s="439"/>
    </row>
    <row r="57" spans="1:17">
      <c r="A57" s="379" t="s">
        <v>1715</v>
      </c>
      <c r="B57" s="460" t="s">
        <v>1681</v>
      </c>
      <c r="C57" s="461">
        <f>C9</f>
        <v>0</v>
      </c>
      <c r="D57" s="462"/>
      <c r="E57" s="462"/>
      <c r="F57" s="462"/>
      <c r="G57" s="462"/>
      <c r="H57" s="462"/>
      <c r="I57" s="462"/>
      <c r="J57" s="462"/>
      <c r="K57" s="463"/>
      <c r="L57" s="464"/>
      <c r="M57" s="465"/>
      <c r="N57" s="873"/>
      <c r="O57" s="873"/>
      <c r="P57" s="40"/>
      <c r="Q57" s="439"/>
    </row>
    <row r="58" spans="1:17" ht="15.75" thickBot="1">
      <c r="A58" s="367"/>
      <c r="B58" s="466"/>
      <c r="C58" s="467">
        <v>100</v>
      </c>
      <c r="D58" s="467"/>
      <c r="E58" s="467"/>
      <c r="F58" s="467"/>
      <c r="G58" s="467"/>
      <c r="H58" s="467"/>
      <c r="I58" s="467"/>
      <c r="J58" s="467"/>
      <c r="K58" s="467"/>
      <c r="L58" s="467"/>
      <c r="M58" s="468"/>
      <c r="N58" s="874"/>
      <c r="O58" s="874"/>
      <c r="P58" s="40"/>
      <c r="Q58" s="439"/>
    </row>
    <row r="59" spans="1:17" ht="27.75" thickTop="1">
      <c r="A59" s="367"/>
      <c r="B59" s="469" t="s">
        <v>1684</v>
      </c>
      <c r="C59" s="513"/>
      <c r="D59" s="513"/>
      <c r="E59" s="513"/>
      <c r="F59" s="513"/>
      <c r="G59" s="513"/>
      <c r="H59" s="513"/>
      <c r="I59" s="513"/>
      <c r="J59" s="513"/>
      <c r="K59" s="514"/>
      <c r="L59" s="515"/>
      <c r="M59" s="516"/>
      <c r="N59" s="873"/>
      <c r="O59" s="873"/>
      <c r="P59" s="40"/>
      <c r="Q59" s="439"/>
    </row>
    <row r="60" spans="1:17" ht="15.75" thickBot="1">
      <c r="A60" s="367"/>
      <c r="B60" s="474"/>
      <c r="C60" s="467"/>
      <c r="D60" s="467"/>
      <c r="E60" s="467"/>
      <c r="F60" s="467"/>
      <c r="G60" s="467"/>
      <c r="H60" s="467"/>
      <c r="I60" s="467"/>
      <c r="J60" s="467"/>
      <c r="K60" s="467"/>
      <c r="L60" s="467"/>
      <c r="M60" s="468"/>
      <c r="N60" s="874"/>
      <c r="O60" s="874"/>
      <c r="P60" s="40"/>
      <c r="Q60" s="439"/>
    </row>
    <row r="61" spans="1:17" ht="15.75" thickTop="1">
      <c r="A61" s="367"/>
      <c r="B61" s="477" t="s">
        <v>1685</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4"/>
      <c r="O61" s="874"/>
      <c r="P61" s="40"/>
      <c r="Q61" s="439"/>
    </row>
    <row r="62" spans="1:17" ht="15">
      <c r="A62" s="367"/>
      <c r="B62" s="479"/>
      <c r="C62" s="480">
        <v>0</v>
      </c>
      <c r="D62" s="480">
        <v>2</v>
      </c>
      <c r="E62" s="480"/>
      <c r="F62" s="480"/>
      <c r="G62" s="480"/>
      <c r="H62" s="480"/>
      <c r="I62" s="480"/>
      <c r="J62" s="480"/>
      <c r="K62" s="481"/>
      <c r="L62" s="482"/>
      <c r="M62" s="483"/>
      <c r="N62" s="873"/>
      <c r="O62" s="873"/>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4"/>
      <c r="O63" s="874"/>
      <c r="P63" s="40"/>
      <c r="Q63" s="439"/>
    </row>
    <row r="64" spans="1:17" s="408" customFormat="1" ht="15.75" thickTop="1">
      <c r="A64" s="484"/>
      <c r="B64" s="469">
        <f>B12</f>
        <v>111</v>
      </c>
      <c r="C64" s="485"/>
      <c r="D64" s="485"/>
      <c r="E64" s="485"/>
      <c r="F64" s="485"/>
      <c r="G64" s="485"/>
      <c r="H64" s="486"/>
      <c r="I64" s="486"/>
      <c r="J64" s="486"/>
      <c r="K64" s="486"/>
      <c r="L64" s="487"/>
      <c r="M64" s="488"/>
      <c r="N64" s="875"/>
      <c r="O64" s="875"/>
      <c r="P64" s="489"/>
      <c r="Q64" s="490"/>
    </row>
    <row r="65" spans="1:17" s="408" customFormat="1" ht="15.75" thickBot="1">
      <c r="A65" s="484"/>
      <c r="B65" s="474"/>
      <c r="C65" s="491"/>
      <c r="D65" s="467"/>
      <c r="E65" s="467"/>
      <c r="F65" s="467"/>
      <c r="G65" s="467"/>
      <c r="H65" s="467"/>
      <c r="I65" s="467"/>
      <c r="J65" s="467"/>
      <c r="K65" s="467"/>
      <c r="L65" s="467"/>
      <c r="M65" s="468"/>
      <c r="N65" s="874"/>
      <c r="O65" s="874"/>
      <c r="P65" s="489"/>
      <c r="Q65" s="490"/>
    </row>
    <row r="66" spans="1:17" s="408" customFormat="1" ht="15.75" thickTop="1">
      <c r="A66" s="484"/>
      <c r="B66" s="469">
        <f>B13</f>
        <v>111</v>
      </c>
      <c r="C66" s="485"/>
      <c r="D66" s="485"/>
      <c r="E66" s="485"/>
      <c r="F66" s="485"/>
      <c r="G66" s="485"/>
      <c r="H66" s="486"/>
      <c r="I66" s="486"/>
      <c r="J66" s="486"/>
      <c r="K66" s="486"/>
      <c r="L66" s="487"/>
      <c r="M66" s="488"/>
      <c r="N66" s="875"/>
      <c r="O66" s="875"/>
      <c r="Q66" s="492"/>
    </row>
    <row r="67" spans="1:17" s="408" customFormat="1" ht="15.75" thickBot="1">
      <c r="A67" s="484"/>
      <c r="B67" s="474"/>
      <c r="C67" s="491"/>
      <c r="D67" s="467"/>
      <c r="E67" s="467"/>
      <c r="F67" s="467"/>
      <c r="G67" s="491"/>
      <c r="H67" s="493"/>
      <c r="I67" s="493"/>
      <c r="J67" s="493"/>
      <c r="K67" s="493"/>
      <c r="L67" s="493"/>
      <c r="M67" s="494"/>
      <c r="N67" s="875"/>
      <c r="O67" s="875"/>
      <c r="P67" s="489"/>
      <c r="Q67" s="490"/>
    </row>
    <row r="68" spans="1:17" s="408" customFormat="1" ht="15.75" thickTop="1">
      <c r="A68" s="484"/>
      <c r="B68" s="477">
        <f>B14</f>
        <v>111</v>
      </c>
      <c r="C68" s="31"/>
      <c r="D68" s="31"/>
      <c r="E68" s="31"/>
      <c r="F68" s="31"/>
      <c r="G68" s="31"/>
      <c r="H68" s="495"/>
      <c r="I68" s="495"/>
      <c r="J68" s="495"/>
      <c r="K68" s="495"/>
      <c r="L68" s="496"/>
      <c r="M68" s="497"/>
      <c r="N68" s="875"/>
      <c r="O68" s="875"/>
      <c r="P68" s="498"/>
      <c r="Q68" s="490"/>
    </row>
    <row r="69" spans="1:17" s="408" customFormat="1" ht="15.75" thickBot="1">
      <c r="A69" s="499"/>
      <c r="B69" s="500"/>
      <c r="C69" s="501"/>
      <c r="D69" s="501"/>
      <c r="E69" s="501"/>
      <c r="F69" s="501"/>
      <c r="G69" s="501"/>
      <c r="H69" s="502"/>
      <c r="I69" s="502"/>
      <c r="J69" s="502"/>
      <c r="K69" s="502"/>
      <c r="L69" s="502"/>
      <c r="M69" s="503"/>
      <c r="N69" s="875"/>
      <c r="O69" s="875"/>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3"/>
      <c r="O70" s="873"/>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4"/>
      <c r="O71" s="874"/>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3"/>
      <c r="O72" s="873"/>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4"/>
      <c r="O73" s="874"/>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3"/>
      <c r="O74" s="873"/>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4"/>
      <c r="O75" s="874"/>
      <c r="P75" s="40"/>
      <c r="Q75" s="439"/>
    </row>
    <row r="76" spans="1:17" ht="15.75" thickTop="1">
      <c r="A76" s="367"/>
      <c r="B76" s="477" t="s">
        <v>1809</v>
      </c>
      <c r="C76" s="581" t="s">
        <v>1795</v>
      </c>
      <c r="D76" s="581" t="s">
        <v>1796</v>
      </c>
      <c r="E76" s="581" t="s">
        <v>1797</v>
      </c>
      <c r="F76" s="581" t="s">
        <v>1798</v>
      </c>
      <c r="G76" s="581" t="s">
        <v>1799</v>
      </c>
      <c r="H76" s="470"/>
      <c r="I76" s="470"/>
      <c r="J76" s="470"/>
      <c r="K76" s="470"/>
      <c r="L76" s="470"/>
      <c r="M76" s="1057"/>
      <c r="N76" s="874"/>
      <c r="O76" s="874"/>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4"/>
      <c r="O77" s="874"/>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3"/>
      <c r="O78" s="873"/>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4"/>
      <c r="O79" s="874"/>
      <c r="P79" s="40"/>
      <c r="Q79" s="439"/>
    </row>
    <row r="80" spans="1:17" s="102" customFormat="1" ht="15.75" thickTop="1">
      <c r="A80" s="370"/>
      <c r="B80" s="469">
        <f>B25</f>
        <v>111</v>
      </c>
      <c r="C80" s="485"/>
      <c r="D80" s="485"/>
      <c r="E80" s="485"/>
      <c r="F80" s="485"/>
      <c r="G80" s="485"/>
      <c r="H80" s="485"/>
      <c r="I80" s="485"/>
      <c r="J80" s="485"/>
      <c r="K80" s="485"/>
      <c r="L80" s="510"/>
      <c r="M80" s="511"/>
      <c r="N80" s="872"/>
      <c r="O80" s="872"/>
      <c r="P80" s="40"/>
      <c r="Q80" s="439"/>
    </row>
    <row r="81" spans="1:17" s="102" customFormat="1" ht="15.75" thickBot="1">
      <c r="A81" s="370"/>
      <c r="B81" s="474"/>
      <c r="C81" s="491"/>
      <c r="D81" s="467"/>
      <c r="E81" s="467"/>
      <c r="F81" s="467"/>
      <c r="G81" s="467"/>
      <c r="H81" s="467"/>
      <c r="I81" s="467"/>
      <c r="J81" s="467"/>
      <c r="K81" s="467"/>
      <c r="L81" s="467"/>
      <c r="M81" s="468"/>
      <c r="N81" s="874"/>
      <c r="O81" s="874"/>
      <c r="P81" s="40"/>
      <c r="Q81" s="439"/>
    </row>
    <row r="82" spans="1:17" s="102" customFormat="1" ht="15.75" thickTop="1">
      <c r="A82" s="370"/>
      <c r="B82" s="469">
        <f>B26</f>
        <v>111</v>
      </c>
      <c r="C82" s="485"/>
      <c r="D82" s="485"/>
      <c r="E82" s="485"/>
      <c r="F82" s="485"/>
      <c r="G82" s="485"/>
      <c r="H82" s="485"/>
      <c r="I82" s="485"/>
      <c r="J82" s="485"/>
      <c r="K82" s="485"/>
      <c r="L82" s="510"/>
      <c r="M82" s="511"/>
      <c r="N82" s="872"/>
      <c r="O82" s="872"/>
      <c r="P82" s="40"/>
      <c r="Q82" s="439"/>
    </row>
    <row r="83" spans="1:17" s="102" customFormat="1" ht="15.75" thickBot="1">
      <c r="A83" s="370"/>
      <c r="B83" s="474"/>
      <c r="C83" s="491"/>
      <c r="D83" s="467"/>
      <c r="E83" s="467"/>
      <c r="F83" s="467"/>
      <c r="G83" s="467"/>
      <c r="H83" s="467"/>
      <c r="I83" s="467"/>
      <c r="J83" s="467"/>
      <c r="K83" s="467"/>
      <c r="L83" s="467"/>
      <c r="M83" s="468"/>
      <c r="N83" s="874"/>
      <c r="O83" s="874"/>
      <c r="P83" s="40"/>
      <c r="Q83" s="439"/>
    </row>
    <row r="84" spans="1:17" s="408" customFormat="1" ht="15.75" thickTop="1">
      <c r="A84" s="484"/>
      <c r="B84" s="469">
        <f>B27</f>
        <v>111</v>
      </c>
      <c r="C84" s="485"/>
      <c r="D84" s="485"/>
      <c r="E84" s="485"/>
      <c r="F84" s="485"/>
      <c r="G84" s="485"/>
      <c r="H84" s="485"/>
      <c r="I84" s="485"/>
      <c r="J84" s="485"/>
      <c r="K84" s="485"/>
      <c r="L84" s="510"/>
      <c r="M84" s="511"/>
      <c r="N84" s="875"/>
      <c r="O84" s="875"/>
      <c r="P84" s="489"/>
      <c r="Q84" s="490"/>
    </row>
    <row r="85" spans="1:17" s="408" customFormat="1" ht="15.75" thickBot="1">
      <c r="A85" s="484"/>
      <c r="B85" s="474"/>
      <c r="C85" s="491"/>
      <c r="D85" s="467"/>
      <c r="E85" s="467"/>
      <c r="F85" s="467"/>
      <c r="G85" s="467"/>
      <c r="H85" s="467"/>
      <c r="I85" s="467"/>
      <c r="J85" s="467"/>
      <c r="K85" s="467"/>
      <c r="L85" s="467"/>
      <c r="M85" s="468"/>
      <c r="N85" s="875"/>
      <c r="O85" s="875"/>
      <c r="P85" s="489"/>
      <c r="Q85" s="490"/>
    </row>
    <row r="86" spans="1:17" ht="15.75" thickTop="1">
      <c r="A86" s="367"/>
      <c r="B86" s="477">
        <f>B28</f>
        <v>111</v>
      </c>
      <c r="C86" s="31"/>
      <c r="D86" s="31"/>
      <c r="E86" s="31"/>
      <c r="F86" s="31"/>
      <c r="G86" s="517"/>
      <c r="H86" s="517"/>
      <c r="I86" s="517"/>
      <c r="J86" s="517"/>
      <c r="K86" s="518"/>
      <c r="L86" s="519"/>
      <c r="M86" s="520"/>
      <c r="N86" s="873"/>
      <c r="O86" s="873"/>
      <c r="P86" s="40"/>
      <c r="Q86" s="439"/>
    </row>
    <row r="87" spans="1:17" ht="15.75" thickBot="1">
      <c r="A87" s="375"/>
      <c r="B87" s="500"/>
      <c r="C87" s="501"/>
      <c r="D87" s="501"/>
      <c r="E87" s="501"/>
      <c r="F87" s="501"/>
      <c r="G87" s="521"/>
      <c r="H87" s="521"/>
      <c r="I87" s="521"/>
      <c r="J87" s="521"/>
      <c r="K87" s="521"/>
      <c r="L87" s="521"/>
      <c r="M87" s="522"/>
      <c r="N87" s="874"/>
      <c r="O87" s="874"/>
      <c r="P87" s="40"/>
      <c r="Q87" s="439"/>
    </row>
    <row r="88" spans="1:17">
      <c r="A88" s="379" t="s">
        <v>1690</v>
      </c>
      <c r="B88" s="460" t="s">
        <v>1732</v>
      </c>
      <c r="C88" s="462"/>
      <c r="D88" s="462"/>
      <c r="E88" s="462"/>
      <c r="F88" s="462"/>
      <c r="G88" s="462"/>
      <c r="H88" s="462"/>
      <c r="I88" s="462"/>
      <c r="J88" s="462"/>
      <c r="K88" s="463"/>
      <c r="L88" s="464"/>
      <c r="M88" s="465"/>
      <c r="N88" s="873"/>
      <c r="O88" s="873"/>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4"/>
      <c r="O89" s="874"/>
      <c r="P89" s="40"/>
      <c r="Q89" s="439"/>
    </row>
    <row r="90" spans="1:17" ht="15.75" thickTop="1">
      <c r="A90" s="367"/>
      <c r="B90" s="469" t="s">
        <v>1733</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2"/>
      <c r="O90" s="872"/>
      <c r="P90" s="40"/>
      <c r="Q90" s="439"/>
    </row>
    <row r="91" spans="1:17" s="408" customFormat="1">
      <c r="A91" s="406"/>
      <c r="B91" s="523"/>
      <c r="C91" s="6"/>
      <c r="D91" s="6"/>
      <c r="E91" s="6"/>
      <c r="F91" s="6"/>
      <c r="G91" s="6"/>
      <c r="H91" s="6"/>
      <c r="I91" s="6"/>
      <c r="J91" s="524"/>
      <c r="K91" s="524"/>
      <c r="L91" s="525"/>
      <c r="M91" s="526"/>
      <c r="N91" s="875"/>
      <c r="O91" s="875"/>
      <c r="P91" s="489"/>
      <c r="Q91" s="490"/>
    </row>
    <row r="92" spans="1:17" s="408" customFormat="1" ht="15.75" thickBot="1">
      <c r="A92" s="484"/>
      <c r="B92" s="474"/>
      <c r="C92" s="491"/>
      <c r="D92" s="467"/>
      <c r="E92" s="467"/>
      <c r="F92" s="467"/>
      <c r="G92" s="467"/>
      <c r="H92" s="467"/>
      <c r="I92" s="467"/>
      <c r="J92" s="467"/>
      <c r="K92" s="467"/>
      <c r="L92" s="467"/>
      <c r="M92" s="468"/>
      <c r="N92" s="874"/>
      <c r="O92" s="874"/>
      <c r="P92" s="489"/>
      <c r="Q92" s="490"/>
    </row>
    <row r="93" spans="1:17" ht="15" thickTop="1">
      <c r="A93" s="409"/>
      <c r="B93" s="469" t="s">
        <v>1734</v>
      </c>
      <c r="C93" s="485"/>
      <c r="D93" s="485"/>
      <c r="E93" s="513"/>
      <c r="F93" s="513"/>
      <c r="G93" s="513"/>
      <c r="H93" s="513"/>
      <c r="I93" s="513"/>
      <c r="J93" s="513"/>
      <c r="K93" s="514"/>
      <c r="L93" s="515"/>
      <c r="M93" s="516"/>
      <c r="N93" s="873"/>
      <c r="O93" s="873"/>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4"/>
      <c r="O94" s="874"/>
      <c r="P94" s="40"/>
      <c r="Q94" s="439"/>
    </row>
    <row r="95" spans="1:17" ht="15" thickTop="1">
      <c r="A95" s="409"/>
      <c r="B95" s="469" t="s">
        <v>1736</v>
      </c>
      <c r="C95" s="485"/>
      <c r="D95" s="485"/>
      <c r="E95" s="485"/>
      <c r="F95" s="513"/>
      <c r="G95" s="513"/>
      <c r="H95" s="513"/>
      <c r="I95" s="513"/>
      <c r="J95" s="513"/>
      <c r="K95" s="514"/>
      <c r="L95" s="515"/>
      <c r="M95" s="516"/>
      <c r="N95" s="873"/>
      <c r="O95" s="873"/>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4"/>
      <c r="O96" s="874"/>
      <c r="P96" s="40"/>
      <c r="Q96" s="439"/>
    </row>
    <row r="97" spans="1:17" ht="15" thickTop="1">
      <c r="A97" s="409"/>
      <c r="B97" s="469" t="s">
        <v>1186</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3"/>
      <c r="O97" s="873"/>
      <c r="P97" s="40"/>
      <c r="Q97" s="439"/>
    </row>
    <row r="98" spans="1:17">
      <c r="A98" s="409"/>
      <c r="B98" s="477"/>
      <c r="C98" s="530">
        <v>0.5</v>
      </c>
      <c r="D98" s="530">
        <v>0.6</v>
      </c>
      <c r="E98" s="530">
        <v>0.7</v>
      </c>
      <c r="F98" s="530">
        <v>0.8</v>
      </c>
      <c r="G98" s="530">
        <v>0.9</v>
      </c>
      <c r="H98" s="530">
        <v>1.0001</v>
      </c>
      <c r="I98" s="548"/>
      <c r="J98" s="548"/>
      <c r="K98" s="549"/>
      <c r="L98" s="550"/>
      <c r="M98" s="551"/>
      <c r="N98" s="873"/>
      <c r="O98" s="873"/>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4"/>
      <c r="O99" s="874"/>
      <c r="P99" s="40"/>
      <c r="Q99" s="439"/>
    </row>
    <row r="100" spans="1:17" s="408" customFormat="1" ht="15" thickTop="1">
      <c r="A100" s="406"/>
      <c r="B100" s="469" t="s">
        <v>1737</v>
      </c>
      <c r="C100" s="485"/>
      <c r="D100" s="485"/>
      <c r="E100" s="485"/>
      <c r="F100" s="485"/>
      <c r="G100" s="485"/>
      <c r="H100" s="513"/>
      <c r="I100" s="513"/>
      <c r="J100" s="513"/>
      <c r="K100" s="514"/>
      <c r="L100" s="515"/>
      <c r="M100" s="516"/>
      <c r="N100" s="875"/>
      <c r="O100" s="875"/>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5"/>
      <c r="O101" s="875"/>
      <c r="P101" s="489"/>
      <c r="Q101" s="490"/>
    </row>
    <row r="102" spans="1:17" ht="15" thickTop="1">
      <c r="A102" s="409"/>
      <c r="B102" s="469" t="s">
        <v>1738</v>
      </c>
      <c r="C102" s="485"/>
      <c r="D102" s="485"/>
      <c r="E102" s="485"/>
      <c r="F102" s="485"/>
      <c r="G102" s="485"/>
      <c r="H102" s="513"/>
      <c r="I102" s="513"/>
      <c r="J102" s="513"/>
      <c r="K102" s="514"/>
      <c r="L102" s="515"/>
      <c r="M102" s="516"/>
      <c r="N102" s="873"/>
      <c r="O102" s="873"/>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4"/>
      <c r="O103" s="874"/>
      <c r="P103" s="40"/>
      <c r="Q103" s="439"/>
    </row>
    <row r="104" spans="1:17" ht="15" thickTop="1">
      <c r="A104" s="409"/>
      <c r="B104" s="469" t="s">
        <v>1740</v>
      </c>
      <c r="C104" s="485"/>
      <c r="D104" s="485"/>
      <c r="E104" s="485"/>
      <c r="F104" s="485"/>
      <c r="G104" s="485"/>
      <c r="H104" s="513"/>
      <c r="I104" s="513"/>
      <c r="J104" s="513"/>
      <c r="K104" s="514"/>
      <c r="L104" s="515"/>
      <c r="M104" s="516"/>
      <c r="N104" s="873"/>
      <c r="O104" s="873"/>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4"/>
      <c r="O105" s="874"/>
      <c r="P105" s="40"/>
      <c r="Q105" s="439"/>
    </row>
    <row r="106" spans="1:17" ht="15" thickTop="1">
      <c r="A106" s="409"/>
      <c r="B106" s="560" t="s">
        <v>1826</v>
      </c>
      <c r="C106" s="509" t="s">
        <v>1717</v>
      </c>
      <c r="D106" s="509" t="s">
        <v>1718</v>
      </c>
      <c r="E106" s="509" t="s">
        <v>1719</v>
      </c>
      <c r="F106" s="509" t="s">
        <v>1720</v>
      </c>
      <c r="G106" s="509" t="s">
        <v>1721</v>
      </c>
      <c r="H106" s="470"/>
      <c r="I106" s="470"/>
      <c r="J106" s="470"/>
      <c r="K106" s="471"/>
      <c r="L106" s="472"/>
      <c r="M106" s="473"/>
      <c r="N106" s="874"/>
      <c r="O106" s="874"/>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4"/>
      <c r="O107" s="874"/>
      <c r="P107" s="40"/>
      <c r="Q107" s="439"/>
    </row>
    <row r="108" spans="1:17" s="408" customFormat="1" ht="15" thickTop="1">
      <c r="A108" s="406"/>
      <c r="B108" s="469">
        <f>B38</f>
        <v>111</v>
      </c>
      <c r="C108" s="485"/>
      <c r="D108" s="485"/>
      <c r="E108" s="485"/>
      <c r="F108" s="485"/>
      <c r="G108" s="485"/>
      <c r="H108" s="486"/>
      <c r="I108" s="486"/>
      <c r="J108" s="486"/>
      <c r="K108" s="486"/>
      <c r="L108" s="487"/>
      <c r="M108" s="488"/>
      <c r="N108" s="875"/>
      <c r="O108" s="875"/>
      <c r="P108" s="489"/>
      <c r="Q108" s="490"/>
    </row>
    <row r="109" spans="1:17" s="408" customFormat="1" ht="15.75" thickBot="1">
      <c r="A109" s="484"/>
      <c r="B109" s="466"/>
      <c r="C109" s="491"/>
      <c r="D109" s="467"/>
      <c r="E109" s="467"/>
      <c r="F109" s="467"/>
      <c r="G109" s="491"/>
      <c r="H109" s="493"/>
      <c r="I109" s="493"/>
      <c r="J109" s="493"/>
      <c r="K109" s="493"/>
      <c r="L109" s="493"/>
      <c r="M109" s="494"/>
      <c r="N109" s="875"/>
      <c r="O109" s="875"/>
      <c r="P109" s="489"/>
      <c r="Q109" s="490"/>
    </row>
    <row r="110" spans="1:17" ht="15" thickTop="1">
      <c r="A110" s="409"/>
      <c r="B110" s="469">
        <f>B39</f>
        <v>111</v>
      </c>
      <c r="C110" s="485"/>
      <c r="D110" s="485"/>
      <c r="E110" s="485"/>
      <c r="F110" s="485"/>
      <c r="G110" s="485"/>
      <c r="H110" s="486"/>
      <c r="I110" s="486"/>
      <c r="J110" s="486"/>
      <c r="K110" s="486"/>
      <c r="L110" s="487"/>
      <c r="M110" s="488"/>
      <c r="N110" s="873"/>
      <c r="O110" s="873"/>
      <c r="P110" s="40"/>
      <c r="Q110" s="439"/>
    </row>
    <row r="111" spans="1:17" ht="15.75" thickBot="1">
      <c r="A111" s="367"/>
      <c r="B111" s="474"/>
      <c r="C111" s="491"/>
      <c r="D111" s="467"/>
      <c r="E111" s="467"/>
      <c r="F111" s="467"/>
      <c r="G111" s="491"/>
      <c r="H111" s="493"/>
      <c r="I111" s="493"/>
      <c r="J111" s="493"/>
      <c r="K111" s="493"/>
      <c r="L111" s="493"/>
      <c r="M111" s="494"/>
      <c r="N111" s="874"/>
      <c r="O111" s="874"/>
      <c r="P111" s="40"/>
      <c r="Q111" s="439"/>
    </row>
    <row r="112" spans="1:17" ht="15" thickTop="1">
      <c r="A112" s="409"/>
      <c r="B112" s="477">
        <f>B40</f>
        <v>111</v>
      </c>
      <c r="C112" s="31"/>
      <c r="D112" s="31"/>
      <c r="E112" s="31"/>
      <c r="F112" s="31"/>
      <c r="G112" s="517"/>
      <c r="H112" s="517"/>
      <c r="I112" s="517"/>
      <c r="J112" s="517"/>
      <c r="K112" s="31"/>
      <c r="L112" s="457"/>
      <c r="M112" s="520"/>
      <c r="N112" s="873"/>
      <c r="O112" s="873"/>
      <c r="P112" s="40"/>
      <c r="Q112" s="439"/>
    </row>
    <row r="113" spans="1:17" ht="15.75" thickBot="1">
      <c r="A113" s="375"/>
      <c r="B113" s="500"/>
      <c r="C113" s="501"/>
      <c r="D113" s="501"/>
      <c r="E113" s="501"/>
      <c r="F113" s="501"/>
      <c r="G113" s="521"/>
      <c r="H113" s="521"/>
      <c r="I113" s="521"/>
      <c r="J113" s="521"/>
      <c r="K113" s="521"/>
      <c r="L113" s="521"/>
      <c r="M113" s="522"/>
      <c r="N113" s="874"/>
      <c r="O113" s="874"/>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1827</v>
      </c>
      <c r="B1" s="1134" t="s">
        <v>3317</v>
      </c>
      <c r="C1" s="1135" t="s">
        <v>1658</v>
      </c>
      <c r="D1" s="1136"/>
      <c r="E1" s="3125"/>
      <c r="F1" s="1729"/>
      <c r="G1" s="1138" t="s">
        <v>1763</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2" customFormat="1" ht="28.5" customHeight="1" thickTop="1">
      <c r="A2" s="1132" t="s">
        <v>1458</v>
      </c>
      <c r="B2" s="1079" t="b">
        <f>IF(E1="项目模式",IF(C2="——",IF(B37="元/平方米",ROUND(C39*D3/10000,0),ROUND(F3*C39/10000,0)),IF(B37="元/平方米",ROUND(C39*D3/10000,0),ROUND(F3*C39/10000,0))-D2),IF(E1="单套模式",IF(C2="——",IF(B37="元/平方米",ROUND(C39*D3/10000,0),ROUND(F3*C39/10000,0)),IF(B37="元/平方米",ROUND(C39*D3/10000,0),ROUND(F3*C39/10000,0))-D2)))</f>
        <v>0</v>
      </c>
      <c r="C2" s="1731"/>
      <c r="D2" s="848" t="e">
        <f ca="1">IF(E1="项目模式",SUMIF(INDIRECT("'"&amp;F2&amp;"'"&amp;"!A:A"),"承租人权益价值",INDIRECT("'"&amp;F2&amp;"'"&amp;"!c:c")),SUMIF(INDIRECT("'"&amp;F2&amp;"'"&amp;"!A:A"),"承租人权益价值（单套）",INDIRECT("'"&amp;F2&amp;"'"&amp;"!c:c")))</f>
        <v>#REF!</v>
      </c>
      <c r="E2" s="1732" t="s">
        <v>1459</v>
      </c>
      <c r="F2" s="1733"/>
      <c r="G2" s="849"/>
      <c r="H2" s="849"/>
      <c r="I2" s="849"/>
      <c r="J2" s="849"/>
      <c r="K2" s="851"/>
      <c r="L2" s="2498"/>
      <c r="M2" s="2499"/>
      <c r="N2" s="2499"/>
      <c r="O2" s="2499"/>
      <c r="P2" s="1080"/>
      <c r="Q2" s="341"/>
      <c r="R2" s="341"/>
      <c r="S2" s="341"/>
      <c r="T2" s="341"/>
      <c r="U2" s="341"/>
      <c r="V2" s="341"/>
      <c r="W2" s="341"/>
      <c r="X2" s="341"/>
      <c r="Y2" s="341"/>
      <c r="Z2" s="341"/>
      <c r="AA2" s="341"/>
      <c r="AB2" s="341"/>
      <c r="AC2" s="663"/>
    </row>
    <row r="3" spans="1:29" s="342" customFormat="1" ht="28.5" customHeight="1" thickBot="1">
      <c r="A3" s="195" t="s">
        <v>1460</v>
      </c>
      <c r="B3" s="536" t="e">
        <f>IF(AND(C2="——",B37="元/平方米"),C39,ROUND(B2*10000/D3,0))</f>
        <v>#DIV/0!</v>
      </c>
      <c r="C3" s="344" t="s">
        <v>1764</v>
      </c>
      <c r="D3" s="343">
        <f>SUMIF('数据-汇总表'!$C19:$C33,D1,'数据-汇总表'!$E19:$E33)</f>
        <v>0</v>
      </c>
      <c r="E3" s="344" t="s">
        <v>1828</v>
      </c>
      <c r="F3" s="343">
        <f>SUMIF('数据-取费表'!A5:A15,D1,'数据-取费表'!AH5:AH15)</f>
        <v>0</v>
      </c>
      <c r="G3" s="849"/>
      <c r="H3" s="849"/>
      <c r="I3" s="849"/>
      <c r="J3" s="849"/>
      <c r="K3" s="851"/>
      <c r="L3" s="2498"/>
      <c r="M3" s="2499" t="e">
        <f ca="1">IF(C2="——",IF(B37="元/平方米",ROUND(C39*D3/10000,0),ROUND(F3*C39/10000,0)),IF(B37="元/平方米",ROUND(C39*D3/10000,0),ROUND(F3*C39/10000,0))-D2)</f>
        <v>#DIV/0!</v>
      </c>
      <c r="N3" s="2499"/>
      <c r="O3" s="2499"/>
      <c r="P3" s="1080"/>
      <c r="Q3" s="341"/>
      <c r="R3" s="341"/>
      <c r="S3" s="341"/>
      <c r="T3" s="341"/>
      <c r="U3" s="341"/>
      <c r="V3" s="341"/>
      <c r="W3" s="341"/>
      <c r="X3" s="341"/>
      <c r="Y3" s="341"/>
      <c r="Z3" s="341"/>
      <c r="AA3" s="341"/>
      <c r="AB3" s="676"/>
      <c r="AC3" s="663"/>
    </row>
    <row r="4" spans="1:29" ht="15">
      <c r="A4" s="345" t="s">
        <v>1765</v>
      </c>
      <c r="B4" s="346"/>
      <c r="C4" s="3484" t="s">
        <v>1766</v>
      </c>
      <c r="D4" s="3485"/>
      <c r="E4" s="3486" t="s">
        <v>1767</v>
      </c>
      <c r="F4" s="3487"/>
      <c r="G4" s="3484" t="s">
        <v>1768</v>
      </c>
      <c r="H4" s="3485"/>
      <c r="I4" s="3484" t="s">
        <v>1769</v>
      </c>
      <c r="J4" s="3485"/>
      <c r="K4" s="537" t="s">
        <v>1770</v>
      </c>
      <c r="L4" s="2481"/>
      <c r="M4" s="2482"/>
      <c r="N4" s="2482"/>
      <c r="O4" s="2482"/>
      <c r="P4" s="3488" t="s">
        <v>1771</v>
      </c>
      <c r="Q4" s="3489"/>
      <c r="R4" s="3494" t="s">
        <v>1767</v>
      </c>
      <c r="S4" s="3495"/>
      <c r="T4" s="3494" t="s">
        <v>1768</v>
      </c>
      <c r="U4" s="3495"/>
      <c r="V4" s="3467" t="s">
        <v>1769</v>
      </c>
      <c r="W4" s="3467"/>
      <c r="X4" s="1259"/>
      <c r="Y4" s="3494" t="s">
        <v>1771</v>
      </c>
      <c r="Z4" s="3495"/>
      <c r="AA4" s="3481" t="s">
        <v>1767</v>
      </c>
      <c r="AB4" s="3482" t="s">
        <v>1768</v>
      </c>
      <c r="AC4" s="3481" t="s">
        <v>1769</v>
      </c>
    </row>
    <row r="5" spans="1:29" ht="15">
      <c r="A5" s="348"/>
      <c r="B5" s="349"/>
      <c r="C5" s="3502" t="s">
        <v>1669</v>
      </c>
      <c r="D5" s="3503"/>
      <c r="E5" s="3509" t="s">
        <v>1670</v>
      </c>
      <c r="F5" s="3510"/>
      <c r="G5" s="3502" t="s">
        <v>1671</v>
      </c>
      <c r="H5" s="3503"/>
      <c r="I5" s="3502" t="s">
        <v>1672</v>
      </c>
      <c r="J5" s="3503"/>
      <c r="K5" s="537"/>
      <c r="L5" s="2481"/>
      <c r="M5" s="2482"/>
      <c r="N5" s="2482"/>
      <c r="O5" s="2482"/>
      <c r="P5" s="3490"/>
      <c r="Q5" s="3491"/>
      <c r="R5" s="3496"/>
      <c r="S5" s="3497"/>
      <c r="T5" s="3496"/>
      <c r="U5" s="3497"/>
      <c r="V5" s="3467"/>
      <c r="W5" s="3467"/>
      <c r="X5" s="1259"/>
      <c r="Y5" s="3496"/>
      <c r="Z5" s="3497"/>
      <c r="AA5" s="3482"/>
      <c r="AB5" s="3482"/>
      <c r="AC5" s="3482"/>
    </row>
    <row r="6" spans="1:29" ht="15.75" thickBot="1">
      <c r="A6" s="350"/>
      <c r="B6" s="351"/>
      <c r="C6" s="3500" t="s">
        <v>1673</v>
      </c>
      <c r="D6" s="3501"/>
      <c r="E6" s="3507" t="s">
        <v>1673</v>
      </c>
      <c r="F6" s="3508"/>
      <c r="G6" s="3500" t="s">
        <v>1673</v>
      </c>
      <c r="H6" s="3501"/>
      <c r="I6" s="3500" t="s">
        <v>1673</v>
      </c>
      <c r="J6" s="3501"/>
      <c r="K6" s="537" t="s">
        <v>1674</v>
      </c>
      <c r="L6" s="2481"/>
      <c r="M6" s="2482"/>
      <c r="N6" s="2482"/>
      <c r="O6" s="2482"/>
      <c r="P6" s="3492"/>
      <c r="Q6" s="3493"/>
      <c r="R6" s="3496"/>
      <c r="S6" s="3497"/>
      <c r="T6" s="3498"/>
      <c r="U6" s="3499"/>
      <c r="V6" s="3467"/>
      <c r="W6" s="3467"/>
      <c r="X6" s="1259"/>
      <c r="Y6" s="3498"/>
      <c r="Z6" s="3499"/>
      <c r="AA6" s="3483"/>
      <c r="AB6" s="3483"/>
      <c r="AC6" s="3483"/>
    </row>
    <row r="7" spans="1:29" s="102" customFormat="1" ht="15.75" thickBot="1">
      <c r="A7" s="352" t="s">
        <v>1675</v>
      </c>
      <c r="B7" s="353"/>
      <c r="C7" s="354">
        <f>'数据-取费表'!B2</f>
        <v>45873</v>
      </c>
      <c r="D7" s="355">
        <v>100</v>
      </c>
      <c r="E7" s="356"/>
      <c r="F7" s="357">
        <f>SUMIF(48:48,YEAR(E7)&amp;"-"&amp;MONTH(E7),49:49)</f>
        <v>0</v>
      </c>
      <c r="G7" s="356"/>
      <c r="H7" s="355">
        <f>SUMIF(48:48,YEAR(G7)&amp;"-"&amp;MONTH(G7),49:49)</f>
        <v>0</v>
      </c>
      <c r="I7" s="356"/>
      <c r="J7" s="355">
        <f>SUMIF(48:48,YEAR(I7)&amp;"-"&amp;MONTH(I7),49:49)</f>
        <v>0</v>
      </c>
      <c r="K7" s="38"/>
      <c r="L7" s="2483"/>
      <c r="M7" s="2434"/>
      <c r="N7" s="2434"/>
      <c r="O7" s="2434"/>
      <c r="P7" s="3504" t="s">
        <v>1676</v>
      </c>
      <c r="Q7" s="3506"/>
      <c r="R7" s="664" t="s">
        <v>14</v>
      </c>
      <c r="S7" s="665">
        <f t="shared" ref="S7:S14" si="0">F7</f>
        <v>0</v>
      </c>
      <c r="T7" s="664" t="s">
        <v>14</v>
      </c>
      <c r="U7" s="665">
        <f t="shared" ref="U7:U14" si="1">H7</f>
        <v>0</v>
      </c>
      <c r="V7" s="664" t="s">
        <v>14</v>
      </c>
      <c r="W7" s="665">
        <f t="shared" ref="W7:W14" si="2">J7</f>
        <v>0</v>
      </c>
      <c r="X7" s="666"/>
      <c r="Y7" s="3504" t="s">
        <v>1676</v>
      </c>
      <c r="Z7" s="3505"/>
      <c r="AA7" s="50" t="e">
        <f>D7/F7</f>
        <v>#DIV/0!</v>
      </c>
      <c r="AB7" s="50" t="e">
        <f>D7/H7</f>
        <v>#DIV/0!</v>
      </c>
      <c r="AC7" s="50" t="e">
        <f>D7/J7</f>
        <v>#DIV/0!</v>
      </c>
    </row>
    <row r="8" spans="1:29" s="102" customFormat="1" ht="15.75" thickBot="1">
      <c r="A8" s="352" t="s">
        <v>1677</v>
      </c>
      <c r="B8" s="353"/>
      <c r="C8" s="358"/>
      <c r="D8" s="355">
        <v>100</v>
      </c>
      <c r="E8" s="358"/>
      <c r="F8" s="357">
        <f>SUMIF(51:51,E8,52:52)-SUMIF(51:51,C8,52:52)+100</f>
        <v>100</v>
      </c>
      <c r="G8" s="358"/>
      <c r="H8" s="355">
        <f>SUMIF(51:51,G8,52:52)-SUMIF(51:51,C8,52:52)+100</f>
        <v>100</v>
      </c>
      <c r="I8" s="358"/>
      <c r="J8" s="355">
        <f>SUMIF(51:51,I8,52:52)-SUMIF(51:51,C8,52:52)+100</f>
        <v>100</v>
      </c>
      <c r="K8" s="38"/>
      <c r="L8" s="2483"/>
      <c r="M8" s="2434"/>
      <c r="N8" s="2434"/>
      <c r="O8" s="2434"/>
      <c r="P8" s="3504" t="s">
        <v>1679</v>
      </c>
      <c r="Q8" s="3505"/>
      <c r="R8" s="664" t="s">
        <v>14</v>
      </c>
      <c r="S8" s="665">
        <f t="shared" si="0"/>
        <v>100</v>
      </c>
      <c r="T8" s="664" t="s">
        <v>14</v>
      </c>
      <c r="U8" s="665">
        <f t="shared" si="1"/>
        <v>100</v>
      </c>
      <c r="V8" s="664" t="s">
        <v>14</v>
      </c>
      <c r="W8" s="665">
        <f t="shared" si="2"/>
        <v>100</v>
      </c>
      <c r="X8" s="666"/>
      <c r="Y8" s="3504" t="s">
        <v>1679</v>
      </c>
      <c r="Z8" s="3505"/>
      <c r="AA8" s="50">
        <f t="shared" ref="AA8:AA36" si="3">D8/F8</f>
        <v>1</v>
      </c>
      <c r="AB8" s="50">
        <f t="shared" ref="AB8:AB36" si="4">D8/H8</f>
        <v>1</v>
      </c>
      <c r="AC8" s="50">
        <f t="shared" ref="AC8:AC36" si="5">D8/J8</f>
        <v>1</v>
      </c>
    </row>
    <row r="9" spans="1:29" s="102" customFormat="1">
      <c r="A9" s="57" t="s">
        <v>1680</v>
      </c>
      <c r="B9" s="564" t="s">
        <v>1681</v>
      </c>
      <c r="C9" s="360"/>
      <c r="D9" s="59">
        <v>100</v>
      </c>
      <c r="E9" s="362"/>
      <c r="F9" s="59">
        <f>SUMIF(53:53,E9,54:54)-SUMIF(53:53,C9,54:54)+100</f>
        <v>100</v>
      </c>
      <c r="G9" s="361"/>
      <c r="H9" s="59">
        <f>SUMIF(53:53,G9,54:54)-SUMIF(53:53,C9,54:54)+100</f>
        <v>100</v>
      </c>
      <c r="I9" s="361"/>
      <c r="J9" s="59">
        <f>SUMIF(53:53,I9,54:54)-SUMIF(53:53,C9,54:54)+100</f>
        <v>100</v>
      </c>
      <c r="K9" s="38"/>
      <c r="L9" s="2483"/>
      <c r="M9" s="2434"/>
      <c r="N9" s="2434"/>
      <c r="O9" s="2434"/>
      <c r="P9" s="3466" t="s">
        <v>1682</v>
      </c>
      <c r="Q9" s="530" t="str">
        <f t="shared" ref="Q9:Q14" si="6">B9</f>
        <v>用途</v>
      </c>
      <c r="R9" s="664" t="s">
        <v>14</v>
      </c>
      <c r="S9" s="665">
        <f t="shared" si="0"/>
        <v>100</v>
      </c>
      <c r="T9" s="664" t="s">
        <v>14</v>
      </c>
      <c r="U9" s="665">
        <f t="shared" si="1"/>
        <v>100</v>
      </c>
      <c r="V9" s="664" t="s">
        <v>14</v>
      </c>
      <c r="W9" s="665">
        <f t="shared" si="2"/>
        <v>100</v>
      </c>
      <c r="X9" s="666"/>
      <c r="Y9" s="3346" t="s">
        <v>1683</v>
      </c>
      <c r="Z9" s="50" t="str">
        <f t="shared" ref="Z9:Z14" si="7">Q9</f>
        <v>用途</v>
      </c>
      <c r="AA9" s="50">
        <f t="shared" si="3"/>
        <v>1</v>
      </c>
      <c r="AB9" s="50">
        <f t="shared" si="4"/>
        <v>1</v>
      </c>
      <c r="AC9" s="50">
        <f t="shared" si="5"/>
        <v>1</v>
      </c>
    </row>
    <row r="10" spans="1:29" s="366" customFormat="1" ht="27">
      <c r="A10" s="565"/>
      <c r="B10" s="566" t="s">
        <v>1684</v>
      </c>
      <c r="C10" s="3126"/>
      <c r="D10" s="119">
        <v>100</v>
      </c>
      <c r="E10" s="3126"/>
      <c r="F10" s="119">
        <f>SUMIF(55:55,E10,56:56)-SUMIF(55:55,C10,56:56)+100</f>
        <v>100</v>
      </c>
      <c r="G10" s="3127"/>
      <c r="H10" s="119">
        <f>SUMIF(55:55,G10,56:56)-SUMIF(55:55,C10,56:56)+100</f>
        <v>100</v>
      </c>
      <c r="I10" s="3126"/>
      <c r="J10" s="119">
        <f>SUMIF(55:55,I10,56:56)-SUMIF(55:55,C10,56:56)+100</f>
        <v>100</v>
      </c>
      <c r="K10" s="38"/>
      <c r="L10" s="2484"/>
      <c r="M10" s="2485"/>
      <c r="N10" s="2485"/>
      <c r="O10" s="2485"/>
      <c r="P10" s="346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66"/>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4"/>
      <c r="N12" s="2434"/>
      <c r="O12" s="2434"/>
      <c r="P12" s="346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6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
      <c r="A14" s="345" t="s">
        <v>1686</v>
      </c>
      <c r="B14" s="554" t="s">
        <v>1829</v>
      </c>
      <c r="C14" s="1813">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73" t="s">
        <v>1687</v>
      </c>
      <c r="Q14" s="1257" t="str">
        <f t="shared" si="6"/>
        <v>交通便捷度</v>
      </c>
      <c r="R14" s="667" t="s">
        <v>14</v>
      </c>
      <c r="S14" s="668">
        <f t="shared" si="0"/>
        <v>100</v>
      </c>
      <c r="T14" s="667" t="s">
        <v>14</v>
      </c>
      <c r="U14" s="668">
        <f t="shared" si="1"/>
        <v>100</v>
      </c>
      <c r="V14" s="667" t="s">
        <v>14</v>
      </c>
      <c r="W14" s="668">
        <f t="shared" si="2"/>
        <v>100</v>
      </c>
      <c r="X14" s="1259"/>
      <c r="Y14" s="3473" t="s">
        <v>1687</v>
      </c>
      <c r="Z14" s="1258" t="str">
        <f t="shared" si="7"/>
        <v>交通便捷度</v>
      </c>
      <c r="AA14" s="1258">
        <f t="shared" si="3"/>
        <v>1</v>
      </c>
      <c r="AB14" s="1258">
        <f t="shared" si="4"/>
        <v>1</v>
      </c>
      <c r="AC14" s="1258">
        <f t="shared" si="5"/>
        <v>1</v>
      </c>
    </row>
    <row r="15" spans="1:29" ht="15">
      <c r="A15" s="348"/>
      <c r="B15" s="571"/>
      <c r="C15" s="386"/>
      <c r="D15" s="387"/>
      <c r="E15" s="386"/>
      <c r="F15" s="388"/>
      <c r="G15" s="386"/>
      <c r="H15" s="389"/>
      <c r="I15" s="386"/>
      <c r="J15" s="387"/>
      <c r="K15" s="541"/>
      <c r="L15" s="2487"/>
      <c r="M15" s="2482"/>
      <c r="N15" s="2482"/>
      <c r="O15" s="2482"/>
      <c r="P15" s="3474"/>
      <c r="Q15" s="1257"/>
      <c r="R15" s="667"/>
      <c r="S15" s="668"/>
      <c r="T15" s="667"/>
      <c r="U15" s="668"/>
      <c r="V15" s="667"/>
      <c r="W15" s="668"/>
      <c r="X15" s="1259"/>
      <c r="Y15" s="3474"/>
      <c r="Z15" s="1258"/>
      <c r="AA15" s="1258">
        <v>1</v>
      </c>
      <c r="AB15" s="1258">
        <v>1</v>
      </c>
      <c r="AC15" s="1258">
        <v>1</v>
      </c>
    </row>
    <row r="16" spans="1:29" ht="15">
      <c r="A16" s="348"/>
      <c r="B16" s="556" t="s">
        <v>1808</v>
      </c>
      <c r="C16" s="1748">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74"/>
      <c r="Q16" s="1257" t="str">
        <f>B16</f>
        <v>公共配套设施</v>
      </c>
      <c r="R16" s="667" t="s">
        <v>14</v>
      </c>
      <c r="S16" s="668">
        <f>F16</f>
        <v>100</v>
      </c>
      <c r="T16" s="667" t="s">
        <v>14</v>
      </c>
      <c r="U16" s="668">
        <f>H16</f>
        <v>100</v>
      </c>
      <c r="V16" s="667" t="s">
        <v>14</v>
      </c>
      <c r="W16" s="668">
        <f>J16</f>
        <v>100</v>
      </c>
      <c r="X16" s="1259"/>
      <c r="Y16" s="3474"/>
      <c r="Z16" s="1258" t="str">
        <f>Q16</f>
        <v>公共配套设施</v>
      </c>
      <c r="AA16" s="1258">
        <f t="shared" si="3"/>
        <v>1</v>
      </c>
      <c r="AB16" s="1258">
        <f t="shared" si="4"/>
        <v>1</v>
      </c>
      <c r="AC16" s="1258">
        <f t="shared" si="5"/>
        <v>1</v>
      </c>
    </row>
    <row r="17" spans="1:29" ht="15">
      <c r="A17" s="348"/>
      <c r="B17" s="401"/>
      <c r="C17" s="1749"/>
      <c r="D17" s="387"/>
      <c r="E17" s="386"/>
      <c r="F17" s="388"/>
      <c r="G17" s="386"/>
      <c r="H17" s="387"/>
      <c r="I17" s="386"/>
      <c r="J17" s="387"/>
      <c r="K17" s="541"/>
      <c r="L17" s="2487"/>
      <c r="M17" s="2482"/>
      <c r="N17" s="2482"/>
      <c r="O17" s="2482"/>
      <c r="P17" s="3474"/>
      <c r="Q17" s="1257"/>
      <c r="R17" s="667"/>
      <c r="S17" s="668"/>
      <c r="T17" s="667"/>
      <c r="U17" s="668"/>
      <c r="V17" s="667"/>
      <c r="W17" s="668"/>
      <c r="X17" s="1259"/>
      <c r="Y17" s="3474"/>
      <c r="Z17" s="1258"/>
      <c r="AA17" s="1258">
        <v>1</v>
      </c>
      <c r="AB17" s="1258">
        <v>1</v>
      </c>
      <c r="AC17" s="1258">
        <v>1</v>
      </c>
    </row>
    <row r="18" spans="1:29" ht="15">
      <c r="A18" s="348"/>
      <c r="B18" s="557" t="s">
        <v>1809</v>
      </c>
      <c r="C18" s="1748">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74"/>
      <c r="Q18" s="1257" t="str">
        <f>B18</f>
        <v>基础设施水平</v>
      </c>
      <c r="R18" s="667" t="s">
        <v>14</v>
      </c>
      <c r="S18" s="668">
        <f>F18</f>
        <v>100</v>
      </c>
      <c r="T18" s="667" t="s">
        <v>14</v>
      </c>
      <c r="U18" s="668">
        <f>H18</f>
        <v>100</v>
      </c>
      <c r="V18" s="667" t="s">
        <v>14</v>
      </c>
      <c r="W18" s="668">
        <f>J18</f>
        <v>100</v>
      </c>
      <c r="X18" s="1259"/>
      <c r="Y18" s="3474"/>
      <c r="Z18" s="1258" t="str">
        <f>Q18</f>
        <v>基础设施水平</v>
      </c>
      <c r="AA18" s="1258">
        <f t="shared" ref="AA18" si="8">D18/F18</f>
        <v>1</v>
      </c>
      <c r="AB18" s="1258">
        <f t="shared" ref="AB18" si="9">D18/H18</f>
        <v>1</v>
      </c>
      <c r="AC18" s="1258">
        <f t="shared" ref="AC18" si="10">D18/J18</f>
        <v>1</v>
      </c>
    </row>
    <row r="19" spans="1:29" ht="15">
      <c r="A19" s="348"/>
      <c r="B19" s="557"/>
      <c r="C19" s="1749"/>
      <c r="D19" s="389"/>
      <c r="E19" s="1749"/>
      <c r="F19" s="392"/>
      <c r="G19" s="1749"/>
      <c r="H19" s="387"/>
      <c r="I19" s="386"/>
      <c r="J19" s="387"/>
      <c r="K19" s="1058"/>
      <c r="L19" s="2487"/>
      <c r="M19" s="2482"/>
      <c r="N19" s="2482"/>
      <c r="O19" s="2482"/>
      <c r="P19" s="3474"/>
      <c r="Q19" s="1257"/>
      <c r="R19" s="667"/>
      <c r="S19" s="668"/>
      <c r="T19" s="667"/>
      <c r="U19" s="668"/>
      <c r="V19" s="667"/>
      <c r="W19" s="668"/>
      <c r="X19" s="1259"/>
      <c r="Y19" s="3474"/>
      <c r="Z19" s="1258"/>
      <c r="AA19" s="1258">
        <v>1</v>
      </c>
      <c r="AB19" s="1258">
        <v>1</v>
      </c>
      <c r="AC19" s="1258">
        <v>1</v>
      </c>
    </row>
    <row r="20" spans="1:29" ht="15">
      <c r="A20" s="348"/>
      <c r="B20" s="556" t="s">
        <v>1830</v>
      </c>
      <c r="C20" s="1748">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74"/>
      <c r="Q20" s="1257" t="str">
        <f>B20</f>
        <v>自然及人文环境</v>
      </c>
      <c r="R20" s="667" t="s">
        <v>14</v>
      </c>
      <c r="S20" s="668">
        <f>F20</f>
        <v>100</v>
      </c>
      <c r="T20" s="667" t="s">
        <v>14</v>
      </c>
      <c r="U20" s="668">
        <f>H20</f>
        <v>100</v>
      </c>
      <c r="V20" s="667" t="s">
        <v>14</v>
      </c>
      <c r="W20" s="668">
        <f>J20</f>
        <v>100</v>
      </c>
      <c r="X20" s="1259"/>
      <c r="Y20" s="3474"/>
      <c r="Z20" s="1258" t="str">
        <f>Q20</f>
        <v>自然及人文环境</v>
      </c>
      <c r="AA20" s="1258">
        <f t="shared" si="3"/>
        <v>1</v>
      </c>
      <c r="AB20" s="1258">
        <f t="shared" si="4"/>
        <v>1</v>
      </c>
      <c r="AC20" s="1258">
        <f t="shared" si="5"/>
        <v>1</v>
      </c>
    </row>
    <row r="21" spans="1:29" ht="15">
      <c r="A21" s="348"/>
      <c r="B21" s="401"/>
      <c r="C21" s="386"/>
      <c r="D21" s="387"/>
      <c r="E21" s="386"/>
      <c r="F21" s="388"/>
      <c r="G21" s="386"/>
      <c r="H21" s="387"/>
      <c r="I21" s="386"/>
      <c r="J21" s="387"/>
      <c r="K21" s="541"/>
      <c r="L21" s="2487"/>
      <c r="M21" s="2482"/>
      <c r="N21" s="2482"/>
      <c r="O21" s="2482"/>
      <c r="P21" s="3474"/>
      <c r="Q21" s="1257"/>
      <c r="R21" s="667"/>
      <c r="S21" s="668"/>
      <c r="T21" s="667"/>
      <c r="U21" s="668"/>
      <c r="V21" s="667"/>
      <c r="W21" s="668"/>
      <c r="X21" s="1259"/>
      <c r="Y21" s="3474"/>
      <c r="Z21" s="1258"/>
      <c r="AA21" s="1258">
        <v>1</v>
      </c>
      <c r="AB21" s="1258">
        <v>1</v>
      </c>
      <c r="AC21" s="1258">
        <v>1</v>
      </c>
    </row>
    <row r="22" spans="1:29" ht="15">
      <c r="A22" s="348"/>
      <c r="B22" s="556" t="s">
        <v>1831</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74"/>
      <c r="Q22" s="1257" t="str">
        <f>B22</f>
        <v>楼层</v>
      </c>
      <c r="R22" s="667" t="s">
        <v>14</v>
      </c>
      <c r="S22" s="668">
        <f>F22</f>
        <v>100</v>
      </c>
      <c r="T22" s="667" t="s">
        <v>14</v>
      </c>
      <c r="U22" s="668">
        <f>H22</f>
        <v>100</v>
      </c>
      <c r="V22" s="667" t="s">
        <v>14</v>
      </c>
      <c r="W22" s="668">
        <f>J22</f>
        <v>100</v>
      </c>
      <c r="X22" s="1259"/>
      <c r="Y22" s="3474"/>
      <c r="Z22" s="1258" t="str">
        <f>Q22</f>
        <v>楼层</v>
      </c>
      <c r="AA22" s="1258">
        <f t="shared" si="3"/>
        <v>1</v>
      </c>
      <c r="AB22" s="1258">
        <f t="shared" si="4"/>
        <v>1</v>
      </c>
      <c r="AC22" s="1258">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74"/>
      <c r="Q23" s="1257">
        <f>B23</f>
        <v>111</v>
      </c>
      <c r="R23" s="667" t="s">
        <v>14</v>
      </c>
      <c r="S23" s="668">
        <f>F23</f>
        <v>100</v>
      </c>
      <c r="T23" s="667" t="s">
        <v>14</v>
      </c>
      <c r="U23" s="668">
        <f>H23</f>
        <v>100</v>
      </c>
      <c r="V23" s="667" t="s">
        <v>14</v>
      </c>
      <c r="W23" s="668">
        <f>J23</f>
        <v>100</v>
      </c>
      <c r="X23" s="1259"/>
      <c r="Y23" s="3474"/>
      <c r="Z23" s="1258">
        <f>Q23</f>
        <v>111</v>
      </c>
      <c r="AA23" s="1258">
        <f t="shared" si="3"/>
        <v>1</v>
      </c>
      <c r="AB23" s="1258">
        <f t="shared" si="4"/>
        <v>1</v>
      </c>
      <c r="AC23" s="1258">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74"/>
      <c r="Q24" s="1257">
        <f t="shared" ref="Q24:Q36" si="11">B24</f>
        <v>111</v>
      </c>
      <c r="R24" s="667" t="s">
        <v>14</v>
      </c>
      <c r="S24" s="668">
        <f>F24</f>
        <v>100</v>
      </c>
      <c r="T24" s="667" t="s">
        <v>14</v>
      </c>
      <c r="U24" s="668">
        <f>H24</f>
        <v>100</v>
      </c>
      <c r="V24" s="667" t="s">
        <v>14</v>
      </c>
      <c r="W24" s="668">
        <f>J24</f>
        <v>100</v>
      </c>
      <c r="X24" s="1259"/>
      <c r="Y24" s="3474"/>
      <c r="Z24" s="1258">
        <f>Q24</f>
        <v>111</v>
      </c>
      <c r="AA24" s="1258">
        <f t="shared" si="3"/>
        <v>1</v>
      </c>
      <c r="AB24" s="1258">
        <f t="shared" si="4"/>
        <v>1</v>
      </c>
      <c r="AC24" s="1258">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4"/>
      <c r="N25" s="2434"/>
      <c r="O25" s="2434"/>
      <c r="P25" s="3474"/>
      <c r="Q25" s="530">
        <f t="shared" si="11"/>
        <v>111</v>
      </c>
      <c r="R25" s="664" t="s">
        <v>14</v>
      </c>
      <c r="S25" s="665">
        <f>F25</f>
        <v>100</v>
      </c>
      <c r="T25" s="664" t="s">
        <v>14</v>
      </c>
      <c r="U25" s="665">
        <f>H25</f>
        <v>100</v>
      </c>
      <c r="V25" s="664" t="s">
        <v>14</v>
      </c>
      <c r="W25" s="665">
        <f>J25</f>
        <v>100</v>
      </c>
      <c r="X25" s="666"/>
      <c r="Y25" s="3474"/>
      <c r="Z25" s="50">
        <f>Q25</f>
        <v>111</v>
      </c>
      <c r="AA25" s="1258">
        <f>D25/F25</f>
        <v>1</v>
      </c>
      <c r="AB25" s="1258">
        <f>D25/H25</f>
        <v>1</v>
      </c>
      <c r="AC25" s="1258">
        <f>D25/J25</f>
        <v>1</v>
      </c>
    </row>
    <row r="26" spans="1:29" ht="28.5">
      <c r="A26" s="574" t="s">
        <v>1690</v>
      </c>
      <c r="B26" s="59" t="s">
        <v>1832</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47" t="s">
        <v>1692</v>
      </c>
      <c r="Q26" s="1257" t="str">
        <f t="shared" si="11"/>
        <v>配套类型</v>
      </c>
      <c r="R26" s="667" t="s">
        <v>14</v>
      </c>
      <c r="S26" s="668">
        <f t="shared" ref="S26:S36" si="12">F26</f>
        <v>0</v>
      </c>
      <c r="T26" s="667" t="s">
        <v>14</v>
      </c>
      <c r="U26" s="668">
        <f t="shared" ref="U26:U36" si="13">H26</f>
        <v>0</v>
      </c>
      <c r="V26" s="667" t="s">
        <v>14</v>
      </c>
      <c r="W26" s="668">
        <f t="shared" ref="W26:W36" si="14">J26</f>
        <v>0</v>
      </c>
      <c r="X26" s="1259"/>
      <c r="Y26" s="3478" t="s">
        <v>1692</v>
      </c>
      <c r="Z26" s="1258" t="str">
        <f t="shared" ref="Z26:Z36" si="15">Q26</f>
        <v>配套类型</v>
      </c>
      <c r="AA26" s="1258" t="e">
        <f t="shared" si="3"/>
        <v>#DIV/0!</v>
      </c>
      <c r="AB26" s="1258" t="e">
        <f t="shared" si="4"/>
        <v>#DIV/0!</v>
      </c>
      <c r="AC26" s="1258" t="e">
        <f t="shared" si="5"/>
        <v>#DIV/0!</v>
      </c>
    </row>
    <row r="27" spans="1:29" s="408" customFormat="1" ht="15">
      <c r="A27" s="575"/>
      <c r="B27" s="119" t="s">
        <v>1833</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78"/>
      <c r="Q27" s="531" t="str">
        <f t="shared" si="11"/>
        <v>项目停车位配比</v>
      </c>
      <c r="R27" s="669" t="s">
        <v>14</v>
      </c>
      <c r="S27" s="670">
        <f t="shared" si="12"/>
        <v>100</v>
      </c>
      <c r="T27" s="669" t="s">
        <v>14</v>
      </c>
      <c r="U27" s="670">
        <f t="shared" si="13"/>
        <v>100</v>
      </c>
      <c r="V27" s="669" t="s">
        <v>14</v>
      </c>
      <c r="W27" s="670">
        <f t="shared" si="14"/>
        <v>100</v>
      </c>
      <c r="X27" s="671"/>
      <c r="Y27" s="3478"/>
      <c r="Z27" s="672" t="str">
        <f t="shared" si="15"/>
        <v>项目停车位配比</v>
      </c>
      <c r="AA27" s="1258">
        <f t="shared" si="3"/>
        <v>1</v>
      </c>
      <c r="AB27" s="1258">
        <f t="shared" si="4"/>
        <v>1</v>
      </c>
      <c r="AC27" s="1258">
        <f t="shared" si="5"/>
        <v>1</v>
      </c>
    </row>
    <row r="28" spans="1:29" ht="15">
      <c r="A28" s="577"/>
      <c r="B28" s="119" t="s">
        <v>1834</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78"/>
      <c r="Q28" s="1257" t="str">
        <f t="shared" si="11"/>
        <v>公共部分装修</v>
      </c>
      <c r="R28" s="667" t="s">
        <v>14</v>
      </c>
      <c r="S28" s="668">
        <f t="shared" si="12"/>
        <v>100</v>
      </c>
      <c r="T28" s="667" t="s">
        <v>14</v>
      </c>
      <c r="U28" s="668">
        <f t="shared" si="13"/>
        <v>100</v>
      </c>
      <c r="V28" s="667" t="s">
        <v>14</v>
      </c>
      <c r="W28" s="668">
        <f t="shared" si="14"/>
        <v>100</v>
      </c>
      <c r="X28" s="1259"/>
      <c r="Y28" s="3478"/>
      <c r="Z28" s="1258" t="str">
        <f t="shared" si="15"/>
        <v>公共部分装修</v>
      </c>
      <c r="AA28" s="1258">
        <f t="shared" si="3"/>
        <v>1</v>
      </c>
      <c r="AB28" s="1258">
        <f t="shared" si="4"/>
        <v>1</v>
      </c>
      <c r="AC28" s="1258">
        <f t="shared" si="5"/>
        <v>1</v>
      </c>
    </row>
    <row r="29" spans="1:29" ht="15">
      <c r="A29" s="577"/>
      <c r="B29" s="119" t="s">
        <v>1835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78"/>
      <c r="Q29" s="1257" t="str">
        <f t="shared" si="11"/>
        <v>成新率</v>
      </c>
      <c r="R29" s="667" t="s">
        <v>14</v>
      </c>
      <c r="S29" s="668" t="e">
        <f t="shared" si="12"/>
        <v>#N/A</v>
      </c>
      <c r="T29" s="667" t="s">
        <v>14</v>
      </c>
      <c r="U29" s="668" t="e">
        <f t="shared" si="13"/>
        <v>#N/A</v>
      </c>
      <c r="V29" s="667" t="s">
        <v>14</v>
      </c>
      <c r="W29" s="668" t="e">
        <f t="shared" si="14"/>
        <v>#N/A</v>
      </c>
      <c r="X29" s="1259"/>
      <c r="Y29" s="3478"/>
      <c r="Z29" s="1258" t="str">
        <f t="shared" si="15"/>
        <v>成新率</v>
      </c>
      <c r="AA29" s="1258" t="e">
        <f t="shared" si="3"/>
        <v>#N/A</v>
      </c>
      <c r="AB29" s="1258" t="e">
        <f t="shared" si="4"/>
        <v>#N/A</v>
      </c>
      <c r="AC29" s="1258" t="e">
        <f t="shared" si="5"/>
        <v>#N/A</v>
      </c>
    </row>
    <row r="30" spans="1:29" ht="15">
      <c r="A30" s="577"/>
      <c r="B30" s="119" t="s">
        <v>1836</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78"/>
      <c r="Q30" s="1257" t="str">
        <f t="shared" si="11"/>
        <v>物业等级</v>
      </c>
      <c r="R30" s="667" t="s">
        <v>14</v>
      </c>
      <c r="S30" s="668">
        <f t="shared" si="12"/>
        <v>100</v>
      </c>
      <c r="T30" s="667" t="s">
        <v>14</v>
      </c>
      <c r="U30" s="668">
        <f t="shared" si="13"/>
        <v>100</v>
      </c>
      <c r="V30" s="667" t="s">
        <v>14</v>
      </c>
      <c r="W30" s="668">
        <f t="shared" si="14"/>
        <v>100</v>
      </c>
      <c r="X30" s="1259"/>
      <c r="Y30" s="3478"/>
      <c r="Z30" s="1258" t="str">
        <f t="shared" si="15"/>
        <v>物业等级</v>
      </c>
      <c r="AA30" s="1258">
        <f t="shared" si="3"/>
        <v>1</v>
      </c>
      <c r="AB30" s="1258">
        <f t="shared" si="4"/>
        <v>1</v>
      </c>
      <c r="AC30" s="1258">
        <f t="shared" si="5"/>
        <v>1</v>
      </c>
    </row>
    <row r="31" spans="1:29" s="102" customFormat="1" ht="15">
      <c r="A31" s="579"/>
      <c r="B31" s="119" t="s">
        <v>1837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4"/>
      <c r="N31" s="2434"/>
      <c r="O31" s="2434"/>
      <c r="P31" s="3478"/>
      <c r="Q31" s="530" t="str">
        <f t="shared" si="11"/>
        <v>停车位面积</v>
      </c>
      <c r="R31" s="664" t="s">
        <v>14</v>
      </c>
      <c r="S31" s="665" t="e">
        <f t="shared" si="12"/>
        <v>#N/A</v>
      </c>
      <c r="T31" s="664" t="s">
        <v>14</v>
      </c>
      <c r="U31" s="665" t="e">
        <f t="shared" si="13"/>
        <v>#N/A</v>
      </c>
      <c r="V31" s="664" t="s">
        <v>14</v>
      </c>
      <c r="W31" s="665" t="e">
        <f t="shared" si="14"/>
        <v>#N/A</v>
      </c>
      <c r="X31" s="666"/>
      <c r="Y31" s="3478"/>
      <c r="Z31" s="50" t="str">
        <f t="shared" si="15"/>
        <v>停车位面积</v>
      </c>
      <c r="AA31" s="50" t="e">
        <f t="shared" si="3"/>
        <v>#N/A</v>
      </c>
      <c r="AB31" s="50" t="e">
        <f t="shared" si="4"/>
        <v>#N/A</v>
      </c>
      <c r="AC31" s="50" t="e">
        <f t="shared" si="5"/>
        <v>#N/A</v>
      </c>
    </row>
    <row r="32" spans="1:29" ht="15">
      <c r="A32" s="577"/>
      <c r="B32" s="119" t="s">
        <v>1838</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78" t="s">
        <v>1692</v>
      </c>
      <c r="Q32" s="1257" t="str">
        <f t="shared" si="11"/>
        <v>车位类型</v>
      </c>
      <c r="R32" s="667" t="s">
        <v>14</v>
      </c>
      <c r="S32" s="668">
        <f t="shared" si="12"/>
        <v>100</v>
      </c>
      <c r="T32" s="667" t="s">
        <v>14</v>
      </c>
      <c r="U32" s="668">
        <f t="shared" si="13"/>
        <v>100</v>
      </c>
      <c r="V32" s="667" t="s">
        <v>14</v>
      </c>
      <c r="W32" s="668">
        <f t="shared" si="14"/>
        <v>100</v>
      </c>
      <c r="X32" s="1259"/>
      <c r="Y32" s="3478" t="s">
        <v>1692</v>
      </c>
      <c r="Z32" s="1258" t="str">
        <f t="shared" si="15"/>
        <v>车位类型</v>
      </c>
      <c r="AA32" s="1258">
        <f t="shared" si="3"/>
        <v>1</v>
      </c>
      <c r="AB32" s="1258">
        <f t="shared" si="4"/>
        <v>1</v>
      </c>
      <c r="AC32" s="1258">
        <f t="shared" si="5"/>
        <v>1</v>
      </c>
    </row>
    <row r="33" spans="1:29" ht="15">
      <c r="A33" s="577"/>
      <c r="B33" s="119" t="s">
        <v>1839</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78"/>
      <c r="Q33" s="1257" t="str">
        <f t="shared" si="11"/>
        <v>是否直接入户</v>
      </c>
      <c r="R33" s="667" t="s">
        <v>14</v>
      </c>
      <c r="S33" s="668">
        <f t="shared" si="12"/>
        <v>100</v>
      </c>
      <c r="T33" s="667" t="s">
        <v>14</v>
      </c>
      <c r="U33" s="668">
        <f t="shared" si="13"/>
        <v>100</v>
      </c>
      <c r="V33" s="667" t="s">
        <v>14</v>
      </c>
      <c r="W33" s="668">
        <f t="shared" si="14"/>
        <v>100</v>
      </c>
      <c r="X33" s="1259"/>
      <c r="Y33" s="3478"/>
      <c r="Z33" s="1258" t="str">
        <f t="shared" si="15"/>
        <v>是否直接入户</v>
      </c>
      <c r="AA33" s="1258">
        <f t="shared" si="3"/>
        <v>1</v>
      </c>
      <c r="AB33" s="1258">
        <f t="shared" si="4"/>
        <v>1</v>
      </c>
      <c r="AC33" s="1258">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78"/>
      <c r="Q34" s="1257">
        <f t="shared" si="11"/>
        <v>111</v>
      </c>
      <c r="R34" s="667" t="s">
        <v>14</v>
      </c>
      <c r="S34" s="668">
        <f t="shared" si="12"/>
        <v>100</v>
      </c>
      <c r="T34" s="667" t="s">
        <v>14</v>
      </c>
      <c r="U34" s="668">
        <f t="shared" si="13"/>
        <v>100</v>
      </c>
      <c r="V34" s="667" t="s">
        <v>14</v>
      </c>
      <c r="W34" s="668">
        <f t="shared" si="14"/>
        <v>100</v>
      </c>
      <c r="X34" s="1259"/>
      <c r="Y34" s="3478"/>
      <c r="Z34" s="1258">
        <f t="shared" si="15"/>
        <v>111</v>
      </c>
      <c r="AA34" s="1258">
        <f t="shared" si="3"/>
        <v>1</v>
      </c>
      <c r="AB34" s="1258">
        <f t="shared" si="4"/>
        <v>1</v>
      </c>
      <c r="AC34" s="1258">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78"/>
      <c r="Q35" s="531">
        <f t="shared" si="11"/>
        <v>111</v>
      </c>
      <c r="R35" s="669" t="s">
        <v>14</v>
      </c>
      <c r="S35" s="670">
        <f t="shared" si="12"/>
        <v>100</v>
      </c>
      <c r="T35" s="669" t="s">
        <v>14</v>
      </c>
      <c r="U35" s="670">
        <f t="shared" si="13"/>
        <v>100</v>
      </c>
      <c r="V35" s="669" t="s">
        <v>14</v>
      </c>
      <c r="W35" s="670">
        <f t="shared" si="14"/>
        <v>100</v>
      </c>
      <c r="X35" s="671"/>
      <c r="Y35" s="3478"/>
      <c r="Z35" s="672">
        <f t="shared" si="15"/>
        <v>111</v>
      </c>
      <c r="AA35" s="1258">
        <f t="shared" si="3"/>
        <v>1</v>
      </c>
      <c r="AB35" s="1258">
        <f t="shared" si="4"/>
        <v>1</v>
      </c>
      <c r="AC35" s="1258">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78"/>
      <c r="Q36" s="1257">
        <f t="shared" si="11"/>
        <v>111</v>
      </c>
      <c r="R36" s="667" t="s">
        <v>14</v>
      </c>
      <c r="S36" s="668">
        <f t="shared" si="12"/>
        <v>100</v>
      </c>
      <c r="T36" s="667" t="s">
        <v>14</v>
      </c>
      <c r="U36" s="668">
        <f t="shared" si="13"/>
        <v>100</v>
      </c>
      <c r="V36" s="667" t="s">
        <v>14</v>
      </c>
      <c r="W36" s="668">
        <f t="shared" si="14"/>
        <v>100</v>
      </c>
      <c r="X36" s="1259"/>
      <c r="Y36" s="3478"/>
      <c r="Z36" s="1258">
        <f t="shared" si="15"/>
        <v>111</v>
      </c>
      <c r="AA36" s="1258">
        <f t="shared" si="3"/>
        <v>1</v>
      </c>
      <c r="AB36" s="1258">
        <f t="shared" si="4"/>
        <v>1</v>
      </c>
      <c r="AC36" s="1258">
        <f t="shared" si="5"/>
        <v>1</v>
      </c>
    </row>
    <row r="37" spans="1:29" ht="15">
      <c r="A37" s="416" t="s">
        <v>1840</v>
      </c>
      <c r="B37" s="1815" t="s">
        <v>3337</v>
      </c>
      <c r="C37" s="1075" t="s">
        <v>0</v>
      </c>
      <c r="D37" s="418"/>
      <c r="E37" s="419"/>
      <c r="F37" s="420"/>
      <c r="G37" s="421"/>
      <c r="H37" s="422"/>
      <c r="I37" s="419"/>
      <c r="J37" s="422"/>
      <c r="K37" s="545"/>
      <c r="L37" s="2489"/>
      <c r="M37" s="2482"/>
      <c r="N37" s="2482"/>
      <c r="O37" s="2482"/>
      <c r="P37" s="3466" t="str">
        <f>A37</f>
        <v>成交单价</v>
      </c>
      <c r="Q37" s="3466"/>
      <c r="R37" s="3467">
        <f>E37</f>
        <v>0</v>
      </c>
      <c r="S37" s="3467"/>
      <c r="T37" s="3467">
        <f>G37</f>
        <v>0</v>
      </c>
      <c r="U37" s="3467"/>
      <c r="V37" s="3467">
        <f>I37</f>
        <v>0</v>
      </c>
      <c r="W37" s="3467"/>
      <c r="X37" s="385"/>
      <c r="Y37" s="673"/>
      <c r="Z37" s="385"/>
      <c r="AA37" s="385"/>
      <c r="AB37" s="385"/>
      <c r="AC37" s="385"/>
    </row>
    <row r="38" spans="1:29" ht="15.75" thickBot="1">
      <c r="A38" s="423" t="s">
        <v>1841</v>
      </c>
      <c r="B38" s="424" t="str">
        <f>B37</f>
        <v>元/平方米</v>
      </c>
      <c r="C38" s="1076" t="e">
        <f>R39</f>
        <v>#DIV/0!</v>
      </c>
      <c r="D38" s="2135" t="s">
        <v>2131</v>
      </c>
      <c r="E38" s="1077" t="e">
        <f>R38</f>
        <v>#DIV/0!</v>
      </c>
      <c r="F38" s="2136"/>
      <c r="G38" s="1076" t="e">
        <f>T38</f>
        <v>#DIV/0!</v>
      </c>
      <c r="H38" s="2136"/>
      <c r="I38" s="1077" t="e">
        <f>V38</f>
        <v>#DIV/0!</v>
      </c>
      <c r="J38" s="2136"/>
      <c r="K38" s="2138">
        <f>F38+H38+J38</f>
        <v>0</v>
      </c>
      <c r="L38" s="2489"/>
      <c r="M38" s="2482"/>
      <c r="N38" s="2482"/>
      <c r="O38" s="2482"/>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385"/>
      <c r="Y38" s="385"/>
      <c r="Z38" s="385"/>
      <c r="AA38" s="385"/>
      <c r="AB38" s="385"/>
      <c r="AC38" s="385"/>
    </row>
    <row r="39" spans="1:29" ht="15.75" thickBot="1">
      <c r="A39" s="427" t="s">
        <v>1842</v>
      </c>
      <c r="B39" s="428"/>
      <c r="C39" s="351" t="e">
        <f>R39</f>
        <v>#DIV/0!</v>
      </c>
      <c r="D39" s="351"/>
      <c r="E39" s="351"/>
      <c r="F39" s="351"/>
      <c r="G39" s="351"/>
      <c r="H39" s="351"/>
      <c r="I39" s="351"/>
      <c r="J39" s="351"/>
      <c r="K39" s="546"/>
      <c r="L39" s="2489"/>
      <c r="M39" s="2482"/>
      <c r="N39" s="2482"/>
      <c r="O39" s="2482"/>
      <c r="P39" s="3468" t="str">
        <f>A39</f>
        <v>估价对象XX用房的比较价值（楼面单价，元/平方米）</v>
      </c>
      <c r="Q39" s="3469"/>
      <c r="R39" s="3548" t="e">
        <f>IF(F1="售价",ROUND(IF(D38="简单平均",AVERAGE(R38:W38),R38*F38+T38*H38+V38*J38),0),ROUND(IF(D38="简单平均",AVERAGE(R38:V38),R38*F38+T38*H38+V38*J38),1))</f>
        <v>#DIV/0!</v>
      </c>
      <c r="S39" s="3548"/>
      <c r="T39" s="3548"/>
      <c r="U39" s="3548"/>
      <c r="V39" s="3548"/>
      <c r="W39" s="3548"/>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1" t="s">
        <v>1846</v>
      </c>
      <c r="B47" s="855"/>
      <c r="C47" s="880"/>
      <c r="D47" s="880"/>
      <c r="E47" s="880"/>
      <c r="F47" s="1082"/>
      <c r="G47" s="1082"/>
      <c r="H47" s="880"/>
      <c r="I47" s="880"/>
      <c r="J47" s="880"/>
      <c r="K47" s="881"/>
      <c r="L47" s="882"/>
      <c r="M47" s="880"/>
      <c r="N47" s="2532"/>
      <c r="O47" s="2532"/>
      <c r="P47" s="2521"/>
      <c r="Q47" s="2503"/>
      <c r="R47" s="2482"/>
      <c r="S47" s="2482"/>
      <c r="T47" s="2482"/>
      <c r="U47" s="2482"/>
      <c r="V47" s="2482"/>
      <c r="W47" s="2482"/>
      <c r="X47" s="2482"/>
      <c r="Y47" s="2482"/>
      <c r="Z47" s="2482"/>
      <c r="AA47" s="2482"/>
      <c r="AB47" s="2482"/>
      <c r="AC47" s="2482"/>
    </row>
    <row r="48" spans="1:29" s="442" customFormat="1" ht="15">
      <c r="A48" s="440" t="s">
        <v>1847</v>
      </c>
      <c r="B48" s="441"/>
      <c r="C48" s="1097" t="str">
        <f>YEAR(C7)&amp;"-"&amp;MONTH(C7)</f>
        <v>2025-8</v>
      </c>
      <c r="D48" s="1098">
        <f>EDATE(C48,-1)</f>
        <v>45839</v>
      </c>
      <c r="E48" s="1098">
        <f t="shared" ref="E48:O48" si="16">EDATE(D48,-1)</f>
        <v>45809</v>
      </c>
      <c r="F48" s="1098">
        <f t="shared" si="16"/>
        <v>45778</v>
      </c>
      <c r="G48" s="1098">
        <f t="shared" si="16"/>
        <v>45748</v>
      </c>
      <c r="H48" s="1098">
        <f t="shared" si="16"/>
        <v>45717</v>
      </c>
      <c r="I48" s="1098">
        <f t="shared" si="16"/>
        <v>45689</v>
      </c>
      <c r="J48" s="1098">
        <f t="shared" si="16"/>
        <v>45658</v>
      </c>
      <c r="K48" s="1098">
        <f t="shared" si="16"/>
        <v>45627</v>
      </c>
      <c r="L48" s="1098">
        <f t="shared" si="16"/>
        <v>45597</v>
      </c>
      <c r="M48" s="1098">
        <f t="shared" si="16"/>
        <v>45566</v>
      </c>
      <c r="N48" s="1098">
        <f t="shared" si="16"/>
        <v>45536</v>
      </c>
      <c r="O48" s="1098">
        <f t="shared" si="16"/>
        <v>45505</v>
      </c>
      <c r="P48" s="2522"/>
      <c r="Q48" s="2505"/>
      <c r="R48" s="2505"/>
      <c r="S48" s="2505"/>
      <c r="T48" s="2505"/>
      <c r="U48" s="2505"/>
      <c r="V48" s="2505"/>
      <c r="W48" s="2505"/>
      <c r="X48" s="2505"/>
      <c r="Y48" s="2505"/>
      <c r="Z48" s="2505"/>
      <c r="AA48" s="2505"/>
      <c r="AB48" s="2505"/>
      <c r="AC48" s="2505"/>
    </row>
    <row r="49" spans="1:29" s="102" customFormat="1" ht="15">
      <c r="A49" s="443"/>
      <c r="B49" s="444"/>
      <c r="C49" s="1091">
        <v>100</v>
      </c>
      <c r="D49" s="446"/>
      <c r="E49" s="446"/>
      <c r="F49" s="446"/>
      <c r="G49" s="446"/>
      <c r="H49" s="446"/>
      <c r="I49" s="446"/>
      <c r="J49" s="446"/>
      <c r="K49" s="446"/>
      <c r="L49" s="446"/>
      <c r="M49" s="447"/>
      <c r="N49" s="446"/>
      <c r="O49" s="447"/>
      <c r="P49" s="2523"/>
      <c r="Q49" s="2434"/>
      <c r="R49" s="2434"/>
      <c r="S49" s="2434"/>
      <c r="T49" s="2434"/>
      <c r="U49" s="2434"/>
      <c r="V49" s="2434"/>
      <c r="W49" s="2434"/>
      <c r="X49" s="2434"/>
      <c r="Y49" s="2434"/>
      <c r="Z49" s="2434"/>
      <c r="AA49" s="2434"/>
      <c r="AB49" s="2434"/>
      <c r="AC49" s="2434"/>
    </row>
    <row r="50" spans="1:29" s="102" customFormat="1" ht="15.75" thickBot="1">
      <c r="A50" s="449" t="s">
        <v>1712</v>
      </c>
      <c r="B50" s="450"/>
      <c r="C50" s="451"/>
      <c r="D50" s="452"/>
      <c r="E50" s="452"/>
      <c r="F50" s="452"/>
      <c r="G50" s="452"/>
      <c r="H50" s="452"/>
      <c r="I50" s="452"/>
      <c r="J50" s="452"/>
      <c r="K50" s="452"/>
      <c r="L50" s="452"/>
      <c r="M50" s="453"/>
      <c r="N50" s="452"/>
      <c r="O50" s="453"/>
      <c r="P50" s="2523"/>
      <c r="Q50" s="2503"/>
      <c r="R50" s="2434"/>
      <c r="S50" s="2434"/>
      <c r="T50" s="2434"/>
      <c r="U50" s="2434"/>
      <c r="V50" s="2434"/>
      <c r="W50" s="2434"/>
      <c r="X50" s="2434"/>
      <c r="Y50" s="2434"/>
      <c r="Z50" s="2434"/>
      <c r="AA50" s="2434"/>
      <c r="AB50" s="2434"/>
      <c r="AC50" s="2434"/>
    </row>
    <row r="51" spans="1:29" s="102" customFormat="1" ht="15">
      <c r="A51" s="455" t="s">
        <v>1677</v>
      </c>
      <c r="B51" s="444"/>
      <c r="C51" s="456" t="s">
        <v>1772</v>
      </c>
      <c r="D51" s="31"/>
      <c r="E51" s="31"/>
      <c r="F51" s="31"/>
      <c r="G51" s="31"/>
      <c r="H51" s="31"/>
      <c r="I51" s="31"/>
      <c r="J51" s="31"/>
      <c r="K51" s="31"/>
      <c r="L51" s="457"/>
      <c r="M51" s="458"/>
      <c r="N51" s="2515"/>
      <c r="O51" s="2515"/>
      <c r="P51" s="2524"/>
      <c r="Q51" s="2503"/>
      <c r="R51" s="2434"/>
      <c r="S51" s="2434"/>
      <c r="T51" s="2434"/>
      <c r="U51" s="2434"/>
      <c r="V51" s="2434"/>
      <c r="W51" s="2434"/>
      <c r="X51" s="2434"/>
      <c r="Y51" s="2434"/>
      <c r="Z51" s="2434"/>
      <c r="AA51" s="2434"/>
      <c r="AB51" s="2434"/>
      <c r="AC51" s="2434"/>
    </row>
    <row r="52" spans="1:29" s="102" customFormat="1" ht="15.75" thickBot="1">
      <c r="A52" s="455"/>
      <c r="B52" s="444"/>
      <c r="C52" s="563">
        <v>100</v>
      </c>
      <c r="D52" s="446"/>
      <c r="E52" s="446"/>
      <c r="F52" s="446"/>
      <c r="G52" s="446"/>
      <c r="H52" s="446"/>
      <c r="I52" s="446"/>
      <c r="J52" s="446"/>
      <c r="K52" s="446"/>
      <c r="L52" s="446"/>
      <c r="M52" s="448"/>
      <c r="N52" s="2515"/>
      <c r="O52" s="2515"/>
      <c r="P52" s="2523"/>
      <c r="Q52" s="2503"/>
      <c r="R52" s="2434"/>
      <c r="S52" s="2434"/>
      <c r="T52" s="2434"/>
      <c r="U52" s="2434"/>
      <c r="V52" s="2434"/>
      <c r="W52" s="2434"/>
      <c r="X52" s="2434"/>
      <c r="Y52" s="2434"/>
      <c r="Z52" s="2434"/>
      <c r="AA52" s="2434"/>
      <c r="AB52" s="2434"/>
      <c r="AC52" s="2434"/>
    </row>
    <row r="53" spans="1:29">
      <c r="A53" s="379" t="s">
        <v>1715</v>
      </c>
      <c r="B53" s="460" t="s">
        <v>1681</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1684</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1723</v>
      </c>
      <c r="C65" s="509" t="s">
        <v>1717</v>
      </c>
      <c r="D65" s="509" t="s">
        <v>1718</v>
      </c>
      <c r="E65" s="509" t="s">
        <v>1719</v>
      </c>
      <c r="F65" s="509" t="s">
        <v>1720</v>
      </c>
      <c r="G65" s="509" t="s">
        <v>1721</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1809</v>
      </c>
      <c r="C67" s="581" t="s">
        <v>1795</v>
      </c>
      <c r="D67" s="581" t="s">
        <v>1796</v>
      </c>
      <c r="E67" s="581" t="s">
        <v>1797</v>
      </c>
      <c r="F67" s="581" t="s">
        <v>1798</v>
      </c>
      <c r="G67" s="581" t="s">
        <v>1799</v>
      </c>
      <c r="H67" s="470"/>
      <c r="I67" s="470"/>
      <c r="J67" s="470"/>
      <c r="K67" s="470"/>
      <c r="L67" s="470"/>
      <c r="M67" s="1057"/>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1729</v>
      </c>
      <c r="C69" s="509" t="s">
        <v>1717</v>
      </c>
      <c r="D69" s="509" t="s">
        <v>1718</v>
      </c>
      <c r="E69" s="509" t="s">
        <v>1719</v>
      </c>
      <c r="F69" s="509" t="s">
        <v>1720</v>
      </c>
      <c r="G69" s="509" t="s">
        <v>1721</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1848</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4"/>
      <c r="S73" s="2434"/>
      <c r="T73" s="2434"/>
      <c r="U73" s="2434"/>
      <c r="V73" s="2434"/>
      <c r="W73" s="2434"/>
      <c r="X73" s="2434"/>
      <c r="Y73" s="2434"/>
      <c r="Z73" s="2434"/>
      <c r="AA73" s="2434"/>
      <c r="AB73" s="2434"/>
      <c r="AC73" s="2434"/>
    </row>
    <row r="74" spans="1:29" s="102" customFormat="1" ht="15.75" thickBot="1">
      <c r="A74" s="370"/>
      <c r="B74" s="474"/>
      <c r="C74" s="491"/>
      <c r="D74" s="467"/>
      <c r="E74" s="467"/>
      <c r="F74" s="467"/>
      <c r="G74" s="467"/>
      <c r="H74" s="467"/>
      <c r="I74" s="467"/>
      <c r="J74" s="467"/>
      <c r="K74" s="467"/>
      <c r="L74" s="467"/>
      <c r="M74" s="468"/>
      <c r="N74" s="2517"/>
      <c r="O74" s="2517"/>
      <c r="P74" s="2525"/>
      <c r="Q74" s="2503"/>
      <c r="R74" s="2434"/>
      <c r="S74" s="2434"/>
      <c r="T74" s="2434"/>
      <c r="U74" s="2434"/>
      <c r="V74" s="2434"/>
      <c r="W74" s="2434"/>
      <c r="X74" s="2434"/>
      <c r="Y74" s="2434"/>
      <c r="Z74" s="2434"/>
      <c r="AA74" s="2434"/>
      <c r="AB74" s="2434"/>
      <c r="AC74" s="2434"/>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4"/>
      <c r="S75" s="2434"/>
      <c r="T75" s="2434"/>
      <c r="U75" s="2434"/>
      <c r="V75" s="2434"/>
      <c r="W75" s="2434"/>
      <c r="X75" s="2434"/>
      <c r="Y75" s="2434"/>
      <c r="Z75" s="2434"/>
      <c r="AA75" s="2434"/>
      <c r="AB75" s="2434"/>
      <c r="AC75" s="2434"/>
    </row>
    <row r="76" spans="1:29" s="102" customFormat="1" ht="15.75" thickBot="1">
      <c r="A76" s="370"/>
      <c r="B76" s="474"/>
      <c r="C76" s="491"/>
      <c r="D76" s="467"/>
      <c r="E76" s="467"/>
      <c r="F76" s="467"/>
      <c r="G76" s="467"/>
      <c r="H76" s="467"/>
      <c r="I76" s="467"/>
      <c r="J76" s="467"/>
      <c r="K76" s="467"/>
      <c r="L76" s="467"/>
      <c r="M76" s="468"/>
      <c r="N76" s="2517"/>
      <c r="O76" s="2517"/>
      <c r="P76" s="2525"/>
      <c r="Q76" s="2503"/>
      <c r="R76" s="2434"/>
      <c r="S76" s="2434"/>
      <c r="T76" s="2434"/>
      <c r="U76" s="2434"/>
      <c r="V76" s="2434"/>
      <c r="W76" s="2434"/>
      <c r="X76" s="2434"/>
      <c r="Y76" s="2434"/>
      <c r="Z76" s="2434"/>
      <c r="AA76" s="2434"/>
      <c r="AB76" s="2434"/>
      <c r="AC76" s="2434"/>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1690</v>
      </c>
      <c r="B79" s="460" t="s">
        <v>1849</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1850</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1736</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1852</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1854</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1855</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1827</v>
      </c>
      <c r="B1" s="1134" t="s">
        <v>3318</v>
      </c>
      <c r="C1" s="1135" t="s">
        <v>1658</v>
      </c>
      <c r="D1" s="1136"/>
      <c r="E1" s="3125"/>
      <c r="F1" s="1729"/>
      <c r="G1" s="1146" t="s">
        <v>1763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1458</v>
      </c>
      <c r="B2" s="1079" t="b">
        <f>IF(E1="项目模式",IF(C2="——",ROUND(C37*D3/10000,0),ROUND(C37*D3/10000,0)-D2),IF(E1="单套模式",IF(C2="——",ROUND(C37*D3/10000,4),ROUND(C37*D3/10000,4)-D2)))</f>
        <v>0</v>
      </c>
      <c r="C2" s="1731"/>
      <c r="D2" s="848" t="e">
        <f ca="1">IF(E1="项目模式",SUMIF(INDIRECT("'"&amp;F2&amp;"'"&amp;"!A:A"),"承租人权益价值",INDIRECT("'"&amp;F2&amp;"'"&amp;"!c:c")),SUMIF(INDIRECT("'"&amp;F2&amp;"'"&amp;"!A:A"),"承租人权益价值（单套）",INDIRECT("'"&amp;F2&amp;"'"&amp;"!c:c")))</f>
        <v>#REF!</v>
      </c>
      <c r="E2" s="1732" t="s">
        <v>1459</v>
      </c>
      <c r="F2" s="1733"/>
      <c r="G2" s="849"/>
      <c r="H2" s="849"/>
      <c r="I2" s="849"/>
      <c r="J2" s="849"/>
      <c r="K2" s="851"/>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1460</v>
      </c>
      <c r="B3" s="536" t="e">
        <f>IF(C2="——",C37,ROUND(B2*10000/D3,0))</f>
        <v>#DIV/0!</v>
      </c>
      <c r="C3" s="344" t="s">
        <v>1764</v>
      </c>
      <c r="D3" s="343">
        <f>SUMIF('数据-汇总表'!$C19:$C33,D1,'数据-汇总表'!$E19:$E33)</f>
        <v>0</v>
      </c>
      <c r="E3" s="849"/>
      <c r="F3" s="850"/>
      <c r="G3" s="849"/>
      <c r="H3" s="849"/>
      <c r="I3" s="849"/>
      <c r="J3" s="849"/>
      <c r="K3" s="851"/>
      <c r="L3" s="2498"/>
      <c r="M3" s="2499"/>
      <c r="N3" s="2499"/>
      <c r="O3" s="2499"/>
      <c r="P3" s="341"/>
      <c r="Q3" s="341"/>
      <c r="R3" s="341"/>
      <c r="S3" s="341"/>
      <c r="T3" s="341"/>
      <c r="U3" s="341"/>
      <c r="V3" s="341"/>
      <c r="W3" s="341"/>
      <c r="X3" s="341"/>
      <c r="Y3" s="341"/>
      <c r="Z3" s="341"/>
      <c r="AA3" s="341"/>
      <c r="AB3" s="676"/>
      <c r="AC3" s="663"/>
    </row>
    <row r="4" spans="1:29" ht="15">
      <c r="A4" s="345" t="s">
        <v>1765</v>
      </c>
      <c r="B4" s="346"/>
      <c r="C4" s="3484" t="s">
        <v>1766</v>
      </c>
      <c r="D4" s="3485"/>
      <c r="E4" s="3486" t="s">
        <v>1767</v>
      </c>
      <c r="F4" s="3487"/>
      <c r="G4" s="3484" t="s">
        <v>1768</v>
      </c>
      <c r="H4" s="3485"/>
      <c r="I4" s="3484" t="s">
        <v>1769</v>
      </c>
      <c r="J4" s="3485"/>
      <c r="K4" s="537" t="s">
        <v>1770</v>
      </c>
      <c r="L4" s="2481"/>
      <c r="M4" s="2482"/>
      <c r="N4" s="2482"/>
      <c r="O4" s="2482"/>
      <c r="P4" s="3488" t="s">
        <v>1771</v>
      </c>
      <c r="Q4" s="3489"/>
      <c r="R4" s="3494" t="s">
        <v>1767</v>
      </c>
      <c r="S4" s="3495"/>
      <c r="T4" s="3494" t="s">
        <v>1768</v>
      </c>
      <c r="U4" s="3495"/>
      <c r="V4" s="3467" t="s">
        <v>1769</v>
      </c>
      <c r="W4" s="3467"/>
      <c r="X4" s="1259"/>
      <c r="Y4" s="3494" t="s">
        <v>1771</v>
      </c>
      <c r="Z4" s="3495"/>
      <c r="AA4" s="3481" t="s">
        <v>1767</v>
      </c>
      <c r="AB4" s="3482" t="s">
        <v>1768</v>
      </c>
      <c r="AC4" s="3481" t="s">
        <v>1769</v>
      </c>
    </row>
    <row r="5" spans="1:29" ht="15">
      <c r="A5" s="348"/>
      <c r="B5" s="349"/>
      <c r="C5" s="3502" t="s">
        <v>1669</v>
      </c>
      <c r="D5" s="3503"/>
      <c r="E5" s="3509" t="s">
        <v>1670</v>
      </c>
      <c r="F5" s="3510"/>
      <c r="G5" s="3502" t="s">
        <v>1671</v>
      </c>
      <c r="H5" s="3503"/>
      <c r="I5" s="3502" t="s">
        <v>1672</v>
      </c>
      <c r="J5" s="3503"/>
      <c r="K5" s="537"/>
      <c r="L5" s="2481"/>
      <c r="M5" s="2482"/>
      <c r="N5" s="2482"/>
      <c r="O5" s="2482"/>
      <c r="P5" s="3490"/>
      <c r="Q5" s="3491"/>
      <c r="R5" s="3496"/>
      <c r="S5" s="3497"/>
      <c r="T5" s="3496"/>
      <c r="U5" s="3497"/>
      <c r="V5" s="3467"/>
      <c r="W5" s="3467"/>
      <c r="X5" s="1259"/>
      <c r="Y5" s="3496"/>
      <c r="Z5" s="3497"/>
      <c r="AA5" s="3482"/>
      <c r="AB5" s="3482"/>
      <c r="AC5" s="3482"/>
    </row>
    <row r="6" spans="1:29" ht="15.75" thickBot="1">
      <c r="A6" s="350"/>
      <c r="B6" s="351"/>
      <c r="C6" s="3500" t="s">
        <v>1673</v>
      </c>
      <c r="D6" s="3501"/>
      <c r="E6" s="3507" t="s">
        <v>1673</v>
      </c>
      <c r="F6" s="3508"/>
      <c r="G6" s="3500" t="s">
        <v>1673</v>
      </c>
      <c r="H6" s="3501"/>
      <c r="I6" s="3500" t="s">
        <v>1673</v>
      </c>
      <c r="J6" s="3501"/>
      <c r="K6" s="537" t="s">
        <v>1674</v>
      </c>
      <c r="L6" s="2481"/>
      <c r="M6" s="2482"/>
      <c r="N6" s="2482"/>
      <c r="O6" s="2482"/>
      <c r="P6" s="3492"/>
      <c r="Q6" s="3493"/>
      <c r="R6" s="3496"/>
      <c r="S6" s="3497"/>
      <c r="T6" s="3498"/>
      <c r="U6" s="3499"/>
      <c r="V6" s="3467"/>
      <c r="W6" s="3467"/>
      <c r="X6" s="1259"/>
      <c r="Y6" s="3498"/>
      <c r="Z6" s="3499"/>
      <c r="AA6" s="3483"/>
      <c r="AB6" s="3483"/>
      <c r="AC6" s="3483"/>
    </row>
    <row r="7" spans="1:29" s="102" customFormat="1" ht="15.75" thickBot="1">
      <c r="A7" s="352" t="s">
        <v>1675</v>
      </c>
      <c r="B7" s="353"/>
      <c r="C7" s="354">
        <f>'数据-取费表'!B2</f>
        <v>45873</v>
      </c>
      <c r="D7" s="355">
        <v>100</v>
      </c>
      <c r="E7" s="356"/>
      <c r="F7" s="357">
        <f>SUMIF(46:46,YEAR(E7)&amp;"-"&amp;MONTH(E7),47:47)</f>
        <v>0</v>
      </c>
      <c r="G7" s="1816"/>
      <c r="H7" s="355">
        <f>SUMIF(46:46,YEAR(G7)&amp;"-"&amp;MONTH(G7),47:47)</f>
        <v>0</v>
      </c>
      <c r="I7" s="356"/>
      <c r="J7" s="355">
        <f>SUMIF(46:46,YEAR(I7)&amp;"-"&amp;MONTH(I7),47:47)</f>
        <v>0</v>
      </c>
      <c r="K7" s="38"/>
      <c r="L7" s="2483"/>
      <c r="M7" s="2434"/>
      <c r="N7" s="2434"/>
      <c r="O7" s="2434"/>
      <c r="P7" s="3504" t="s">
        <v>1676</v>
      </c>
      <c r="Q7" s="3506"/>
      <c r="R7" s="664" t="s">
        <v>14</v>
      </c>
      <c r="S7" s="665">
        <f t="shared" ref="S7:S14" si="0">F7</f>
        <v>0</v>
      </c>
      <c r="T7" s="664" t="s">
        <v>14</v>
      </c>
      <c r="U7" s="665">
        <f t="shared" ref="U7:U14" si="1">H7</f>
        <v>0</v>
      </c>
      <c r="V7" s="664" t="s">
        <v>14</v>
      </c>
      <c r="W7" s="665">
        <f t="shared" ref="W7:W14" si="2">J7</f>
        <v>0</v>
      </c>
      <c r="X7" s="666"/>
      <c r="Y7" s="3504" t="s">
        <v>1676</v>
      </c>
      <c r="Z7" s="3505"/>
      <c r="AA7" s="50" t="e">
        <f>D7/F7</f>
        <v>#DIV/0!</v>
      </c>
      <c r="AB7" s="50" t="e">
        <f>D7/H7</f>
        <v>#DIV/0!</v>
      </c>
      <c r="AC7" s="50" t="e">
        <f>D7/J7</f>
        <v>#DIV/0!</v>
      </c>
    </row>
    <row r="8" spans="1:29" s="102" customFormat="1" ht="15.75" thickBot="1">
      <c r="A8" s="352" t="s">
        <v>1677</v>
      </c>
      <c r="B8" s="353"/>
      <c r="C8" s="358"/>
      <c r="D8" s="355">
        <v>100</v>
      </c>
      <c r="E8" s="358"/>
      <c r="F8" s="357">
        <f>SUMIF(49:49,E8,50:50)-SUMIF(49:49,C8,50:50)+100</f>
        <v>100</v>
      </c>
      <c r="G8" s="358"/>
      <c r="H8" s="355">
        <f>SUMIF(49:49,G8,50:50)-SUMIF(49:49,C8,50:50)+100</f>
        <v>100</v>
      </c>
      <c r="I8" s="358"/>
      <c r="J8" s="355">
        <f>SUMIF(49:49,I8,50:50)-SUMIF(49:49,C8,50:50)+100</f>
        <v>100</v>
      </c>
      <c r="K8" s="38"/>
      <c r="L8" s="2483"/>
      <c r="M8" s="2434"/>
      <c r="N8" s="2434"/>
      <c r="O8" s="2434"/>
      <c r="P8" s="3504" t="s">
        <v>1679</v>
      </c>
      <c r="Q8" s="3505"/>
      <c r="R8" s="664" t="s">
        <v>14</v>
      </c>
      <c r="S8" s="665">
        <f t="shared" si="0"/>
        <v>100</v>
      </c>
      <c r="T8" s="664" t="s">
        <v>14</v>
      </c>
      <c r="U8" s="665">
        <f t="shared" si="1"/>
        <v>100</v>
      </c>
      <c r="V8" s="664" t="s">
        <v>14</v>
      </c>
      <c r="W8" s="665">
        <f t="shared" si="2"/>
        <v>100</v>
      </c>
      <c r="X8" s="666"/>
      <c r="Y8" s="3504" t="s">
        <v>1679</v>
      </c>
      <c r="Z8" s="3505"/>
      <c r="AA8" s="50">
        <f t="shared" ref="AA8:AA34" si="3">D8/F8</f>
        <v>1</v>
      </c>
      <c r="AB8" s="50">
        <f t="shared" ref="AB8:AB34" si="4">D8/H8</f>
        <v>1</v>
      </c>
      <c r="AC8" s="50">
        <f t="shared" ref="AC8:AC34" si="5">D8/J8</f>
        <v>1</v>
      </c>
    </row>
    <row r="9" spans="1:29" s="102" customFormat="1">
      <c r="A9" s="359" t="s">
        <v>1680</v>
      </c>
      <c r="B9" s="60" t="s">
        <v>1681</v>
      </c>
      <c r="C9" s="360"/>
      <c r="D9" s="59">
        <v>100</v>
      </c>
      <c r="E9" s="362"/>
      <c r="F9" s="60">
        <f>SUMIF(51:51,E9,52:52)-SUMIF(51:51,C9,52:52)+100</f>
        <v>100</v>
      </c>
      <c r="G9" s="362"/>
      <c r="H9" s="59">
        <f>SUMIF(51:51,G9,52:52)-SUMIF(51:51,C9,52:52)+100</f>
        <v>100</v>
      </c>
      <c r="I9" s="362"/>
      <c r="J9" s="59">
        <f>SUMIF(51:51,I9,52:52)-SUMIF(51:51,C9,52:52)+100</f>
        <v>100</v>
      </c>
      <c r="K9" s="38"/>
      <c r="L9" s="2483"/>
      <c r="M9" s="2434"/>
      <c r="N9" s="2434"/>
      <c r="O9" s="2535"/>
      <c r="P9" s="3466" t="s">
        <v>1682</v>
      </c>
      <c r="Q9" s="530" t="str">
        <f t="shared" ref="Q9:Q14" si="6">B9</f>
        <v>用途</v>
      </c>
      <c r="R9" s="664" t="s">
        <v>14</v>
      </c>
      <c r="S9" s="665">
        <f t="shared" si="0"/>
        <v>100</v>
      </c>
      <c r="T9" s="664" t="s">
        <v>14</v>
      </c>
      <c r="U9" s="665">
        <f t="shared" si="1"/>
        <v>100</v>
      </c>
      <c r="V9" s="664" t="s">
        <v>14</v>
      </c>
      <c r="W9" s="665">
        <f t="shared" si="2"/>
        <v>100</v>
      </c>
      <c r="X9" s="666"/>
      <c r="Y9" s="3346" t="s">
        <v>1683</v>
      </c>
      <c r="Z9" s="50" t="str">
        <f t="shared" ref="Z9:Z14" si="7">Q9</f>
        <v>用途</v>
      </c>
      <c r="AA9" s="50">
        <f t="shared" si="3"/>
        <v>1</v>
      </c>
      <c r="AB9" s="50">
        <f t="shared" si="4"/>
        <v>1</v>
      </c>
      <c r="AC9" s="50">
        <f t="shared" si="5"/>
        <v>1</v>
      </c>
    </row>
    <row r="10" spans="1:29" s="366" customFormat="1" ht="27">
      <c r="A10" s="363"/>
      <c r="B10" s="364" t="s">
        <v>1684</v>
      </c>
      <c r="C10" s="3126"/>
      <c r="D10" s="119">
        <v>100</v>
      </c>
      <c r="E10" s="3126"/>
      <c r="F10" s="364">
        <f>SUMIF(53:53,E10,54:54)-SUMIF(53:53,C10,54:54)+100</f>
        <v>100</v>
      </c>
      <c r="G10" s="3126"/>
      <c r="H10" s="119">
        <f>SUMIF(53:53,G10,54:54)-SUMIF(53:53,C10,54:54)+100</f>
        <v>100</v>
      </c>
      <c r="I10" s="3126"/>
      <c r="J10" s="119">
        <f>SUMIF(53:53,I10,54:54)-SUMIF(53:53,C10,54:54)+100</f>
        <v>100</v>
      </c>
      <c r="K10" s="38"/>
      <c r="L10" s="2484"/>
      <c r="M10" s="2485"/>
      <c r="N10" s="2485"/>
      <c r="O10" s="2536"/>
      <c r="P10" s="346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66"/>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4"/>
      <c r="N12" s="2434"/>
      <c r="O12" s="2535"/>
      <c r="P12" s="346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7"/>
      <c r="M13" s="2482"/>
      <c r="N13" s="2482"/>
      <c r="O13" s="2537"/>
      <c r="P13" s="346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
      <c r="A14" s="379" t="s">
        <v>1686</v>
      </c>
      <c r="B14" s="58" t="s">
        <v>1829</v>
      </c>
      <c r="C14" s="1813">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73" t="s">
        <v>1687</v>
      </c>
      <c r="Q14" s="1257" t="str">
        <f t="shared" si="6"/>
        <v>交通便捷度</v>
      </c>
      <c r="R14" s="667" t="s">
        <v>14</v>
      </c>
      <c r="S14" s="668">
        <f t="shared" si="0"/>
        <v>100</v>
      </c>
      <c r="T14" s="667" t="s">
        <v>14</v>
      </c>
      <c r="U14" s="668">
        <f t="shared" si="1"/>
        <v>100</v>
      </c>
      <c r="V14" s="667" t="s">
        <v>14</v>
      </c>
      <c r="W14" s="668">
        <f t="shared" si="2"/>
        <v>100</v>
      </c>
      <c r="X14" s="1259"/>
      <c r="Y14" s="3473" t="s">
        <v>1687</v>
      </c>
      <c r="Z14" s="1258" t="str">
        <f t="shared" si="7"/>
        <v>交通便捷度</v>
      </c>
      <c r="AA14" s="1258">
        <f t="shared" si="3"/>
        <v>1</v>
      </c>
      <c r="AB14" s="1258">
        <f t="shared" si="4"/>
        <v>1</v>
      </c>
      <c r="AC14" s="1258">
        <f t="shared" si="5"/>
        <v>1</v>
      </c>
    </row>
    <row r="15" spans="1:29" ht="15">
      <c r="A15" s="367"/>
      <c r="B15" s="385"/>
      <c r="C15" s="386"/>
      <c r="D15" s="387"/>
      <c r="E15" s="386"/>
      <c r="F15" s="388"/>
      <c r="G15" s="386"/>
      <c r="H15" s="389"/>
      <c r="I15" s="386"/>
      <c r="J15" s="387"/>
      <c r="K15" s="541"/>
      <c r="L15" s="2487"/>
      <c r="M15" s="2482"/>
      <c r="N15" s="2482"/>
      <c r="O15" s="2537"/>
      <c r="P15" s="3474"/>
      <c r="Q15" s="1257"/>
      <c r="R15" s="667"/>
      <c r="S15" s="668"/>
      <c r="T15" s="667"/>
      <c r="U15" s="668"/>
      <c r="V15" s="667"/>
      <c r="W15" s="668"/>
      <c r="X15" s="1259"/>
      <c r="Y15" s="3474"/>
      <c r="Z15" s="1258"/>
      <c r="AA15" s="1258">
        <v>1</v>
      </c>
      <c r="AB15" s="1258">
        <v>1</v>
      </c>
      <c r="AC15" s="1258">
        <v>1</v>
      </c>
    </row>
    <row r="16" spans="1:29" ht="15">
      <c r="A16" s="367"/>
      <c r="B16" s="390" t="s">
        <v>1808</v>
      </c>
      <c r="C16" s="1748">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74"/>
      <c r="Q16" s="1257" t="str">
        <f>B16</f>
        <v>公共配套设施</v>
      </c>
      <c r="R16" s="667" t="s">
        <v>14</v>
      </c>
      <c r="S16" s="668">
        <f>F16</f>
        <v>100</v>
      </c>
      <c r="T16" s="667" t="s">
        <v>14</v>
      </c>
      <c r="U16" s="668">
        <f>H16</f>
        <v>100</v>
      </c>
      <c r="V16" s="667" t="s">
        <v>14</v>
      </c>
      <c r="W16" s="668">
        <f>J16</f>
        <v>100</v>
      </c>
      <c r="X16" s="1259"/>
      <c r="Y16" s="3474"/>
      <c r="Z16" s="1258" t="str">
        <f>Q16</f>
        <v>公共配套设施</v>
      </c>
      <c r="AA16" s="1258">
        <f t="shared" si="3"/>
        <v>1</v>
      </c>
      <c r="AB16" s="1258">
        <f t="shared" si="4"/>
        <v>1</v>
      </c>
      <c r="AC16" s="1258">
        <f t="shared" si="5"/>
        <v>1</v>
      </c>
    </row>
    <row r="17" spans="1:29" ht="15">
      <c r="A17" s="367"/>
      <c r="B17" s="395"/>
      <c r="C17" s="1749"/>
      <c r="D17" s="387"/>
      <c r="E17" s="386"/>
      <c r="F17" s="388"/>
      <c r="G17" s="386"/>
      <c r="H17" s="387"/>
      <c r="I17" s="386"/>
      <c r="J17" s="387"/>
      <c r="K17" s="541"/>
      <c r="L17" s="2487"/>
      <c r="M17" s="2482"/>
      <c r="N17" s="2482"/>
      <c r="O17" s="2537"/>
      <c r="P17" s="3474"/>
      <c r="Q17" s="1257"/>
      <c r="R17" s="667"/>
      <c r="S17" s="668"/>
      <c r="T17" s="667"/>
      <c r="U17" s="668"/>
      <c r="V17" s="667"/>
      <c r="W17" s="668"/>
      <c r="X17" s="1259"/>
      <c r="Y17" s="3474"/>
      <c r="Z17" s="1258"/>
      <c r="AA17" s="1258">
        <v>1</v>
      </c>
      <c r="AB17" s="1258">
        <v>1</v>
      </c>
      <c r="AC17" s="1258">
        <v>1</v>
      </c>
    </row>
    <row r="18" spans="1:29" ht="15">
      <c r="A18" s="367"/>
      <c r="B18" s="586" t="s">
        <v>1809</v>
      </c>
      <c r="C18" s="1748">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74"/>
      <c r="Q18" s="1257" t="str">
        <f>B18</f>
        <v>基础设施水平</v>
      </c>
      <c r="R18" s="667" t="s">
        <v>14</v>
      </c>
      <c r="S18" s="668">
        <f>F18</f>
        <v>100</v>
      </c>
      <c r="T18" s="667" t="s">
        <v>14</v>
      </c>
      <c r="U18" s="668">
        <f>H18</f>
        <v>100</v>
      </c>
      <c r="V18" s="667" t="s">
        <v>14</v>
      </c>
      <c r="W18" s="668">
        <f>J18</f>
        <v>100</v>
      </c>
      <c r="X18" s="1259"/>
      <c r="Y18" s="3474"/>
      <c r="Z18" s="1258" t="str">
        <f>Q18</f>
        <v>基础设施水平</v>
      </c>
      <c r="AA18" s="1258">
        <f t="shared" ref="AA18" si="8">D18/F18</f>
        <v>1</v>
      </c>
      <c r="AB18" s="1258">
        <f t="shared" ref="AB18" si="9">D18/H18</f>
        <v>1</v>
      </c>
      <c r="AC18" s="1258">
        <f t="shared" ref="AC18" si="10">D18/J18</f>
        <v>1</v>
      </c>
    </row>
    <row r="19" spans="1:29" ht="15">
      <c r="A19" s="367"/>
      <c r="B19" s="586"/>
      <c r="C19" s="1749"/>
      <c r="D19" s="389"/>
      <c r="E19" s="1749"/>
      <c r="F19" s="392"/>
      <c r="G19" s="1749"/>
      <c r="H19" s="387"/>
      <c r="I19" s="386"/>
      <c r="J19" s="387"/>
      <c r="K19" s="1058"/>
      <c r="L19" s="2487"/>
      <c r="M19" s="2482"/>
      <c r="N19" s="2482"/>
      <c r="O19" s="2537"/>
      <c r="P19" s="3474"/>
      <c r="Q19" s="1257"/>
      <c r="R19" s="667"/>
      <c r="S19" s="668"/>
      <c r="T19" s="667"/>
      <c r="U19" s="668"/>
      <c r="V19" s="667"/>
      <c r="W19" s="668"/>
      <c r="X19" s="1259"/>
      <c r="Y19" s="3474"/>
      <c r="Z19" s="1258"/>
      <c r="AA19" s="1258">
        <v>1</v>
      </c>
      <c r="AB19" s="1258">
        <v>1</v>
      </c>
      <c r="AC19" s="1258">
        <v>1</v>
      </c>
    </row>
    <row r="20" spans="1:29" ht="15">
      <c r="A20" s="367"/>
      <c r="B20" s="390" t="s">
        <v>1830</v>
      </c>
      <c r="C20" s="1748">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74"/>
      <c r="Q20" s="1257" t="str">
        <f>B20</f>
        <v>自然及人文环境</v>
      </c>
      <c r="R20" s="667" t="s">
        <v>14</v>
      </c>
      <c r="S20" s="668">
        <f>F20</f>
        <v>100</v>
      </c>
      <c r="T20" s="667" t="s">
        <v>14</v>
      </c>
      <c r="U20" s="668">
        <f>H20</f>
        <v>100</v>
      </c>
      <c r="V20" s="667" t="s">
        <v>14</v>
      </c>
      <c r="W20" s="668">
        <f>J20</f>
        <v>100</v>
      </c>
      <c r="X20" s="1259"/>
      <c r="Y20" s="3474"/>
      <c r="Z20" s="1258" t="str">
        <f>Q20</f>
        <v>自然及人文环境</v>
      </c>
      <c r="AA20" s="1258">
        <f t="shared" si="3"/>
        <v>1</v>
      </c>
      <c r="AB20" s="1258">
        <f t="shared" si="4"/>
        <v>1</v>
      </c>
      <c r="AC20" s="1258">
        <f t="shared" si="5"/>
        <v>1</v>
      </c>
    </row>
    <row r="21" spans="1:29" ht="15">
      <c r="A21" s="367"/>
      <c r="B21" s="395"/>
      <c r="C21" s="386"/>
      <c r="D21" s="387"/>
      <c r="E21" s="386"/>
      <c r="F21" s="388"/>
      <c r="G21" s="386"/>
      <c r="H21" s="387"/>
      <c r="I21" s="386"/>
      <c r="J21" s="387"/>
      <c r="K21" s="541"/>
      <c r="L21" s="2487"/>
      <c r="M21" s="2482"/>
      <c r="N21" s="2482"/>
      <c r="O21" s="2537"/>
      <c r="P21" s="3474"/>
      <c r="Q21" s="1257"/>
      <c r="R21" s="667"/>
      <c r="S21" s="668"/>
      <c r="T21" s="667"/>
      <c r="U21" s="668"/>
      <c r="V21" s="667"/>
      <c r="W21" s="668"/>
      <c r="X21" s="1259"/>
      <c r="Y21" s="3474"/>
      <c r="Z21" s="1258"/>
      <c r="AA21" s="1258">
        <v>1</v>
      </c>
      <c r="AB21" s="1258">
        <v>1</v>
      </c>
      <c r="AC21" s="1258">
        <v>1</v>
      </c>
    </row>
    <row r="22" spans="1:29" ht="15">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74"/>
      <c r="Q22" s="1257" t="str">
        <f>B22</f>
        <v>楼层</v>
      </c>
      <c r="R22" s="667" t="s">
        <v>14</v>
      </c>
      <c r="S22" s="668">
        <f>F22</f>
        <v>100</v>
      </c>
      <c r="T22" s="667" t="s">
        <v>14</v>
      </c>
      <c r="U22" s="668">
        <f>H22</f>
        <v>100</v>
      </c>
      <c r="V22" s="667" t="s">
        <v>14</v>
      </c>
      <c r="W22" s="668">
        <f>J22</f>
        <v>100</v>
      </c>
      <c r="X22" s="1259"/>
      <c r="Y22" s="3474"/>
      <c r="Z22" s="1258" t="str">
        <f>Q22</f>
        <v>楼层</v>
      </c>
      <c r="AA22" s="1258">
        <f t="shared" si="3"/>
        <v>1</v>
      </c>
      <c r="AB22" s="1258">
        <f t="shared" si="4"/>
        <v>1</v>
      </c>
      <c r="AC22" s="1258">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74"/>
      <c r="Q23" s="1257">
        <f>B23</f>
        <v>111</v>
      </c>
      <c r="R23" s="667" t="s">
        <v>14</v>
      </c>
      <c r="S23" s="668">
        <f>F23</f>
        <v>100</v>
      </c>
      <c r="T23" s="667" t="s">
        <v>14</v>
      </c>
      <c r="U23" s="668">
        <f>H23</f>
        <v>100</v>
      </c>
      <c r="V23" s="667" t="s">
        <v>14</v>
      </c>
      <c r="W23" s="668">
        <f>J23</f>
        <v>100</v>
      </c>
      <c r="X23" s="1259"/>
      <c r="Y23" s="3474"/>
      <c r="Z23" s="1258">
        <f>Q23</f>
        <v>111</v>
      </c>
      <c r="AA23" s="1258">
        <f t="shared" si="3"/>
        <v>1</v>
      </c>
      <c r="AB23" s="1258">
        <f t="shared" si="4"/>
        <v>1</v>
      </c>
      <c r="AC23" s="1258">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74"/>
      <c r="Q24" s="1257">
        <f t="shared" ref="Q24:Q34" si="11">B24</f>
        <v>111</v>
      </c>
      <c r="R24" s="667" t="s">
        <v>14</v>
      </c>
      <c r="S24" s="668">
        <f>F24</f>
        <v>100</v>
      </c>
      <c r="T24" s="667" t="s">
        <v>14</v>
      </c>
      <c r="U24" s="668">
        <f>H24</f>
        <v>100</v>
      </c>
      <c r="V24" s="667" t="s">
        <v>14</v>
      </c>
      <c r="W24" s="668">
        <f>J24</f>
        <v>100</v>
      </c>
      <c r="X24" s="1259"/>
      <c r="Y24" s="3474"/>
      <c r="Z24" s="1258">
        <f>Q24</f>
        <v>111</v>
      </c>
      <c r="AA24" s="1258">
        <f t="shared" si="3"/>
        <v>1</v>
      </c>
      <c r="AB24" s="1258">
        <f t="shared" si="4"/>
        <v>1</v>
      </c>
      <c r="AC24" s="1258">
        <f t="shared" si="5"/>
        <v>1</v>
      </c>
    </row>
    <row r="25" spans="1:29" s="102" customFormat="1" ht="15.75" thickBot="1">
      <c r="A25" s="370"/>
      <c r="B25" s="447">
        <v>111</v>
      </c>
      <c r="C25" s="1818"/>
      <c r="D25" s="557">
        <v>100</v>
      </c>
      <c r="E25" s="1818"/>
      <c r="F25" s="586">
        <f>SUMIF(75:75,E25,76:76)-SUMIF(75:75,C25,76:76)+100</f>
        <v>100</v>
      </c>
      <c r="G25" s="1818"/>
      <c r="H25" s="557">
        <f>SUMIF(75:75,G25,76:76)-SUMIF(75:75,C25,76:76)+100</f>
        <v>100</v>
      </c>
      <c r="I25" s="1818"/>
      <c r="J25" s="557">
        <f>SUMIF(75:75,I25,76:76)-SUMIF(75:75,C25,76:76)+100</f>
        <v>100</v>
      </c>
      <c r="K25" s="539"/>
      <c r="L25" s="2483"/>
      <c r="M25" s="2434"/>
      <c r="N25" s="2434"/>
      <c r="O25" s="2535"/>
      <c r="P25" s="3474"/>
      <c r="Q25" s="530">
        <f t="shared" si="11"/>
        <v>111</v>
      </c>
      <c r="R25" s="664" t="s">
        <v>14</v>
      </c>
      <c r="S25" s="665">
        <f>F25</f>
        <v>100</v>
      </c>
      <c r="T25" s="664" t="s">
        <v>14</v>
      </c>
      <c r="U25" s="665">
        <f>H25</f>
        <v>100</v>
      </c>
      <c r="V25" s="664" t="s">
        <v>14</v>
      </c>
      <c r="W25" s="665">
        <f>J25</f>
        <v>100</v>
      </c>
      <c r="X25" s="666"/>
      <c r="Y25" s="3474"/>
      <c r="Z25" s="50">
        <f>Q25</f>
        <v>111</v>
      </c>
      <c r="AA25" s="1258">
        <f>D25/F25</f>
        <v>1</v>
      </c>
      <c r="AB25" s="1258">
        <f>D25/H25</f>
        <v>1</v>
      </c>
      <c r="AC25" s="1258">
        <f>D25/J25</f>
        <v>1</v>
      </c>
    </row>
    <row r="26" spans="1:29" ht="28.5">
      <c r="A26" s="404" t="s">
        <v>1690</v>
      </c>
      <c r="B26" s="60" t="s">
        <v>1834</v>
      </c>
      <c r="C26" s="1758"/>
      <c r="D26" s="405">
        <v>100</v>
      </c>
      <c r="E26" s="1758"/>
      <c r="F26" s="587">
        <f>SUMIF(77:77,E26,78:78)-SUMIF(77:77,C26,78:78)+100</f>
        <v>100</v>
      </c>
      <c r="G26" s="1758"/>
      <c r="H26" s="405">
        <f>SUMIF(77:77,G26,78:78)-SUMIF(77:77,C26,78:78)+100</f>
        <v>100</v>
      </c>
      <c r="I26" s="1758"/>
      <c r="J26" s="405">
        <f>SUMIF(77:77,I26,78:78)-SUMIF(77:77,C26,78:78)+100</f>
        <v>100</v>
      </c>
      <c r="K26" s="538"/>
      <c r="L26" s="2487"/>
      <c r="M26" s="2482"/>
      <c r="N26" s="2482"/>
      <c r="O26" s="2537"/>
      <c r="P26" s="3547" t="s">
        <v>1692</v>
      </c>
      <c r="Q26" s="1257" t="str">
        <f t="shared" si="11"/>
        <v>公共部分装修</v>
      </c>
      <c r="R26" s="667" t="s">
        <v>14</v>
      </c>
      <c r="S26" s="668">
        <f t="shared" ref="S26:S34" si="12">F26</f>
        <v>100</v>
      </c>
      <c r="T26" s="667" t="s">
        <v>14</v>
      </c>
      <c r="U26" s="668">
        <f t="shared" ref="U26:U34" si="13">H26</f>
        <v>100</v>
      </c>
      <c r="V26" s="667" t="s">
        <v>14</v>
      </c>
      <c r="W26" s="668">
        <f t="shared" ref="W26:W34" si="14">J26</f>
        <v>100</v>
      </c>
      <c r="X26" s="1259"/>
      <c r="Y26" s="3478" t="s">
        <v>1692</v>
      </c>
      <c r="Z26" s="1258" t="str">
        <f t="shared" ref="Z26:Z34" si="15">Q26</f>
        <v>公共部分装修</v>
      </c>
      <c r="AA26" s="1258">
        <f t="shared" si="3"/>
        <v>1</v>
      </c>
      <c r="AB26" s="1258">
        <f t="shared" si="4"/>
        <v>1</v>
      </c>
      <c r="AC26" s="1258">
        <f t="shared" si="5"/>
        <v>1</v>
      </c>
    </row>
    <row r="27" spans="1:29" s="408" customFormat="1" ht="15">
      <c r="A27" s="406"/>
      <c r="B27" s="364" t="s">
        <v>1835</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78"/>
      <c r="Q27" s="531" t="str">
        <f t="shared" si="11"/>
        <v>成新率</v>
      </c>
      <c r="R27" s="669" t="s">
        <v>14</v>
      </c>
      <c r="S27" s="670" t="e">
        <f t="shared" si="12"/>
        <v>#N/A</v>
      </c>
      <c r="T27" s="669" t="s">
        <v>14</v>
      </c>
      <c r="U27" s="670" t="e">
        <f t="shared" si="13"/>
        <v>#N/A</v>
      </c>
      <c r="V27" s="669" t="s">
        <v>14</v>
      </c>
      <c r="W27" s="670" t="e">
        <f t="shared" si="14"/>
        <v>#N/A</v>
      </c>
      <c r="X27" s="671"/>
      <c r="Y27" s="3478"/>
      <c r="Z27" s="672" t="str">
        <f t="shared" si="15"/>
        <v>成新率</v>
      </c>
      <c r="AA27" s="1258" t="e">
        <f t="shared" si="3"/>
        <v>#N/A</v>
      </c>
      <c r="AB27" s="1258" t="e">
        <f t="shared" si="4"/>
        <v>#N/A</v>
      </c>
      <c r="AC27" s="1258" t="e">
        <f t="shared" si="5"/>
        <v>#N/A</v>
      </c>
    </row>
    <row r="28" spans="1:29" ht="15">
      <c r="A28" s="409"/>
      <c r="B28" s="364" t="s">
        <v>1836</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78"/>
      <c r="Q28" s="1257" t="str">
        <f t="shared" si="11"/>
        <v>物业等级</v>
      </c>
      <c r="R28" s="667" t="s">
        <v>14</v>
      </c>
      <c r="S28" s="668">
        <f t="shared" si="12"/>
        <v>100</v>
      </c>
      <c r="T28" s="667" t="s">
        <v>14</v>
      </c>
      <c r="U28" s="668">
        <f t="shared" si="13"/>
        <v>100</v>
      </c>
      <c r="V28" s="667" t="s">
        <v>14</v>
      </c>
      <c r="W28" s="668">
        <f t="shared" si="14"/>
        <v>100</v>
      </c>
      <c r="X28" s="1259"/>
      <c r="Y28" s="3478"/>
      <c r="Z28" s="1258" t="str">
        <f t="shared" si="15"/>
        <v>物业等级</v>
      </c>
      <c r="AA28" s="1258">
        <f t="shared" si="3"/>
        <v>1</v>
      </c>
      <c r="AB28" s="1258">
        <f t="shared" si="4"/>
        <v>1</v>
      </c>
      <c r="AC28" s="1258">
        <f t="shared" si="5"/>
        <v>1</v>
      </c>
    </row>
    <row r="29" spans="1:29" ht="15">
      <c r="A29" s="409"/>
      <c r="B29" s="364" t="s">
        <v>1856</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78"/>
      <c r="Q29" s="1257" t="str">
        <f t="shared" si="11"/>
        <v>有无电梯</v>
      </c>
      <c r="R29" s="667" t="s">
        <v>14</v>
      </c>
      <c r="S29" s="668">
        <f t="shared" si="12"/>
        <v>100</v>
      </c>
      <c r="T29" s="667" t="s">
        <v>14</v>
      </c>
      <c r="U29" s="668">
        <f t="shared" si="13"/>
        <v>100</v>
      </c>
      <c r="V29" s="667" t="s">
        <v>14</v>
      </c>
      <c r="W29" s="668">
        <f t="shared" si="14"/>
        <v>100</v>
      </c>
      <c r="X29" s="1259"/>
      <c r="Y29" s="3478"/>
      <c r="Z29" s="1258" t="str">
        <f t="shared" si="15"/>
        <v>有无电梯</v>
      </c>
      <c r="AA29" s="1258">
        <f t="shared" si="3"/>
        <v>1</v>
      </c>
      <c r="AB29" s="1258">
        <f t="shared" si="4"/>
        <v>1</v>
      </c>
      <c r="AC29" s="1258">
        <f t="shared" si="5"/>
        <v>1</v>
      </c>
    </row>
    <row r="30" spans="1:29" ht="15">
      <c r="A30" s="409"/>
      <c r="B30" s="364" t="s">
        <v>1857</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78"/>
      <c r="Q30" s="1257" t="str">
        <f t="shared" si="11"/>
        <v>建筑面积</v>
      </c>
      <c r="R30" s="667" t="s">
        <v>14</v>
      </c>
      <c r="S30" s="668" t="e">
        <f t="shared" si="12"/>
        <v>#N/A</v>
      </c>
      <c r="T30" s="667" t="s">
        <v>14</v>
      </c>
      <c r="U30" s="668" t="e">
        <f t="shared" si="13"/>
        <v>#N/A</v>
      </c>
      <c r="V30" s="667" t="s">
        <v>14</v>
      </c>
      <c r="W30" s="668" t="e">
        <f t="shared" si="14"/>
        <v>#N/A</v>
      </c>
      <c r="X30" s="1259"/>
      <c r="Y30" s="3478"/>
      <c r="Z30" s="1258" t="str">
        <f t="shared" si="15"/>
        <v>建筑面积</v>
      </c>
      <c r="AA30" s="1258" t="e">
        <f t="shared" si="3"/>
        <v>#N/A</v>
      </c>
      <c r="AB30" s="1258" t="e">
        <f t="shared" si="4"/>
        <v>#N/A</v>
      </c>
      <c r="AC30" s="1258" t="e">
        <f t="shared" si="5"/>
        <v>#N/A</v>
      </c>
    </row>
    <row r="31" spans="1:29" s="102" customFormat="1" ht="15">
      <c r="A31" s="410"/>
      <c r="B31" s="364" t="s">
        <v>1858</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4"/>
      <c r="N31" s="2434"/>
      <c r="O31" s="2535"/>
      <c r="P31" s="3478"/>
      <c r="Q31" s="530" t="str">
        <f t="shared" si="11"/>
        <v>是否封闭</v>
      </c>
      <c r="R31" s="664" t="s">
        <v>14</v>
      </c>
      <c r="S31" s="665">
        <f t="shared" si="12"/>
        <v>100</v>
      </c>
      <c r="T31" s="664" t="s">
        <v>14</v>
      </c>
      <c r="U31" s="665">
        <f t="shared" si="13"/>
        <v>100</v>
      </c>
      <c r="V31" s="664" t="s">
        <v>14</v>
      </c>
      <c r="W31" s="665">
        <f t="shared" si="14"/>
        <v>100</v>
      </c>
      <c r="X31" s="666"/>
      <c r="Y31" s="34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78" t="s">
        <v>1692</v>
      </c>
      <c r="Q32" s="1257">
        <f t="shared" si="11"/>
        <v>111</v>
      </c>
      <c r="R32" s="667" t="s">
        <v>14</v>
      </c>
      <c r="S32" s="668">
        <f t="shared" si="12"/>
        <v>100</v>
      </c>
      <c r="T32" s="667" t="s">
        <v>14</v>
      </c>
      <c r="U32" s="668">
        <f t="shared" si="13"/>
        <v>100</v>
      </c>
      <c r="V32" s="667" t="s">
        <v>14</v>
      </c>
      <c r="W32" s="668">
        <f t="shared" si="14"/>
        <v>100</v>
      </c>
      <c r="X32" s="1259"/>
      <c r="Y32" s="3478" t="s">
        <v>1692</v>
      </c>
      <c r="Z32" s="1258">
        <f t="shared" si="15"/>
        <v>111</v>
      </c>
      <c r="AA32" s="1258">
        <f t="shared" si="3"/>
        <v>1</v>
      </c>
      <c r="AB32" s="1258">
        <f t="shared" si="4"/>
        <v>1</v>
      </c>
      <c r="AC32" s="1258">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78"/>
      <c r="Q33" s="1257">
        <f t="shared" si="11"/>
        <v>111</v>
      </c>
      <c r="R33" s="667" t="s">
        <v>14</v>
      </c>
      <c r="S33" s="668">
        <f t="shared" si="12"/>
        <v>100</v>
      </c>
      <c r="T33" s="667" t="s">
        <v>14</v>
      </c>
      <c r="U33" s="668">
        <f t="shared" si="13"/>
        <v>100</v>
      </c>
      <c r="V33" s="667" t="s">
        <v>14</v>
      </c>
      <c r="W33" s="668">
        <f t="shared" si="14"/>
        <v>100</v>
      </c>
      <c r="X33" s="1259"/>
      <c r="Y33" s="3478"/>
      <c r="Z33" s="1258">
        <f t="shared" si="15"/>
        <v>111</v>
      </c>
      <c r="AA33" s="1258">
        <f t="shared" si="3"/>
        <v>1</v>
      </c>
      <c r="AB33" s="1258">
        <f t="shared" si="4"/>
        <v>1</v>
      </c>
      <c r="AC33" s="1258">
        <f t="shared" si="5"/>
        <v>1</v>
      </c>
    </row>
    <row r="34" spans="1:30" ht="15.75" thickBot="1">
      <c r="A34" s="415"/>
      <c r="B34" s="1743">
        <v>111</v>
      </c>
      <c r="C34" s="376"/>
      <c r="D34" s="377">
        <v>100</v>
      </c>
      <c r="E34" s="1817"/>
      <c r="F34" s="378">
        <f>SUMIF(95:95,E34,96:96)-SUMIF(95:95,C34,96:96)+100</f>
        <v>100</v>
      </c>
      <c r="G34" s="1817"/>
      <c r="H34" s="377">
        <f>SUMIF(95:95,G34,96:96)-SUMIF(95:95,C34,96:96)+100</f>
        <v>100</v>
      </c>
      <c r="I34" s="1817"/>
      <c r="J34" s="377">
        <f>SUMIF(95:95,I34,96:96)-SUMIF(95:95,C34,96:96)+100</f>
        <v>100</v>
      </c>
      <c r="K34" s="539"/>
      <c r="L34" s="2487"/>
      <c r="M34" s="2482"/>
      <c r="N34" s="2482"/>
      <c r="O34" s="2537"/>
      <c r="P34" s="3478"/>
      <c r="Q34" s="1257">
        <f t="shared" si="11"/>
        <v>111</v>
      </c>
      <c r="R34" s="667" t="s">
        <v>14</v>
      </c>
      <c r="S34" s="668">
        <f t="shared" si="12"/>
        <v>100</v>
      </c>
      <c r="T34" s="667" t="s">
        <v>14</v>
      </c>
      <c r="U34" s="668">
        <f t="shared" si="13"/>
        <v>100</v>
      </c>
      <c r="V34" s="667" t="s">
        <v>14</v>
      </c>
      <c r="W34" s="668">
        <f t="shared" si="14"/>
        <v>100</v>
      </c>
      <c r="X34" s="1259"/>
      <c r="Y34" s="3478"/>
      <c r="Z34" s="1258">
        <f t="shared" si="15"/>
        <v>111</v>
      </c>
      <c r="AA34" s="1258">
        <f t="shared" si="3"/>
        <v>1</v>
      </c>
      <c r="AB34" s="1258">
        <f t="shared" si="4"/>
        <v>1</v>
      </c>
      <c r="AC34" s="1258">
        <f t="shared" si="5"/>
        <v>1</v>
      </c>
    </row>
    <row r="35" spans="1:30" ht="15">
      <c r="A35" s="416" t="s">
        <v>1704</v>
      </c>
      <c r="B35" s="417"/>
      <c r="C35" s="1075" t="s">
        <v>0</v>
      </c>
      <c r="D35" s="418"/>
      <c r="E35" s="419"/>
      <c r="F35" s="420"/>
      <c r="G35" s="421"/>
      <c r="H35" s="422"/>
      <c r="I35" s="419"/>
      <c r="J35" s="422"/>
      <c r="K35" s="674"/>
      <c r="L35" s="2489"/>
      <c r="M35" s="2482"/>
      <c r="N35" s="2482"/>
      <c r="O35" s="2482"/>
      <c r="P35" s="3466" t="str">
        <f>A35</f>
        <v>成交单价（元/平方米）</v>
      </c>
      <c r="Q35" s="3466"/>
      <c r="R35" s="3467">
        <f>E35</f>
        <v>0</v>
      </c>
      <c r="S35" s="3467"/>
      <c r="T35" s="3467">
        <f>G35</f>
        <v>0</v>
      </c>
      <c r="U35" s="3467"/>
      <c r="V35" s="3467">
        <f>I35</f>
        <v>0</v>
      </c>
      <c r="W35" s="3467"/>
      <c r="X35" s="385"/>
      <c r="Y35" s="673"/>
      <c r="Z35" s="385"/>
      <c r="AA35" s="385"/>
      <c r="AB35" s="385"/>
      <c r="AC35" s="385"/>
    </row>
    <row r="36" spans="1:30" ht="15.75" thickBot="1">
      <c r="A36" s="423" t="s">
        <v>1789</v>
      </c>
      <c r="B36" s="424"/>
      <c r="C36" s="1076" t="e">
        <f>R37</f>
        <v>#DIV/0!</v>
      </c>
      <c r="D36" s="2135" t="s">
        <v>2131</v>
      </c>
      <c r="E36" s="1077" t="e">
        <f>R36</f>
        <v>#DIV/0!</v>
      </c>
      <c r="F36" s="2136"/>
      <c r="G36" s="1076" t="e">
        <f>T36</f>
        <v>#DIV/0!</v>
      </c>
      <c r="H36" s="2136"/>
      <c r="I36" s="1077" t="e">
        <f>V36</f>
        <v>#DIV/0!</v>
      </c>
      <c r="J36" s="2136"/>
      <c r="K36" s="2138">
        <f>F36+H36+J36</f>
        <v>0</v>
      </c>
      <c r="L36" s="2489"/>
      <c r="M36" s="2482"/>
      <c r="N36" s="2482"/>
      <c r="O36" s="2482"/>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385"/>
      <c r="Y36" s="385"/>
      <c r="Z36" s="385"/>
      <c r="AA36" s="385"/>
      <c r="AB36" s="385"/>
      <c r="AC36" s="385"/>
    </row>
    <row r="37" spans="1:30" ht="15.75" thickBot="1">
      <c r="A37" s="427" t="s">
        <v>1790</v>
      </c>
      <c r="B37" s="428"/>
      <c r="C37" s="351" t="e">
        <f>R37</f>
        <v>#DIV/0!</v>
      </c>
      <c r="D37" s="351"/>
      <c r="E37" s="351"/>
      <c r="F37" s="351"/>
      <c r="G37" s="351"/>
      <c r="H37" s="351"/>
      <c r="I37" s="351"/>
      <c r="J37" s="351"/>
      <c r="K37" s="675"/>
      <c r="L37" s="2489"/>
      <c r="M37" s="2482"/>
      <c r="N37" s="2482"/>
      <c r="O37" s="2482"/>
      <c r="P37" s="3468" t="str">
        <f>A37</f>
        <v>估价对象XX用房的比较价值（楼面单价，元/平方米）</v>
      </c>
      <c r="Q37" s="3469"/>
      <c r="R37" s="3548" t="e">
        <f>IF(F1="售价",ROUND(IF(D36="简单平均",AVERAGE(R36:W36),R36*F36+T36*H36+V36*J36),0),ROUND(IF(D36="简单平均",AVERAGE(R36:V36),R36*F36+T36*H36+V36*J36),1))</f>
        <v>#DIV/0!</v>
      </c>
      <c r="S37" s="3548"/>
      <c r="T37" s="3548"/>
      <c r="U37" s="3548"/>
      <c r="V37" s="3548"/>
      <c r="W37" s="3548"/>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1791</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1792</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1793</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8" t="s">
        <v>1794</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1675</v>
      </c>
      <c r="B46" s="441"/>
      <c r="C46" s="1097" t="str">
        <f>YEAR(C7)&amp;"-"&amp;MONTH(C7)</f>
        <v>2025-8</v>
      </c>
      <c r="D46" s="1098">
        <f>EDATE(C46,-1)</f>
        <v>45839</v>
      </c>
      <c r="E46" s="1098">
        <f t="shared" ref="E46:O46" si="16">EDATE(D46,-1)</f>
        <v>45809</v>
      </c>
      <c r="F46" s="1098">
        <f t="shared" si="16"/>
        <v>45778</v>
      </c>
      <c r="G46" s="1098">
        <f t="shared" si="16"/>
        <v>45748</v>
      </c>
      <c r="H46" s="1098">
        <f t="shared" si="16"/>
        <v>45717</v>
      </c>
      <c r="I46" s="1098">
        <f t="shared" si="16"/>
        <v>45689</v>
      </c>
      <c r="J46" s="1098">
        <f t="shared" si="16"/>
        <v>45658</v>
      </c>
      <c r="K46" s="1098">
        <f t="shared" si="16"/>
        <v>45627</v>
      </c>
      <c r="L46" s="1098">
        <f t="shared" si="16"/>
        <v>45597</v>
      </c>
      <c r="M46" s="1098">
        <f t="shared" si="16"/>
        <v>45566</v>
      </c>
      <c r="N46" s="1098">
        <f t="shared" si="16"/>
        <v>45536</v>
      </c>
      <c r="O46" s="1098">
        <f t="shared" si="16"/>
        <v>45505</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096">
        <v>100</v>
      </c>
      <c r="D47" s="446"/>
      <c r="E47" s="446"/>
      <c r="F47" s="446"/>
      <c r="G47" s="446"/>
      <c r="H47" s="446"/>
      <c r="I47" s="446"/>
      <c r="J47" s="446"/>
      <c r="K47" s="446"/>
      <c r="L47" s="446"/>
      <c r="M47" s="447"/>
      <c r="N47" s="446"/>
      <c r="O47" s="448"/>
      <c r="P47" s="2503"/>
      <c r="Q47" s="2434"/>
      <c r="R47" s="2434"/>
      <c r="S47" s="2434"/>
      <c r="T47" s="2434"/>
      <c r="U47" s="2434"/>
      <c r="V47" s="2434"/>
      <c r="W47" s="2434"/>
      <c r="X47" s="2434"/>
      <c r="Y47" s="2434"/>
      <c r="Z47" s="2434"/>
      <c r="AA47" s="2434"/>
      <c r="AB47" s="2434"/>
      <c r="AC47" s="2434"/>
      <c r="AD47" s="2434"/>
    </row>
    <row r="48" spans="1:30" s="102" customFormat="1" ht="15.75" thickBot="1">
      <c r="A48" s="449" t="s">
        <v>1712</v>
      </c>
      <c r="B48" s="450"/>
      <c r="C48" s="451"/>
      <c r="D48" s="452"/>
      <c r="E48" s="452"/>
      <c r="F48" s="452"/>
      <c r="G48" s="452"/>
      <c r="H48" s="452"/>
      <c r="I48" s="452"/>
      <c r="J48" s="452"/>
      <c r="K48" s="452"/>
      <c r="L48" s="452"/>
      <c r="M48" s="453"/>
      <c r="N48" s="452"/>
      <c r="O48" s="454"/>
      <c r="P48" s="2503"/>
      <c r="Q48" s="2503"/>
      <c r="R48" s="2434"/>
      <c r="S48" s="2434"/>
      <c r="T48" s="2434"/>
      <c r="U48" s="2434"/>
      <c r="V48" s="2434"/>
      <c r="W48" s="2434"/>
      <c r="X48" s="2434"/>
      <c r="Y48" s="2434"/>
      <c r="Z48" s="2434"/>
      <c r="AA48" s="2434"/>
      <c r="AB48" s="2434"/>
      <c r="AC48" s="2434"/>
      <c r="AD48" s="2434"/>
    </row>
    <row r="49" spans="1:30" s="102" customFormat="1" ht="15">
      <c r="A49" s="455" t="s">
        <v>1677</v>
      </c>
      <c r="B49" s="444"/>
      <c r="C49" s="456" t="s">
        <v>1772</v>
      </c>
      <c r="D49" s="31"/>
      <c r="E49" s="31"/>
      <c r="F49" s="31"/>
      <c r="G49" s="31"/>
      <c r="H49" s="31"/>
      <c r="I49" s="31"/>
      <c r="J49" s="31"/>
      <c r="K49" s="31"/>
      <c r="L49" s="457"/>
      <c r="M49" s="458"/>
      <c r="N49" s="2515"/>
      <c r="O49" s="2515"/>
      <c r="P49" s="2539"/>
      <c r="Q49" s="2503"/>
      <c r="R49" s="2434"/>
      <c r="S49" s="2434"/>
      <c r="T49" s="2434"/>
      <c r="U49" s="2434"/>
      <c r="V49" s="2434"/>
      <c r="W49" s="2434"/>
      <c r="X49" s="2434"/>
      <c r="Y49" s="2434"/>
      <c r="Z49" s="2434"/>
      <c r="AA49" s="2434"/>
      <c r="AB49" s="2434"/>
      <c r="AC49" s="2434"/>
      <c r="AD49" s="2434"/>
    </row>
    <row r="50" spans="1:30" s="102" customFormat="1" ht="15.75" thickBot="1">
      <c r="A50" s="455"/>
      <c r="B50" s="444"/>
      <c r="C50" s="563">
        <v>100</v>
      </c>
      <c r="D50" s="446"/>
      <c r="E50" s="446"/>
      <c r="F50" s="446"/>
      <c r="G50" s="446"/>
      <c r="H50" s="446"/>
      <c r="I50" s="446"/>
      <c r="J50" s="446"/>
      <c r="K50" s="446"/>
      <c r="L50" s="446"/>
      <c r="M50" s="448"/>
      <c r="N50" s="2515"/>
      <c r="O50" s="2515"/>
      <c r="P50" s="2503"/>
      <c r="Q50" s="2503"/>
      <c r="R50" s="2434"/>
      <c r="S50" s="2434"/>
      <c r="T50" s="2434"/>
      <c r="U50" s="2434"/>
      <c r="V50" s="2434"/>
      <c r="W50" s="2434"/>
      <c r="X50" s="2434"/>
      <c r="Y50" s="2434"/>
      <c r="Z50" s="2434"/>
      <c r="AA50" s="2434"/>
      <c r="AB50" s="2434"/>
      <c r="AC50" s="2434"/>
      <c r="AD50" s="2434"/>
    </row>
    <row r="51" spans="1:30">
      <c r="A51" s="379" t="s">
        <v>1715</v>
      </c>
      <c r="B51" s="460" t="s">
        <v>1681</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1684</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1859</v>
      </c>
      <c r="C63" s="509" t="s">
        <v>1717</v>
      </c>
      <c r="D63" s="509" t="s">
        <v>1718</v>
      </c>
      <c r="E63" s="509" t="s">
        <v>1719</v>
      </c>
      <c r="F63" s="509" t="s">
        <v>1720</v>
      </c>
      <c r="G63" s="509" t="s">
        <v>1721</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1809</v>
      </c>
      <c r="C65" s="581" t="s">
        <v>1795</v>
      </c>
      <c r="D65" s="581" t="s">
        <v>1796</v>
      </c>
      <c r="E65" s="581" t="s">
        <v>1797</v>
      </c>
      <c r="F65" s="581" t="s">
        <v>1798</v>
      </c>
      <c r="G65" s="581" t="s">
        <v>1799</v>
      </c>
      <c r="H65" s="470"/>
      <c r="I65" s="470"/>
      <c r="J65" s="470"/>
      <c r="K65" s="470"/>
      <c r="L65" s="470"/>
      <c r="M65" s="1057"/>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1729</v>
      </c>
      <c r="C67" s="509" t="s">
        <v>1717</v>
      </c>
      <c r="D67" s="509" t="s">
        <v>1718</v>
      </c>
      <c r="E67" s="509" t="s">
        <v>1719</v>
      </c>
      <c r="F67" s="509" t="s">
        <v>1720</v>
      </c>
      <c r="G67" s="509" t="s">
        <v>1721</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1848</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4"/>
      <c r="S71" s="2434"/>
      <c r="T71" s="2434"/>
      <c r="U71" s="2434"/>
      <c r="V71" s="2434"/>
      <c r="W71" s="2434"/>
      <c r="X71" s="2434"/>
      <c r="Y71" s="2434"/>
      <c r="Z71" s="2434"/>
      <c r="AA71" s="2434"/>
      <c r="AB71" s="2434"/>
      <c r="AC71" s="2434"/>
      <c r="AD71" s="2434"/>
    </row>
    <row r="72" spans="1:30" s="102" customFormat="1" ht="15.75" thickBot="1">
      <c r="A72" s="370"/>
      <c r="B72" s="474"/>
      <c r="C72" s="491"/>
      <c r="D72" s="467"/>
      <c r="E72" s="467"/>
      <c r="F72" s="467"/>
      <c r="G72" s="467"/>
      <c r="H72" s="467"/>
      <c r="I72" s="467"/>
      <c r="J72" s="467"/>
      <c r="K72" s="467"/>
      <c r="L72" s="467"/>
      <c r="M72" s="468"/>
      <c r="N72" s="2517"/>
      <c r="O72" s="2517"/>
      <c r="P72" s="2515"/>
      <c r="Q72" s="2503"/>
      <c r="R72" s="2434"/>
      <c r="S72" s="2434"/>
      <c r="T72" s="2434"/>
      <c r="U72" s="2434"/>
      <c r="V72" s="2434"/>
      <c r="W72" s="2434"/>
      <c r="X72" s="2434"/>
      <c r="Y72" s="2434"/>
      <c r="Z72" s="2434"/>
      <c r="AA72" s="2434"/>
      <c r="AB72" s="2434"/>
      <c r="AC72" s="2434"/>
      <c r="AD72" s="2434"/>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4"/>
      <c r="S73" s="2434"/>
      <c r="T73" s="2434"/>
      <c r="U73" s="2434"/>
      <c r="V73" s="2434"/>
      <c r="W73" s="2434"/>
      <c r="X73" s="2434"/>
      <c r="Y73" s="2434"/>
      <c r="Z73" s="2434"/>
      <c r="AA73" s="2434"/>
      <c r="AB73" s="2434"/>
      <c r="AC73" s="2434"/>
      <c r="AD73" s="2434"/>
    </row>
    <row r="74" spans="1:30" s="102" customFormat="1" ht="15.75" thickBot="1">
      <c r="A74" s="370"/>
      <c r="B74" s="474"/>
      <c r="C74" s="491"/>
      <c r="D74" s="467"/>
      <c r="E74" s="467"/>
      <c r="F74" s="467"/>
      <c r="G74" s="467"/>
      <c r="H74" s="467"/>
      <c r="I74" s="467"/>
      <c r="J74" s="467"/>
      <c r="K74" s="467"/>
      <c r="L74" s="467"/>
      <c r="M74" s="468"/>
      <c r="N74" s="2517"/>
      <c r="O74" s="2517"/>
      <c r="P74" s="2515"/>
      <c r="Q74" s="2503"/>
      <c r="R74" s="2434"/>
      <c r="S74" s="2434"/>
      <c r="T74" s="2434"/>
      <c r="U74" s="2434"/>
      <c r="V74" s="2434"/>
      <c r="W74" s="2434"/>
      <c r="X74" s="2434"/>
      <c r="Y74" s="2434"/>
      <c r="Z74" s="2434"/>
      <c r="AA74" s="2434"/>
      <c r="AB74" s="2434"/>
      <c r="AC74" s="2434"/>
      <c r="AD74" s="2434"/>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1690</v>
      </c>
      <c r="B77" s="460" t="s">
        <v>1736</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1852</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1860</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1861</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1862</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76"/>
      <c r="B98" s="876"/>
      <c r="C98" s="876"/>
      <c r="D98" s="876"/>
      <c r="E98" s="876"/>
      <c r="F98" s="876"/>
      <c r="G98" s="876"/>
      <c r="H98" s="876"/>
      <c r="I98" s="876"/>
      <c r="J98" s="876"/>
      <c r="K98" s="877"/>
      <c r="L98" s="878"/>
      <c r="M98" s="876"/>
      <c r="N98" s="2482"/>
      <c r="O98" s="2482"/>
      <c r="P98" s="2482"/>
      <c r="Q98" s="2482"/>
      <c r="R98" s="2482"/>
      <c r="S98" s="2482"/>
      <c r="T98" s="2482"/>
      <c r="U98" s="2482"/>
      <c r="V98" s="2482"/>
      <c r="W98" s="2482"/>
      <c r="X98" s="2482"/>
      <c r="Y98" s="2482"/>
      <c r="Z98" s="2482"/>
      <c r="AA98" s="2482"/>
      <c r="AB98" s="2482"/>
      <c r="AC98" s="2482"/>
      <c r="AD98" s="2482"/>
    </row>
    <row r="99" spans="1:30">
      <c r="A99" s="876"/>
      <c r="B99" s="876"/>
      <c r="C99" s="876"/>
      <c r="D99" s="876"/>
      <c r="E99" s="876"/>
      <c r="F99" s="876"/>
      <c r="G99" s="876"/>
      <c r="H99" s="876"/>
      <c r="I99" s="876"/>
      <c r="J99" s="876"/>
      <c r="K99" s="877"/>
      <c r="L99" s="878"/>
      <c r="M99" s="876"/>
      <c r="N99" s="2482"/>
      <c r="O99" s="2482"/>
      <c r="P99" s="2482"/>
      <c r="Q99" s="2482"/>
      <c r="R99" s="2482"/>
      <c r="S99" s="2482"/>
      <c r="T99" s="2482"/>
      <c r="U99" s="2482"/>
      <c r="V99" s="2482"/>
      <c r="W99" s="2482"/>
      <c r="X99" s="2482"/>
      <c r="Y99" s="2482"/>
      <c r="Z99" s="2482"/>
      <c r="AA99" s="2482"/>
      <c r="AB99" s="2482"/>
      <c r="AC99" s="2482"/>
      <c r="AD99" s="2482"/>
    </row>
    <row r="100" spans="1:30">
      <c r="A100" s="876"/>
      <c r="B100" s="876"/>
      <c r="C100" s="876"/>
      <c r="D100" s="876"/>
      <c r="E100" s="876"/>
      <c r="F100" s="876"/>
      <c r="G100" s="876"/>
      <c r="H100" s="876"/>
      <c r="I100" s="876"/>
      <c r="J100" s="876"/>
      <c r="K100" s="877"/>
      <c r="L100" s="878"/>
      <c r="M100" s="876"/>
      <c r="N100" s="2482"/>
      <c r="O100" s="2482"/>
      <c r="P100" s="2482"/>
      <c r="Q100" s="2482"/>
      <c r="R100" s="2482"/>
      <c r="S100" s="2482"/>
      <c r="T100" s="2482"/>
      <c r="U100" s="2482"/>
      <c r="V100" s="2482"/>
      <c r="W100" s="2482"/>
      <c r="X100" s="2482"/>
      <c r="Y100" s="2482"/>
      <c r="Z100" s="2482"/>
      <c r="AA100" s="2482"/>
      <c r="AB100" s="2482"/>
      <c r="AC100" s="2482"/>
      <c r="AD100" s="2482"/>
    </row>
    <row r="101" spans="1:30">
      <c r="A101" s="876"/>
      <c r="B101" s="876"/>
      <c r="C101" s="876"/>
      <c r="D101" s="876"/>
      <c r="E101" s="876"/>
      <c r="F101" s="876"/>
      <c r="G101" s="876"/>
      <c r="H101" s="876"/>
      <c r="I101" s="876"/>
      <c r="J101" s="876"/>
      <c r="K101" s="877"/>
      <c r="L101" s="878"/>
      <c r="M101" s="876"/>
      <c r="N101" s="2482"/>
      <c r="O101" s="2482"/>
      <c r="P101" s="2482"/>
      <c r="Q101" s="2482"/>
      <c r="R101" s="2482"/>
      <c r="S101" s="2482"/>
      <c r="T101" s="2482"/>
      <c r="U101" s="2482"/>
      <c r="V101" s="2482"/>
      <c r="W101" s="2482"/>
      <c r="X101" s="2482"/>
      <c r="Y101" s="2482"/>
      <c r="Z101" s="2482"/>
      <c r="AA101" s="2482"/>
      <c r="AB101" s="2482"/>
      <c r="AC101" s="2482"/>
      <c r="AD101" s="2482"/>
    </row>
    <row r="102" spans="1:30">
      <c r="A102" s="876"/>
      <c r="B102" s="876"/>
      <c r="C102" s="876"/>
      <c r="D102" s="876"/>
      <c r="E102" s="876"/>
      <c r="F102" s="876"/>
      <c r="G102" s="876"/>
      <c r="H102" s="876"/>
      <c r="I102" s="876"/>
      <c r="J102" s="876"/>
      <c r="K102" s="877"/>
      <c r="L102" s="878"/>
      <c r="M102" s="876"/>
      <c r="N102" s="2482"/>
      <c r="O102" s="2482"/>
      <c r="P102" s="2482"/>
      <c r="Q102" s="2482"/>
      <c r="R102" s="2482"/>
      <c r="S102" s="2482"/>
      <c r="T102" s="2482"/>
      <c r="U102" s="2482"/>
      <c r="V102" s="2482"/>
      <c r="W102" s="2482"/>
      <c r="X102" s="2482"/>
      <c r="Y102" s="2482"/>
      <c r="Z102" s="2482"/>
      <c r="AA102" s="2482"/>
      <c r="AB102" s="2482"/>
      <c r="AC102" s="2482"/>
      <c r="AD102" s="2482"/>
    </row>
    <row r="103" spans="1:30">
      <c r="A103" s="876"/>
      <c r="B103" s="876"/>
      <c r="C103" s="876"/>
      <c r="D103" s="876"/>
      <c r="E103" s="876"/>
      <c r="F103" s="876"/>
      <c r="G103" s="876"/>
      <c r="H103" s="876"/>
      <c r="I103" s="876"/>
      <c r="J103" s="876"/>
      <c r="K103" s="877"/>
      <c r="L103" s="878"/>
      <c r="M103" s="876"/>
      <c r="N103" s="876"/>
      <c r="O103" s="876"/>
      <c r="P103" s="2482"/>
      <c r="Q103" s="2482"/>
      <c r="R103" s="2482"/>
      <c r="S103" s="2482"/>
      <c r="T103" s="2482"/>
      <c r="U103" s="2482"/>
      <c r="V103" s="2482"/>
      <c r="W103" s="2482"/>
      <c r="X103" s="2482"/>
      <c r="Y103" s="2482"/>
      <c r="Z103" s="2482"/>
      <c r="AA103" s="2482"/>
      <c r="AB103" s="2482"/>
      <c r="AC103" s="2482"/>
      <c r="AD103" s="2482"/>
    </row>
    <row r="104" spans="1:30">
      <c r="A104" s="876"/>
      <c r="B104" s="876"/>
      <c r="C104" s="876"/>
      <c r="D104" s="876"/>
      <c r="E104" s="876"/>
      <c r="F104" s="876"/>
      <c r="G104" s="876"/>
      <c r="H104" s="876"/>
      <c r="I104" s="876"/>
      <c r="J104" s="876"/>
      <c r="K104" s="877"/>
      <c r="L104" s="878"/>
      <c r="M104" s="876"/>
      <c r="N104" s="876"/>
      <c r="O104" s="876"/>
      <c r="P104" s="876"/>
      <c r="Q104" s="876"/>
      <c r="R104" s="876"/>
      <c r="S104" s="876"/>
      <c r="T104" s="876"/>
    </row>
    <row r="105" spans="1:30">
      <c r="A105" s="876"/>
      <c r="B105" s="876"/>
      <c r="C105" s="876"/>
      <c r="D105" s="876"/>
      <c r="E105" s="876"/>
      <c r="F105" s="876"/>
      <c r="G105" s="876"/>
      <c r="H105" s="876"/>
      <c r="I105" s="876"/>
      <c r="J105" s="876"/>
      <c r="K105" s="877"/>
      <c r="L105" s="878"/>
      <c r="M105" s="876"/>
      <c r="N105" s="876"/>
      <c r="O105" s="876"/>
      <c r="P105" s="876"/>
      <c r="Q105" s="876"/>
      <c r="R105" s="876"/>
      <c r="S105" s="876"/>
      <c r="T105" s="876"/>
    </row>
    <row r="106" spans="1:30">
      <c r="A106" s="876"/>
      <c r="B106" s="876"/>
      <c r="C106" s="876"/>
      <c r="D106" s="876"/>
      <c r="E106" s="876"/>
      <c r="F106" s="876"/>
      <c r="G106" s="876"/>
      <c r="H106" s="876"/>
      <c r="I106" s="876"/>
      <c r="J106" s="876"/>
      <c r="K106" s="877"/>
      <c r="L106" s="878"/>
      <c r="M106" s="876"/>
      <c r="N106" s="876"/>
      <c r="O106" s="876"/>
      <c r="P106" s="876"/>
      <c r="Q106" s="876"/>
      <c r="R106" s="876"/>
      <c r="S106" s="876"/>
      <c r="T106" s="876"/>
    </row>
    <row r="107" spans="1:30">
      <c r="A107" s="876"/>
      <c r="B107" s="876"/>
      <c r="C107" s="876"/>
      <c r="D107" s="876"/>
      <c r="E107" s="876"/>
      <c r="F107" s="876"/>
      <c r="G107" s="876"/>
      <c r="H107" s="876"/>
      <c r="I107" s="876"/>
      <c r="J107" s="876"/>
      <c r="K107" s="877"/>
      <c r="L107" s="878"/>
      <c r="M107" s="876"/>
      <c r="N107" s="876"/>
      <c r="O107" s="876"/>
      <c r="P107" s="876"/>
      <c r="Q107" s="876"/>
      <c r="R107" s="876"/>
      <c r="S107" s="876"/>
      <c r="T107" s="876"/>
    </row>
    <row r="108" spans="1:30">
      <c r="A108" s="876"/>
      <c r="B108" s="876"/>
      <c r="C108" s="876"/>
      <c r="D108" s="876"/>
      <c r="E108" s="876"/>
      <c r="F108" s="876"/>
      <c r="G108" s="876"/>
      <c r="H108" s="876"/>
      <c r="I108" s="876"/>
      <c r="J108" s="876"/>
      <c r="K108" s="877"/>
      <c r="L108" s="878"/>
      <c r="M108" s="876"/>
      <c r="N108" s="876"/>
      <c r="O108" s="876"/>
      <c r="P108" s="876"/>
      <c r="Q108" s="876"/>
      <c r="R108" s="876"/>
      <c r="S108" s="876"/>
      <c r="T108" s="876"/>
    </row>
    <row r="109" spans="1:30">
      <c r="A109" s="876"/>
      <c r="B109" s="876"/>
      <c r="C109" s="876"/>
      <c r="D109" s="876"/>
      <c r="E109" s="876"/>
      <c r="F109" s="876"/>
      <c r="G109" s="876"/>
      <c r="H109" s="876"/>
      <c r="I109" s="876"/>
      <c r="J109" s="876"/>
      <c r="K109" s="877"/>
      <c r="L109" s="878"/>
      <c r="M109" s="876"/>
      <c r="N109" s="876"/>
      <c r="O109" s="876"/>
      <c r="P109" s="876"/>
      <c r="Q109" s="876"/>
      <c r="R109" s="876"/>
      <c r="S109" s="876"/>
      <c r="T109" s="876"/>
    </row>
    <row r="110" spans="1:30">
      <c r="A110" s="876"/>
      <c r="B110" s="876"/>
      <c r="C110" s="876"/>
      <c r="D110" s="876"/>
      <c r="E110" s="876"/>
      <c r="F110" s="876"/>
      <c r="G110" s="876"/>
      <c r="H110" s="876"/>
      <c r="I110" s="876"/>
      <c r="J110" s="876"/>
      <c r="K110" s="877"/>
      <c r="L110" s="878"/>
      <c r="M110" s="876"/>
      <c r="N110" s="876"/>
      <c r="O110" s="876"/>
      <c r="P110" s="876"/>
      <c r="Q110" s="876"/>
      <c r="R110" s="876"/>
      <c r="S110" s="876"/>
      <c r="T110" s="876"/>
    </row>
    <row r="111" spans="1:30">
      <c r="A111" s="876"/>
      <c r="B111" s="876"/>
      <c r="C111" s="876"/>
      <c r="D111" s="876"/>
      <c r="E111" s="876"/>
      <c r="F111" s="876"/>
      <c r="G111" s="876"/>
      <c r="H111" s="876"/>
      <c r="I111" s="876"/>
      <c r="J111" s="876"/>
      <c r="K111" s="877"/>
      <c r="L111" s="878"/>
      <c r="M111" s="876"/>
      <c r="N111" s="876"/>
      <c r="O111" s="876"/>
      <c r="P111" s="876"/>
      <c r="Q111" s="876"/>
      <c r="R111" s="876"/>
      <c r="S111" s="876"/>
      <c r="T111" s="876"/>
    </row>
    <row r="112" spans="1:30">
      <c r="A112" s="876"/>
      <c r="B112" s="876"/>
      <c r="C112" s="876"/>
      <c r="D112" s="876"/>
      <c r="E112" s="876"/>
      <c r="F112" s="876"/>
      <c r="G112" s="876"/>
      <c r="H112" s="876"/>
      <c r="I112" s="876"/>
      <c r="J112" s="876"/>
      <c r="K112" s="877"/>
      <c r="L112" s="878"/>
      <c r="M112" s="876"/>
      <c r="N112" s="876"/>
      <c r="O112" s="876"/>
      <c r="P112" s="876"/>
      <c r="Q112" s="876"/>
      <c r="R112" s="876"/>
      <c r="S112" s="876"/>
      <c r="T112" s="876"/>
    </row>
    <row r="113" spans="1:20">
      <c r="A113" s="876"/>
      <c r="B113" s="876"/>
      <c r="C113" s="876"/>
      <c r="D113" s="876"/>
      <c r="E113" s="876"/>
      <c r="F113" s="876"/>
      <c r="G113" s="876"/>
      <c r="H113" s="876"/>
      <c r="I113" s="876"/>
      <c r="J113" s="876"/>
      <c r="K113" s="877"/>
      <c r="L113" s="878"/>
      <c r="M113" s="876"/>
      <c r="N113" s="876"/>
      <c r="O113" s="876"/>
      <c r="P113" s="876"/>
      <c r="Q113" s="876"/>
      <c r="R113" s="876"/>
      <c r="S113" s="876"/>
      <c r="T113" s="876"/>
    </row>
    <row r="114" spans="1:20">
      <c r="A114" s="876"/>
      <c r="B114" s="876"/>
      <c r="C114" s="876"/>
      <c r="D114" s="876"/>
      <c r="E114" s="876"/>
      <c r="F114" s="876"/>
      <c r="G114" s="876"/>
      <c r="H114" s="876"/>
      <c r="I114" s="876"/>
      <c r="J114" s="876"/>
      <c r="K114" s="877"/>
      <c r="L114" s="878"/>
      <c r="M114" s="876"/>
      <c r="N114" s="876"/>
      <c r="O114" s="876"/>
      <c r="P114" s="876"/>
      <c r="Q114" s="876"/>
      <c r="R114" s="876"/>
      <c r="S114" s="876"/>
      <c r="T114" s="876"/>
    </row>
    <row r="115" spans="1:20">
      <c r="A115" s="876"/>
      <c r="B115" s="876"/>
      <c r="C115" s="876"/>
      <c r="D115" s="876"/>
      <c r="E115" s="876"/>
      <c r="F115" s="876"/>
      <c r="G115" s="876"/>
      <c r="H115" s="876"/>
      <c r="I115" s="876"/>
      <c r="J115" s="876"/>
      <c r="K115" s="877"/>
      <c r="L115" s="878"/>
      <c r="M115" s="876"/>
      <c r="N115" s="876"/>
      <c r="O115" s="876"/>
      <c r="P115" s="876"/>
      <c r="Q115" s="876"/>
      <c r="R115" s="876"/>
      <c r="S115" s="876"/>
      <c r="T115" s="876"/>
    </row>
    <row r="116" spans="1:20">
      <c r="A116" s="876"/>
      <c r="B116" s="876"/>
      <c r="C116" s="876"/>
      <c r="D116" s="876"/>
      <c r="E116" s="876"/>
      <c r="F116" s="876"/>
      <c r="G116" s="876"/>
      <c r="H116" s="876"/>
      <c r="I116" s="876"/>
      <c r="J116" s="876"/>
      <c r="K116" s="877"/>
      <c r="L116" s="878"/>
      <c r="M116" s="876"/>
      <c r="N116" s="876"/>
      <c r="O116" s="876"/>
      <c r="P116" s="876"/>
      <c r="Q116" s="876"/>
      <c r="R116" s="876"/>
      <c r="S116" s="876"/>
      <c r="T116" s="876"/>
    </row>
    <row r="117" spans="1:20">
      <c r="A117" s="876"/>
      <c r="B117" s="876"/>
      <c r="C117" s="876"/>
      <c r="D117" s="876"/>
      <c r="E117" s="876"/>
      <c r="F117" s="876"/>
      <c r="G117" s="876"/>
      <c r="H117" s="876"/>
      <c r="I117" s="876"/>
      <c r="J117" s="876"/>
      <c r="K117" s="877"/>
      <c r="L117" s="878"/>
      <c r="M117" s="876"/>
      <c r="N117" s="876"/>
      <c r="O117" s="876"/>
      <c r="P117" s="876"/>
      <c r="Q117" s="876"/>
      <c r="R117" s="876"/>
      <c r="S117" s="876"/>
      <c r="T117" s="876"/>
    </row>
    <row r="118" spans="1:20">
      <c r="A118" s="876"/>
      <c r="B118" s="876"/>
      <c r="C118" s="876"/>
      <c r="D118" s="876"/>
      <c r="E118" s="876"/>
      <c r="F118" s="876"/>
      <c r="G118" s="876"/>
      <c r="H118" s="876"/>
      <c r="I118" s="876"/>
      <c r="J118" s="876"/>
      <c r="K118" s="877"/>
      <c r="L118" s="878"/>
      <c r="M118" s="876"/>
      <c r="N118" s="876"/>
      <c r="O118" s="876"/>
      <c r="P118" s="876"/>
      <c r="Q118" s="876"/>
      <c r="R118" s="876"/>
      <c r="S118" s="876"/>
      <c r="T118" s="876"/>
    </row>
    <row r="119" spans="1:20">
      <c r="A119" s="876"/>
      <c r="B119" s="876"/>
      <c r="C119" s="876"/>
      <c r="D119" s="876"/>
      <c r="E119" s="876"/>
      <c r="F119" s="876"/>
      <c r="G119" s="876"/>
      <c r="H119" s="876"/>
      <c r="I119" s="876"/>
      <c r="J119" s="876"/>
      <c r="K119" s="877"/>
      <c r="L119" s="878"/>
      <c r="M119" s="876"/>
      <c r="N119" s="876"/>
      <c r="O119" s="876"/>
      <c r="P119" s="876"/>
      <c r="Q119" s="876"/>
      <c r="R119" s="876"/>
      <c r="S119" s="876"/>
      <c r="T119" s="876"/>
    </row>
    <row r="120" spans="1:20">
      <c r="A120" s="876"/>
      <c r="B120" s="876"/>
      <c r="C120" s="876"/>
      <c r="D120" s="876"/>
      <c r="E120" s="876"/>
      <c r="F120" s="876"/>
      <c r="G120" s="876"/>
      <c r="H120" s="876"/>
      <c r="I120" s="876"/>
      <c r="J120" s="876"/>
      <c r="K120" s="877"/>
      <c r="L120" s="878"/>
      <c r="M120" s="876"/>
      <c r="N120" s="876"/>
      <c r="O120" s="876"/>
      <c r="P120" s="876"/>
      <c r="Q120" s="876"/>
      <c r="R120" s="876"/>
      <c r="S120" s="876"/>
      <c r="T120" s="876"/>
    </row>
    <row r="121" spans="1:20">
      <c r="A121" s="876"/>
      <c r="B121" s="876"/>
      <c r="C121" s="876"/>
      <c r="D121" s="876"/>
      <c r="E121" s="876"/>
      <c r="F121" s="876"/>
      <c r="G121" s="876"/>
      <c r="H121" s="876"/>
      <c r="I121" s="876"/>
      <c r="J121" s="876"/>
      <c r="K121" s="877"/>
      <c r="L121" s="878"/>
      <c r="M121" s="876"/>
      <c r="N121" s="876"/>
      <c r="O121" s="876"/>
      <c r="P121" s="876"/>
      <c r="Q121" s="876"/>
      <c r="R121" s="876"/>
      <c r="S121" s="876"/>
      <c r="T121" s="876"/>
    </row>
    <row r="122" spans="1:20">
      <c r="A122" s="876"/>
      <c r="B122" s="876"/>
      <c r="C122" s="876"/>
      <c r="D122" s="876"/>
      <c r="E122" s="876"/>
      <c r="F122" s="876"/>
      <c r="G122" s="876"/>
      <c r="H122" s="876"/>
      <c r="I122" s="876"/>
      <c r="J122" s="876"/>
      <c r="K122" s="877"/>
      <c r="L122" s="878"/>
      <c r="M122" s="876"/>
      <c r="N122" s="876"/>
      <c r="O122" s="876"/>
      <c r="P122" s="876"/>
      <c r="Q122" s="876"/>
      <c r="R122" s="876"/>
      <c r="S122" s="876"/>
      <c r="T122" s="876"/>
    </row>
    <row r="123" spans="1:20">
      <c r="A123" s="876"/>
      <c r="B123" s="876"/>
      <c r="C123" s="876"/>
      <c r="D123" s="876"/>
      <c r="E123" s="876"/>
      <c r="F123" s="876"/>
      <c r="G123" s="876"/>
      <c r="H123" s="876"/>
      <c r="I123" s="876"/>
      <c r="J123" s="876"/>
      <c r="K123" s="877"/>
      <c r="L123" s="878"/>
      <c r="M123" s="876"/>
      <c r="N123" s="876"/>
      <c r="O123" s="876"/>
      <c r="P123" s="876"/>
      <c r="Q123" s="876"/>
      <c r="R123" s="876"/>
      <c r="S123" s="876"/>
      <c r="T123" s="876"/>
    </row>
    <row r="124" spans="1:20">
      <c r="A124" s="876"/>
      <c r="B124" s="876"/>
      <c r="C124" s="876"/>
      <c r="D124" s="876"/>
      <c r="E124" s="876"/>
      <c r="F124" s="876"/>
      <c r="G124" s="876"/>
      <c r="H124" s="876"/>
      <c r="I124" s="876"/>
      <c r="J124" s="876"/>
      <c r="K124" s="877"/>
      <c r="L124" s="878"/>
      <c r="M124" s="876"/>
      <c r="N124" s="876"/>
      <c r="O124" s="876"/>
      <c r="P124" s="876"/>
      <c r="Q124" s="876"/>
      <c r="R124" s="876"/>
      <c r="S124" s="876"/>
      <c r="T124" s="876"/>
    </row>
    <row r="125" spans="1:20">
      <c r="A125" s="876"/>
      <c r="B125" s="876"/>
      <c r="C125" s="876"/>
      <c r="D125" s="876"/>
      <c r="E125" s="876"/>
      <c r="F125" s="876"/>
      <c r="G125" s="876"/>
      <c r="H125" s="876"/>
      <c r="I125" s="876"/>
      <c r="J125" s="876"/>
      <c r="K125" s="877"/>
      <c r="L125" s="878"/>
      <c r="M125" s="876"/>
      <c r="N125" s="876"/>
      <c r="O125" s="876"/>
      <c r="P125" s="876"/>
      <c r="Q125" s="876"/>
      <c r="R125" s="876"/>
      <c r="S125" s="876"/>
      <c r="T125" s="876"/>
    </row>
    <row r="126" spans="1:20">
      <c r="A126" s="876"/>
      <c r="B126" s="876"/>
      <c r="C126" s="876"/>
      <c r="D126" s="876"/>
      <c r="E126" s="876"/>
      <c r="F126" s="876"/>
      <c r="G126" s="876"/>
      <c r="H126" s="876"/>
      <c r="I126" s="876"/>
      <c r="J126" s="876"/>
      <c r="K126" s="877"/>
      <c r="L126" s="878"/>
      <c r="M126" s="876"/>
      <c r="N126" s="876"/>
      <c r="O126" s="876"/>
      <c r="P126" s="876"/>
      <c r="Q126" s="876"/>
      <c r="R126" s="876"/>
      <c r="S126" s="876"/>
      <c r="T126" s="876"/>
    </row>
    <row r="127" spans="1:20">
      <c r="A127" s="876"/>
      <c r="B127" s="876"/>
      <c r="C127" s="876"/>
      <c r="D127" s="876"/>
      <c r="E127" s="876"/>
      <c r="F127" s="876"/>
      <c r="G127" s="876"/>
      <c r="H127" s="876"/>
      <c r="I127" s="876"/>
      <c r="J127" s="876"/>
      <c r="K127" s="877"/>
      <c r="L127" s="878"/>
      <c r="M127" s="876"/>
      <c r="N127" s="876"/>
      <c r="O127" s="876"/>
      <c r="P127" s="876"/>
      <c r="Q127" s="876"/>
      <c r="R127" s="876"/>
      <c r="S127" s="876"/>
      <c r="T127" s="876"/>
    </row>
    <row r="128" spans="1:20">
      <c r="A128" s="876"/>
      <c r="B128" s="876"/>
      <c r="C128" s="876"/>
      <c r="D128" s="876"/>
      <c r="E128" s="876"/>
      <c r="F128" s="876"/>
      <c r="G128" s="876"/>
      <c r="H128" s="876"/>
      <c r="I128" s="876"/>
      <c r="J128" s="876"/>
      <c r="K128" s="877"/>
      <c r="L128" s="878"/>
      <c r="M128" s="876"/>
      <c r="N128" s="876"/>
      <c r="O128" s="876"/>
      <c r="P128" s="876"/>
      <c r="Q128" s="876"/>
      <c r="R128" s="876"/>
      <c r="S128" s="876"/>
      <c r="T128" s="876"/>
    </row>
    <row r="129" spans="1:20">
      <c r="A129" s="876"/>
      <c r="B129" s="876"/>
      <c r="C129" s="876"/>
      <c r="D129" s="876"/>
      <c r="E129" s="876"/>
      <c r="F129" s="876"/>
      <c r="G129" s="876"/>
      <c r="H129" s="876"/>
      <c r="I129" s="876"/>
      <c r="J129" s="876"/>
      <c r="K129" s="877"/>
      <c r="L129" s="878"/>
      <c r="M129" s="876"/>
      <c r="N129" s="876"/>
      <c r="O129" s="876"/>
      <c r="P129" s="876"/>
      <c r="Q129" s="876"/>
      <c r="R129" s="876"/>
      <c r="S129" s="876"/>
      <c r="T129" s="876"/>
    </row>
    <row r="130" spans="1:20">
      <c r="A130" s="876"/>
      <c r="B130" s="876"/>
      <c r="C130" s="876"/>
      <c r="D130" s="876"/>
      <c r="E130" s="876"/>
      <c r="F130" s="876"/>
      <c r="G130" s="876"/>
      <c r="H130" s="876"/>
      <c r="I130" s="876"/>
      <c r="J130" s="876"/>
      <c r="K130" s="877"/>
      <c r="L130" s="878"/>
      <c r="M130" s="876"/>
      <c r="N130" s="876"/>
      <c r="O130" s="876"/>
      <c r="P130" s="876"/>
      <c r="Q130" s="876"/>
      <c r="R130" s="876"/>
      <c r="S130" s="876"/>
      <c r="T130" s="876"/>
    </row>
    <row r="131" spans="1:20">
      <c r="A131" s="876"/>
      <c r="B131" s="876"/>
      <c r="C131" s="876"/>
      <c r="D131" s="876"/>
      <c r="E131" s="876"/>
      <c r="F131" s="876"/>
      <c r="G131" s="876"/>
      <c r="H131" s="876"/>
      <c r="I131" s="876"/>
      <c r="J131" s="876"/>
      <c r="K131" s="877"/>
      <c r="L131" s="878"/>
      <c r="M131" s="876"/>
      <c r="N131" s="876"/>
      <c r="O131" s="876"/>
      <c r="P131" s="876"/>
      <c r="Q131" s="876"/>
      <c r="R131" s="876"/>
      <c r="S131" s="876"/>
      <c r="T131" s="876"/>
    </row>
    <row r="132" spans="1:20">
      <c r="A132" s="876"/>
      <c r="B132" s="876"/>
      <c r="C132" s="876"/>
      <c r="D132" s="876"/>
      <c r="E132" s="876"/>
      <c r="F132" s="876"/>
      <c r="G132" s="876"/>
      <c r="H132" s="876"/>
      <c r="I132" s="876"/>
      <c r="J132" s="876"/>
      <c r="K132" s="877"/>
      <c r="L132" s="878"/>
      <c r="M132" s="876"/>
      <c r="N132" s="876"/>
      <c r="O132" s="876"/>
      <c r="P132" s="876"/>
      <c r="Q132" s="876"/>
      <c r="R132" s="876"/>
      <c r="S132" s="876"/>
      <c r="T132" s="876"/>
    </row>
    <row r="133" spans="1:20">
      <c r="A133" s="876"/>
      <c r="B133" s="876"/>
      <c r="C133" s="876"/>
      <c r="D133" s="876"/>
      <c r="E133" s="876"/>
      <c r="F133" s="876"/>
      <c r="G133" s="876"/>
      <c r="H133" s="876"/>
      <c r="I133" s="876"/>
      <c r="J133" s="876"/>
      <c r="K133" s="877"/>
      <c r="L133" s="878"/>
      <c r="M133" s="876"/>
      <c r="N133" s="876"/>
      <c r="O133" s="876"/>
      <c r="P133" s="876"/>
      <c r="Q133" s="876"/>
      <c r="R133" s="876"/>
      <c r="S133" s="876"/>
      <c r="T133" s="876"/>
    </row>
    <row r="134" spans="1:20">
      <c r="A134" s="876"/>
      <c r="B134" s="876"/>
      <c r="C134" s="876"/>
      <c r="D134" s="876"/>
      <c r="E134" s="876"/>
      <c r="F134" s="876"/>
      <c r="G134" s="876"/>
      <c r="H134" s="876"/>
      <c r="I134" s="876"/>
      <c r="J134" s="876"/>
      <c r="K134" s="877"/>
      <c r="L134" s="878"/>
      <c r="M134" s="876"/>
      <c r="N134" s="876"/>
      <c r="O134" s="876"/>
      <c r="P134" s="876"/>
      <c r="Q134" s="876"/>
      <c r="R134" s="876"/>
      <c r="S134" s="876"/>
      <c r="T134" s="876"/>
    </row>
    <row r="135" spans="1:20">
      <c r="A135" s="876"/>
      <c r="B135" s="876"/>
      <c r="C135" s="876"/>
      <c r="D135" s="876"/>
      <c r="E135" s="876"/>
      <c r="F135" s="876"/>
      <c r="G135" s="876"/>
      <c r="H135" s="876"/>
      <c r="I135" s="876"/>
      <c r="J135" s="876"/>
      <c r="K135" s="877"/>
      <c r="L135" s="878"/>
      <c r="M135" s="876"/>
      <c r="N135" s="876"/>
      <c r="O135" s="876"/>
      <c r="P135" s="876"/>
      <c r="Q135" s="876"/>
      <c r="R135" s="876"/>
      <c r="S135" s="876"/>
      <c r="T135" s="876"/>
    </row>
    <row r="136" spans="1:20">
      <c r="A136" s="876"/>
      <c r="B136" s="876"/>
      <c r="C136" s="876"/>
      <c r="D136" s="876"/>
      <c r="E136" s="876"/>
      <c r="F136" s="876"/>
      <c r="G136" s="876"/>
      <c r="H136" s="876"/>
      <c r="I136" s="876"/>
      <c r="J136" s="876"/>
      <c r="K136" s="877"/>
      <c r="L136" s="878"/>
      <c r="M136" s="876"/>
      <c r="N136" s="876"/>
      <c r="O136" s="876"/>
      <c r="P136" s="876"/>
      <c r="Q136" s="876"/>
      <c r="R136" s="876"/>
      <c r="S136" s="876"/>
      <c r="T136" s="876"/>
    </row>
    <row r="137" spans="1:20">
      <c r="A137" s="876"/>
      <c r="B137" s="876"/>
      <c r="C137" s="876"/>
      <c r="D137" s="876"/>
      <c r="E137" s="876"/>
      <c r="F137" s="876"/>
      <c r="G137" s="876"/>
      <c r="H137" s="876"/>
      <c r="I137" s="876"/>
      <c r="J137" s="876"/>
      <c r="K137" s="877"/>
      <c r="L137" s="878"/>
      <c r="M137" s="876"/>
      <c r="N137" s="876"/>
      <c r="O137" s="876"/>
      <c r="P137" s="876"/>
      <c r="Q137" s="876"/>
      <c r="R137" s="876"/>
      <c r="S137" s="876"/>
      <c r="T137" s="876"/>
    </row>
    <row r="138" spans="1:20">
      <c r="A138" s="876"/>
      <c r="B138" s="876"/>
      <c r="C138" s="876"/>
      <c r="D138" s="876"/>
      <c r="E138" s="876"/>
      <c r="F138" s="876"/>
      <c r="G138" s="876"/>
      <c r="H138" s="876"/>
      <c r="I138" s="876"/>
      <c r="J138" s="876"/>
      <c r="K138" s="877"/>
      <c r="L138" s="878"/>
      <c r="M138" s="876"/>
      <c r="N138" s="876"/>
      <c r="O138" s="876"/>
      <c r="P138" s="876"/>
      <c r="Q138" s="876"/>
      <c r="R138" s="876"/>
      <c r="S138" s="876"/>
      <c r="T138" s="876"/>
    </row>
    <row r="139" spans="1:20">
      <c r="A139" s="876"/>
      <c r="B139" s="876"/>
      <c r="C139" s="876"/>
      <c r="D139" s="876"/>
      <c r="E139" s="876"/>
      <c r="F139" s="876"/>
      <c r="G139" s="876"/>
      <c r="H139" s="876"/>
      <c r="I139" s="876"/>
      <c r="J139" s="876"/>
      <c r="K139" s="877"/>
      <c r="L139" s="878"/>
      <c r="M139" s="876"/>
      <c r="N139" s="876"/>
      <c r="O139" s="876"/>
      <c r="P139" s="876"/>
      <c r="Q139" s="876"/>
      <c r="R139" s="876"/>
      <c r="S139" s="876"/>
      <c r="T139" s="876"/>
    </row>
    <row r="140" spans="1:20">
      <c r="A140" s="876"/>
      <c r="B140" s="876"/>
      <c r="C140" s="876"/>
      <c r="D140" s="876"/>
      <c r="E140" s="876"/>
      <c r="F140" s="876"/>
      <c r="G140" s="876"/>
      <c r="H140" s="876"/>
      <c r="I140" s="876"/>
      <c r="J140" s="876"/>
      <c r="K140" s="877"/>
      <c r="L140" s="878"/>
      <c r="M140" s="876"/>
      <c r="N140" s="876"/>
      <c r="O140" s="876"/>
      <c r="P140" s="876"/>
      <c r="Q140" s="876"/>
      <c r="R140" s="876"/>
      <c r="S140" s="876"/>
      <c r="T140" s="876"/>
    </row>
    <row r="141" spans="1:20">
      <c r="A141" s="876"/>
      <c r="B141" s="876"/>
      <c r="C141" s="876"/>
      <c r="D141" s="876"/>
      <c r="E141" s="876"/>
      <c r="F141" s="876"/>
      <c r="G141" s="876"/>
      <c r="H141" s="876"/>
      <c r="I141" s="876"/>
      <c r="J141" s="876"/>
      <c r="K141" s="877"/>
      <c r="L141" s="878"/>
      <c r="M141" s="876"/>
      <c r="N141" s="876"/>
      <c r="O141" s="876"/>
      <c r="P141" s="876"/>
      <c r="Q141" s="876"/>
      <c r="R141" s="876"/>
      <c r="S141" s="876"/>
      <c r="T141" s="876"/>
    </row>
    <row r="142" spans="1:20">
      <c r="A142" s="876"/>
      <c r="B142" s="876"/>
      <c r="C142" s="876"/>
      <c r="D142" s="876"/>
      <c r="E142" s="876"/>
      <c r="F142" s="876"/>
      <c r="G142" s="876"/>
      <c r="H142" s="876"/>
      <c r="I142" s="876"/>
      <c r="J142" s="876"/>
      <c r="K142" s="877"/>
      <c r="L142" s="878"/>
      <c r="M142" s="876"/>
      <c r="N142" s="876"/>
      <c r="O142" s="876"/>
      <c r="P142" s="876"/>
      <c r="Q142" s="876"/>
      <c r="R142" s="876"/>
      <c r="S142" s="876"/>
      <c r="T142" s="876"/>
    </row>
    <row r="143" spans="1:20">
      <c r="A143" s="876"/>
      <c r="B143" s="876"/>
      <c r="C143" s="876"/>
      <c r="D143" s="876"/>
      <c r="E143" s="876"/>
      <c r="F143" s="876"/>
      <c r="G143" s="876"/>
      <c r="H143" s="876"/>
      <c r="I143" s="876"/>
      <c r="J143" s="876"/>
      <c r="K143" s="877"/>
      <c r="L143" s="878"/>
      <c r="M143" s="876"/>
      <c r="N143" s="876"/>
      <c r="O143" s="876"/>
      <c r="P143" s="876"/>
      <c r="Q143" s="876"/>
      <c r="R143" s="876"/>
      <c r="S143" s="876"/>
      <c r="T143" s="876"/>
    </row>
    <row r="144" spans="1:20">
      <c r="A144" s="876"/>
      <c r="B144" s="876"/>
      <c r="C144" s="876"/>
      <c r="D144" s="876"/>
      <c r="E144" s="876"/>
      <c r="F144" s="876"/>
      <c r="G144" s="876"/>
      <c r="H144" s="876"/>
      <c r="I144" s="876"/>
      <c r="J144" s="876"/>
      <c r="K144" s="877"/>
      <c r="L144" s="878"/>
      <c r="M144" s="876"/>
      <c r="N144" s="876"/>
      <c r="O144" s="876"/>
      <c r="P144" s="876"/>
      <c r="Q144" s="876"/>
      <c r="R144" s="876"/>
      <c r="S144" s="876"/>
      <c r="T144" s="876"/>
    </row>
    <row r="145" spans="1:20">
      <c r="A145" s="876"/>
      <c r="B145" s="876"/>
      <c r="C145" s="876"/>
      <c r="D145" s="876"/>
      <c r="E145" s="876"/>
      <c r="F145" s="876"/>
      <c r="G145" s="876"/>
      <c r="H145" s="876"/>
      <c r="I145" s="876"/>
      <c r="J145" s="876"/>
      <c r="K145" s="877"/>
      <c r="L145" s="878"/>
      <c r="M145" s="876"/>
      <c r="N145" s="876"/>
      <c r="O145" s="876"/>
      <c r="P145" s="876"/>
      <c r="Q145" s="876"/>
      <c r="R145" s="876"/>
      <c r="S145" s="876"/>
      <c r="T145" s="876"/>
    </row>
    <row r="146" spans="1:20">
      <c r="A146" s="876"/>
      <c r="B146" s="876"/>
      <c r="C146" s="876"/>
      <c r="D146" s="876"/>
      <c r="E146" s="876"/>
      <c r="F146" s="876"/>
      <c r="G146" s="876"/>
      <c r="H146" s="876"/>
      <c r="I146" s="876"/>
      <c r="J146" s="876"/>
      <c r="K146" s="877"/>
      <c r="L146" s="878"/>
      <c r="M146" s="876"/>
      <c r="N146" s="876"/>
      <c r="O146" s="876"/>
      <c r="P146" s="876"/>
      <c r="Q146" s="876"/>
      <c r="R146" s="876"/>
      <c r="S146" s="876"/>
      <c r="T146" s="876"/>
    </row>
    <row r="147" spans="1:20">
      <c r="A147" s="876"/>
      <c r="B147" s="876"/>
      <c r="C147" s="876"/>
      <c r="D147" s="876"/>
      <c r="E147" s="876"/>
      <c r="F147" s="876"/>
      <c r="G147" s="876"/>
      <c r="H147" s="876"/>
      <c r="I147" s="876"/>
      <c r="J147" s="876"/>
      <c r="K147" s="877"/>
      <c r="L147" s="878"/>
      <c r="M147" s="876"/>
      <c r="N147" s="876"/>
      <c r="O147" s="876"/>
      <c r="P147" s="876"/>
      <c r="Q147" s="876"/>
      <c r="R147" s="876"/>
      <c r="S147" s="876"/>
      <c r="T147" s="876"/>
    </row>
    <row r="148" spans="1:20">
      <c r="A148" s="876"/>
      <c r="B148" s="876"/>
      <c r="C148" s="876"/>
      <c r="D148" s="876"/>
      <c r="E148" s="876"/>
      <c r="F148" s="876"/>
      <c r="G148" s="876"/>
      <c r="H148" s="876"/>
      <c r="I148" s="876"/>
      <c r="J148" s="876"/>
      <c r="K148" s="877"/>
      <c r="L148" s="878"/>
      <c r="M148" s="876"/>
      <c r="N148" s="876"/>
      <c r="O148" s="876"/>
      <c r="P148" s="876"/>
      <c r="Q148" s="876"/>
      <c r="R148" s="876"/>
      <c r="S148" s="876"/>
      <c r="T148" s="876"/>
    </row>
    <row r="149" spans="1:20">
      <c r="A149" s="876"/>
      <c r="B149" s="876"/>
      <c r="C149" s="876"/>
      <c r="D149" s="876"/>
      <c r="E149" s="876"/>
      <c r="F149" s="876"/>
      <c r="G149" s="876"/>
      <c r="H149" s="876"/>
      <c r="I149" s="876"/>
      <c r="J149" s="876"/>
      <c r="K149" s="877"/>
      <c r="L149" s="878"/>
      <c r="M149" s="876"/>
      <c r="N149" s="876"/>
      <c r="O149" s="876"/>
      <c r="P149" s="876"/>
      <c r="Q149" s="876"/>
      <c r="R149" s="876"/>
      <c r="S149" s="876"/>
      <c r="T149" s="876"/>
    </row>
    <row r="150" spans="1:20">
      <c r="A150" s="876"/>
      <c r="B150" s="876"/>
      <c r="C150" s="876"/>
      <c r="D150" s="876"/>
      <c r="E150" s="876"/>
      <c r="F150" s="876"/>
      <c r="G150" s="876"/>
      <c r="H150" s="876"/>
      <c r="I150" s="876"/>
      <c r="J150" s="876"/>
      <c r="K150" s="877"/>
      <c r="L150" s="878"/>
      <c r="M150" s="876"/>
      <c r="N150" s="876"/>
      <c r="O150" s="876"/>
      <c r="P150" s="876"/>
      <c r="Q150" s="876"/>
      <c r="R150" s="876"/>
      <c r="S150" s="876"/>
      <c r="T150" s="876"/>
    </row>
    <row r="151" spans="1:20">
      <c r="A151" s="876"/>
      <c r="B151" s="876"/>
      <c r="C151" s="876"/>
      <c r="D151" s="876"/>
      <c r="E151" s="876"/>
      <c r="F151" s="876"/>
      <c r="G151" s="876"/>
      <c r="H151" s="876"/>
      <c r="I151" s="876"/>
      <c r="J151" s="876"/>
      <c r="K151" s="877"/>
      <c r="L151" s="878"/>
      <c r="M151" s="876"/>
      <c r="N151" s="876"/>
      <c r="O151" s="876"/>
      <c r="P151" s="876"/>
      <c r="Q151" s="876"/>
      <c r="R151" s="876"/>
      <c r="S151" s="876"/>
      <c r="T151" s="876"/>
    </row>
    <row r="152" spans="1:20">
      <c r="A152" s="876"/>
      <c r="B152" s="876"/>
      <c r="C152" s="876"/>
      <c r="D152" s="876"/>
      <c r="E152" s="876"/>
      <c r="F152" s="876"/>
      <c r="G152" s="876"/>
      <c r="H152" s="876"/>
      <c r="I152" s="876"/>
      <c r="J152" s="876"/>
      <c r="K152" s="877"/>
      <c r="L152" s="878"/>
      <c r="M152" s="876"/>
      <c r="N152" s="876"/>
      <c r="O152" s="876"/>
      <c r="P152" s="876"/>
      <c r="Q152" s="876"/>
      <c r="R152" s="876"/>
      <c r="S152" s="876"/>
      <c r="T152" s="876"/>
    </row>
    <row r="153" spans="1:20">
      <c r="A153" s="876"/>
      <c r="B153" s="876"/>
      <c r="C153" s="876"/>
      <c r="D153" s="876"/>
      <c r="E153" s="876"/>
      <c r="F153" s="876"/>
      <c r="G153" s="876"/>
      <c r="H153" s="876"/>
      <c r="I153" s="876"/>
      <c r="J153" s="876"/>
      <c r="K153" s="877"/>
      <c r="L153" s="878"/>
      <c r="M153" s="876"/>
      <c r="N153" s="876"/>
      <c r="O153" s="876"/>
      <c r="P153" s="876"/>
      <c r="Q153" s="876"/>
      <c r="R153" s="876"/>
      <c r="S153" s="876"/>
      <c r="T153" s="876"/>
    </row>
    <row r="154" spans="1:20">
      <c r="A154" s="876"/>
      <c r="B154" s="876"/>
      <c r="C154" s="876"/>
      <c r="D154" s="876"/>
      <c r="E154" s="876"/>
      <c r="F154" s="876"/>
      <c r="G154" s="876"/>
      <c r="H154" s="876"/>
      <c r="I154" s="876"/>
      <c r="J154" s="876"/>
      <c r="K154" s="877"/>
      <c r="L154" s="878"/>
      <c r="M154" s="876"/>
      <c r="N154" s="876"/>
      <c r="O154" s="876"/>
      <c r="P154" s="876"/>
      <c r="Q154" s="876"/>
      <c r="R154" s="876"/>
      <c r="S154" s="876"/>
      <c r="T154" s="876"/>
    </row>
    <row r="155" spans="1:20">
      <c r="A155" s="876"/>
      <c r="B155" s="876"/>
      <c r="C155" s="876"/>
      <c r="D155" s="876"/>
      <c r="E155" s="876"/>
      <c r="F155" s="876"/>
      <c r="G155" s="876"/>
      <c r="H155" s="876"/>
      <c r="I155" s="876"/>
      <c r="J155" s="876"/>
      <c r="K155" s="877"/>
      <c r="L155" s="878"/>
      <c r="M155" s="876"/>
      <c r="N155" s="876"/>
      <c r="O155" s="876"/>
      <c r="P155" s="876"/>
      <c r="Q155" s="876"/>
      <c r="R155" s="876"/>
      <c r="S155" s="876"/>
      <c r="T155" s="876"/>
    </row>
    <row r="156" spans="1:20">
      <c r="A156" s="876"/>
      <c r="B156" s="876"/>
      <c r="C156" s="876"/>
      <c r="D156" s="876"/>
      <c r="E156" s="876"/>
      <c r="F156" s="876"/>
      <c r="G156" s="876"/>
      <c r="H156" s="876"/>
      <c r="I156" s="876"/>
      <c r="J156" s="876"/>
      <c r="K156" s="877"/>
      <c r="L156" s="878"/>
      <c r="M156" s="876"/>
      <c r="N156" s="876"/>
      <c r="O156" s="876"/>
      <c r="P156" s="876"/>
      <c r="Q156" s="876"/>
      <c r="R156" s="876"/>
      <c r="S156" s="876"/>
      <c r="T156" s="876"/>
    </row>
    <row r="157" spans="1:20">
      <c r="A157" s="876"/>
      <c r="B157" s="876"/>
      <c r="C157" s="876"/>
      <c r="D157" s="876"/>
      <c r="E157" s="876"/>
      <c r="F157" s="876"/>
      <c r="G157" s="876"/>
      <c r="H157" s="876"/>
      <c r="I157" s="876"/>
      <c r="J157" s="876"/>
      <c r="K157" s="877"/>
      <c r="L157" s="878"/>
      <c r="M157" s="876"/>
      <c r="N157" s="876"/>
      <c r="O157" s="876"/>
      <c r="P157" s="876"/>
      <c r="Q157" s="876"/>
      <c r="R157" s="876"/>
      <c r="S157" s="876"/>
      <c r="T157" s="876"/>
    </row>
    <row r="158" spans="1:20">
      <c r="A158" s="876"/>
      <c r="B158" s="876"/>
      <c r="C158" s="876"/>
      <c r="D158" s="876"/>
      <c r="E158" s="876"/>
      <c r="F158" s="876"/>
      <c r="G158" s="876"/>
      <c r="H158" s="876"/>
      <c r="I158" s="876"/>
      <c r="J158" s="876"/>
      <c r="K158" s="877"/>
      <c r="L158" s="878"/>
      <c r="M158" s="876"/>
      <c r="N158" s="876"/>
      <c r="O158" s="876"/>
      <c r="P158" s="876"/>
      <c r="Q158" s="876"/>
      <c r="R158" s="876"/>
      <c r="S158" s="876"/>
      <c r="T158" s="876"/>
    </row>
    <row r="159" spans="1:20">
      <c r="A159" s="876"/>
      <c r="B159" s="876"/>
      <c r="C159" s="876"/>
      <c r="D159" s="876"/>
      <c r="E159" s="876"/>
      <c r="F159" s="876"/>
      <c r="G159" s="876"/>
      <c r="H159" s="876"/>
      <c r="I159" s="876"/>
      <c r="J159" s="876"/>
      <c r="K159" s="877"/>
      <c r="L159" s="878"/>
      <c r="M159" s="876"/>
      <c r="N159" s="876"/>
      <c r="O159" s="876"/>
      <c r="P159" s="876"/>
      <c r="Q159" s="876"/>
      <c r="R159" s="876"/>
      <c r="S159" s="876"/>
      <c r="T159" s="876"/>
    </row>
    <row r="160" spans="1:20">
      <c r="A160" s="876"/>
      <c r="B160" s="876"/>
      <c r="C160" s="876"/>
      <c r="D160" s="876"/>
      <c r="E160" s="876"/>
      <c r="F160" s="876"/>
      <c r="G160" s="876"/>
      <c r="H160" s="876"/>
      <c r="I160" s="876"/>
      <c r="J160" s="876"/>
      <c r="K160" s="877"/>
      <c r="L160" s="878"/>
      <c r="M160" s="876"/>
      <c r="N160" s="876"/>
      <c r="O160" s="876"/>
      <c r="P160" s="876"/>
      <c r="Q160" s="876"/>
      <c r="R160" s="876"/>
      <c r="S160" s="876"/>
      <c r="T160" s="876"/>
    </row>
    <row r="161" spans="1:20">
      <c r="A161" s="876"/>
      <c r="B161" s="876"/>
      <c r="C161" s="876"/>
      <c r="D161" s="876"/>
      <c r="E161" s="876"/>
      <c r="F161" s="876"/>
      <c r="G161" s="876"/>
      <c r="H161" s="876"/>
      <c r="I161" s="876"/>
      <c r="J161" s="876"/>
      <c r="K161" s="877"/>
      <c r="L161" s="878"/>
      <c r="M161" s="876"/>
      <c r="N161" s="876"/>
      <c r="O161" s="876"/>
      <c r="P161" s="876"/>
      <c r="Q161" s="876"/>
      <c r="R161" s="876"/>
      <c r="S161" s="876"/>
      <c r="T161" s="876"/>
    </row>
    <row r="162" spans="1:20">
      <c r="A162" s="876"/>
      <c r="B162" s="876"/>
      <c r="C162" s="876"/>
      <c r="D162" s="876"/>
      <c r="E162" s="876"/>
      <c r="F162" s="876"/>
      <c r="G162" s="876"/>
      <c r="H162" s="876"/>
      <c r="I162" s="876"/>
      <c r="J162" s="876"/>
      <c r="K162" s="877"/>
      <c r="L162" s="878"/>
      <c r="M162" s="876"/>
      <c r="N162" s="876"/>
      <c r="O162" s="876"/>
      <c r="P162" s="876"/>
      <c r="Q162" s="876"/>
      <c r="R162" s="876"/>
      <c r="S162" s="876"/>
      <c r="T162" s="876"/>
    </row>
    <row r="163" spans="1:20">
      <c r="A163" s="876"/>
      <c r="B163" s="876"/>
      <c r="C163" s="876"/>
      <c r="D163" s="876"/>
      <c r="E163" s="876"/>
      <c r="F163" s="876"/>
      <c r="G163" s="876"/>
      <c r="H163" s="876"/>
      <c r="I163" s="876"/>
      <c r="J163" s="876"/>
      <c r="K163" s="877"/>
      <c r="L163" s="878"/>
      <c r="M163" s="876"/>
      <c r="N163" s="876"/>
      <c r="O163" s="876"/>
      <c r="P163" s="876"/>
      <c r="Q163" s="876"/>
      <c r="R163" s="876"/>
      <c r="S163" s="876"/>
      <c r="T163" s="876"/>
    </row>
    <row r="164" spans="1:20">
      <c r="A164" s="876"/>
      <c r="B164" s="876"/>
      <c r="C164" s="876"/>
      <c r="D164" s="876"/>
      <c r="E164" s="876"/>
      <c r="F164" s="876"/>
      <c r="G164" s="876"/>
      <c r="H164" s="876"/>
      <c r="I164" s="876"/>
      <c r="J164" s="876"/>
      <c r="K164" s="877"/>
      <c r="L164" s="878"/>
      <c r="M164" s="876"/>
      <c r="N164" s="876"/>
      <c r="O164" s="876"/>
      <c r="P164" s="876"/>
      <c r="Q164" s="876"/>
      <c r="R164" s="876"/>
      <c r="S164" s="876"/>
      <c r="T164" s="876"/>
    </row>
    <row r="165" spans="1:20">
      <c r="A165" s="876"/>
      <c r="B165" s="876"/>
      <c r="C165" s="876"/>
      <c r="D165" s="876"/>
      <c r="E165" s="876"/>
      <c r="F165" s="876"/>
      <c r="G165" s="876"/>
      <c r="H165" s="876"/>
      <c r="I165" s="876"/>
      <c r="J165" s="876"/>
      <c r="K165" s="877"/>
      <c r="L165" s="878"/>
      <c r="M165" s="876"/>
      <c r="N165" s="876"/>
      <c r="O165" s="876"/>
      <c r="P165" s="876"/>
      <c r="Q165" s="876"/>
      <c r="R165" s="876"/>
      <c r="S165" s="876"/>
      <c r="T165" s="876"/>
    </row>
    <row r="166" spans="1:20">
      <c r="A166" s="876"/>
      <c r="B166" s="876"/>
      <c r="C166" s="876"/>
      <c r="D166" s="876"/>
      <c r="E166" s="876"/>
      <c r="F166" s="876"/>
      <c r="G166" s="876"/>
      <c r="H166" s="876"/>
      <c r="I166" s="876"/>
      <c r="J166" s="876"/>
      <c r="K166" s="877"/>
      <c r="L166" s="878"/>
      <c r="M166" s="876"/>
      <c r="N166" s="876"/>
      <c r="O166" s="876"/>
      <c r="P166" s="876"/>
      <c r="Q166" s="876"/>
      <c r="R166" s="876"/>
      <c r="S166" s="876"/>
      <c r="T166" s="876"/>
    </row>
    <row r="167" spans="1:20">
      <c r="A167" s="876"/>
      <c r="B167" s="876"/>
      <c r="C167" s="876"/>
      <c r="D167" s="876"/>
      <c r="E167" s="876"/>
      <c r="F167" s="876"/>
      <c r="G167" s="876"/>
      <c r="H167" s="876"/>
      <c r="I167" s="876"/>
      <c r="J167" s="876"/>
      <c r="K167" s="877"/>
      <c r="L167" s="878"/>
      <c r="M167" s="876"/>
      <c r="N167" s="876"/>
      <c r="O167" s="876"/>
      <c r="P167" s="876"/>
      <c r="Q167" s="876"/>
      <c r="R167" s="876"/>
      <c r="S167" s="876"/>
      <c r="T167" s="876"/>
    </row>
    <row r="168" spans="1:20">
      <c r="A168" s="876"/>
      <c r="B168" s="876"/>
      <c r="C168" s="876"/>
      <c r="D168" s="876"/>
      <c r="E168" s="876"/>
      <c r="F168" s="876"/>
      <c r="G168" s="876"/>
      <c r="H168" s="876"/>
      <c r="I168" s="876"/>
      <c r="J168" s="876"/>
      <c r="K168" s="877"/>
      <c r="L168" s="878"/>
      <c r="M168" s="876"/>
      <c r="N168" s="876"/>
      <c r="O168" s="876"/>
      <c r="P168" s="876"/>
      <c r="Q168" s="876"/>
      <c r="R168" s="876"/>
      <c r="S168" s="876"/>
      <c r="T168" s="876"/>
    </row>
    <row r="169" spans="1:20">
      <c r="A169" s="876"/>
      <c r="B169" s="876"/>
      <c r="C169" s="876"/>
      <c r="D169" s="876"/>
      <c r="E169" s="876"/>
      <c r="F169" s="876"/>
      <c r="G169" s="876"/>
      <c r="H169" s="876"/>
      <c r="I169" s="876"/>
      <c r="J169" s="876"/>
      <c r="K169" s="877"/>
      <c r="L169" s="878"/>
      <c r="M169" s="876"/>
      <c r="N169" s="876"/>
      <c r="O169" s="876"/>
      <c r="P169" s="876"/>
      <c r="Q169" s="876"/>
      <c r="R169" s="876"/>
      <c r="S169" s="876"/>
      <c r="T169" s="876"/>
    </row>
    <row r="170" spans="1:20">
      <c r="A170" s="876"/>
      <c r="B170" s="876"/>
      <c r="C170" s="876"/>
      <c r="D170" s="876"/>
      <c r="E170" s="876"/>
      <c r="F170" s="876"/>
      <c r="G170" s="876"/>
      <c r="H170" s="876"/>
      <c r="I170" s="876"/>
      <c r="J170" s="876"/>
      <c r="K170" s="877"/>
      <c r="L170" s="878"/>
      <c r="M170" s="876"/>
      <c r="N170" s="876"/>
      <c r="O170" s="876"/>
      <c r="P170" s="876"/>
      <c r="Q170" s="876"/>
      <c r="R170" s="876"/>
      <c r="S170" s="876"/>
      <c r="T170" s="876"/>
    </row>
    <row r="171" spans="1:20">
      <c r="A171" s="876"/>
      <c r="B171" s="876"/>
      <c r="C171" s="876"/>
      <c r="D171" s="876"/>
      <c r="E171" s="876"/>
      <c r="F171" s="876"/>
      <c r="G171" s="876"/>
      <c r="H171" s="876"/>
      <c r="I171" s="876"/>
      <c r="J171" s="876"/>
      <c r="K171" s="877"/>
      <c r="L171" s="878"/>
      <c r="M171" s="876"/>
      <c r="N171" s="876"/>
      <c r="O171" s="876"/>
      <c r="P171" s="876"/>
      <c r="Q171" s="876"/>
      <c r="R171" s="876"/>
      <c r="S171" s="876"/>
      <c r="T171" s="876"/>
    </row>
    <row r="172" spans="1:20">
      <c r="A172" s="876"/>
      <c r="B172" s="876"/>
      <c r="C172" s="876"/>
      <c r="D172" s="876"/>
      <c r="E172" s="876"/>
      <c r="F172" s="876"/>
      <c r="G172" s="876"/>
      <c r="H172" s="876"/>
      <c r="I172" s="876"/>
      <c r="J172" s="876"/>
      <c r="K172" s="877"/>
      <c r="L172" s="878"/>
      <c r="M172" s="876"/>
      <c r="N172" s="876"/>
      <c r="O172" s="876"/>
      <c r="P172" s="876"/>
      <c r="Q172" s="876"/>
      <c r="R172" s="876"/>
      <c r="S172" s="876"/>
      <c r="T172" s="876"/>
    </row>
    <row r="173" spans="1:20">
      <c r="A173" s="876"/>
      <c r="B173" s="876"/>
      <c r="C173" s="876"/>
      <c r="D173" s="876"/>
      <c r="E173" s="876"/>
      <c r="F173" s="876"/>
      <c r="G173" s="876"/>
      <c r="H173" s="876"/>
      <c r="I173" s="876"/>
      <c r="J173" s="876"/>
      <c r="K173" s="877"/>
      <c r="L173" s="878"/>
      <c r="M173" s="876"/>
      <c r="N173" s="876"/>
      <c r="O173" s="876"/>
      <c r="P173" s="876"/>
      <c r="Q173" s="876"/>
      <c r="R173" s="876"/>
      <c r="S173" s="876"/>
      <c r="T173" s="876"/>
    </row>
    <row r="174" spans="1:20">
      <c r="A174" s="876"/>
      <c r="B174" s="876"/>
      <c r="C174" s="876"/>
      <c r="D174" s="876"/>
      <c r="E174" s="876"/>
      <c r="F174" s="876"/>
      <c r="G174" s="876"/>
      <c r="H174" s="876"/>
      <c r="I174" s="876"/>
      <c r="J174" s="876"/>
      <c r="K174" s="877"/>
      <c r="L174" s="878"/>
      <c r="M174" s="876"/>
      <c r="N174" s="876"/>
      <c r="O174" s="876"/>
      <c r="P174" s="876"/>
      <c r="Q174" s="876"/>
      <c r="R174" s="876"/>
      <c r="S174" s="876"/>
      <c r="T174" s="876"/>
    </row>
    <row r="175" spans="1:20">
      <c r="A175" s="876"/>
      <c r="B175" s="876"/>
      <c r="C175" s="876"/>
      <c r="D175" s="876"/>
      <c r="E175" s="876"/>
      <c r="F175" s="876"/>
      <c r="G175" s="876"/>
      <c r="H175" s="876"/>
      <c r="I175" s="876"/>
      <c r="J175" s="876"/>
      <c r="K175" s="877"/>
      <c r="L175" s="878"/>
      <c r="M175" s="876"/>
      <c r="N175" s="876"/>
      <c r="O175" s="876"/>
      <c r="P175" s="876"/>
      <c r="Q175" s="876"/>
      <c r="R175" s="876"/>
      <c r="S175" s="876"/>
      <c r="T175" s="876"/>
    </row>
    <row r="176" spans="1:20">
      <c r="A176" s="876"/>
      <c r="B176" s="876"/>
      <c r="C176" s="876"/>
      <c r="D176" s="876"/>
      <c r="E176" s="876"/>
      <c r="F176" s="876"/>
      <c r="G176" s="876"/>
      <c r="H176" s="876"/>
      <c r="I176" s="876"/>
      <c r="J176" s="876"/>
      <c r="K176" s="877"/>
      <c r="L176" s="878"/>
      <c r="M176" s="876"/>
      <c r="N176" s="876"/>
      <c r="O176" s="876"/>
      <c r="P176" s="876"/>
      <c r="Q176" s="876"/>
      <c r="R176" s="876"/>
      <c r="S176" s="876"/>
      <c r="T176" s="876"/>
    </row>
    <row r="177" spans="1:20">
      <c r="A177" s="876"/>
      <c r="B177" s="876"/>
      <c r="C177" s="876"/>
      <c r="D177" s="876"/>
      <c r="E177" s="876"/>
      <c r="F177" s="876"/>
      <c r="G177" s="876"/>
      <c r="H177" s="876"/>
      <c r="I177" s="876"/>
      <c r="J177" s="876"/>
      <c r="K177" s="877"/>
      <c r="L177" s="878"/>
      <c r="M177" s="876"/>
      <c r="N177" s="876"/>
      <c r="O177" s="876"/>
      <c r="P177" s="876"/>
      <c r="Q177" s="876"/>
      <c r="R177" s="876"/>
      <c r="S177" s="876"/>
      <c r="T177" s="876"/>
    </row>
    <row r="178" spans="1:20">
      <c r="A178" s="876"/>
      <c r="B178" s="876"/>
      <c r="C178" s="876"/>
      <c r="D178" s="876"/>
      <c r="E178" s="876"/>
      <c r="F178" s="876"/>
      <c r="G178" s="876"/>
      <c r="H178" s="876"/>
      <c r="I178" s="876"/>
      <c r="J178" s="876"/>
      <c r="K178" s="877"/>
      <c r="L178" s="878"/>
      <c r="M178" s="876"/>
      <c r="N178" s="876"/>
      <c r="O178" s="876"/>
      <c r="P178" s="876"/>
      <c r="Q178" s="876"/>
      <c r="R178" s="876"/>
      <c r="S178" s="876"/>
      <c r="T178" s="876"/>
    </row>
    <row r="179" spans="1:20">
      <c r="A179" s="876"/>
      <c r="B179" s="876"/>
      <c r="C179" s="876"/>
      <c r="D179" s="876"/>
      <c r="E179" s="876"/>
      <c r="F179" s="876"/>
      <c r="G179" s="876"/>
      <c r="H179" s="876"/>
      <c r="I179" s="876"/>
      <c r="J179" s="876"/>
      <c r="K179" s="877"/>
      <c r="L179" s="878"/>
      <c r="M179" s="876"/>
      <c r="N179" s="876"/>
      <c r="O179" s="876"/>
      <c r="P179" s="876"/>
      <c r="Q179" s="876"/>
      <c r="R179" s="876"/>
      <c r="S179" s="876"/>
      <c r="T179" s="876"/>
    </row>
    <row r="180" spans="1:20">
      <c r="A180" s="876"/>
      <c r="B180" s="876"/>
      <c r="C180" s="876"/>
      <c r="D180" s="876"/>
      <c r="E180" s="876"/>
      <c r="F180" s="876"/>
      <c r="G180" s="876"/>
      <c r="H180" s="876"/>
      <c r="I180" s="876"/>
      <c r="J180" s="876"/>
      <c r="K180" s="877"/>
      <c r="L180" s="878"/>
      <c r="M180" s="876"/>
      <c r="N180" s="876"/>
      <c r="O180" s="876"/>
      <c r="P180" s="876"/>
      <c r="Q180" s="876"/>
      <c r="R180" s="876"/>
      <c r="S180" s="876"/>
      <c r="T180" s="876"/>
    </row>
    <row r="181" spans="1:20">
      <c r="A181" s="876"/>
      <c r="B181" s="876"/>
      <c r="C181" s="876"/>
      <c r="D181" s="876"/>
      <c r="E181" s="876"/>
      <c r="F181" s="876"/>
      <c r="G181" s="876"/>
      <c r="H181" s="876"/>
      <c r="I181" s="876"/>
      <c r="J181" s="876"/>
      <c r="K181" s="877"/>
      <c r="L181" s="878"/>
      <c r="M181" s="876"/>
      <c r="N181" s="876"/>
      <c r="O181" s="876"/>
      <c r="P181" s="876"/>
      <c r="Q181" s="876"/>
      <c r="R181" s="876"/>
      <c r="S181" s="876"/>
      <c r="T181" s="876"/>
    </row>
    <row r="182" spans="1:20">
      <c r="A182" s="876"/>
      <c r="B182" s="876"/>
      <c r="C182" s="876"/>
      <c r="D182" s="876"/>
      <c r="E182" s="876"/>
      <c r="F182" s="876"/>
      <c r="G182" s="876"/>
      <c r="H182" s="876"/>
      <c r="I182" s="876"/>
      <c r="J182" s="876"/>
      <c r="K182" s="877"/>
      <c r="L182" s="878"/>
      <c r="M182" s="876"/>
      <c r="N182" s="876"/>
      <c r="O182" s="876"/>
      <c r="P182" s="876"/>
      <c r="Q182" s="876"/>
      <c r="R182" s="876"/>
      <c r="S182" s="876"/>
      <c r="T182" s="876"/>
    </row>
    <row r="183" spans="1:20">
      <c r="A183" s="876"/>
      <c r="B183" s="876"/>
      <c r="C183" s="876"/>
      <c r="D183" s="876"/>
      <c r="E183" s="876"/>
      <c r="F183" s="876"/>
      <c r="G183" s="876"/>
      <c r="H183" s="876"/>
      <c r="I183" s="876"/>
      <c r="J183" s="876"/>
      <c r="K183" s="877"/>
      <c r="L183" s="878"/>
      <c r="M183" s="876"/>
      <c r="N183" s="876"/>
      <c r="O183" s="876"/>
      <c r="P183" s="876"/>
      <c r="Q183" s="876"/>
      <c r="R183" s="876"/>
      <c r="S183" s="876"/>
      <c r="T183" s="876"/>
    </row>
    <row r="184" spans="1:20">
      <c r="A184" s="876"/>
      <c r="B184" s="876"/>
      <c r="C184" s="876"/>
      <c r="D184" s="876"/>
      <c r="E184" s="876"/>
      <c r="F184" s="876"/>
      <c r="G184" s="876"/>
      <c r="H184" s="876"/>
      <c r="I184" s="876"/>
      <c r="J184" s="876"/>
      <c r="K184" s="877"/>
      <c r="L184" s="878"/>
      <c r="M184" s="876"/>
      <c r="N184" s="876"/>
      <c r="O184" s="876"/>
      <c r="P184" s="876"/>
      <c r="Q184" s="876"/>
      <c r="R184" s="876"/>
      <c r="S184" s="876"/>
      <c r="T184" s="876"/>
    </row>
    <row r="185" spans="1:20">
      <c r="A185" s="876"/>
      <c r="B185" s="876"/>
      <c r="C185" s="876"/>
      <c r="D185" s="876"/>
      <c r="E185" s="876"/>
      <c r="F185" s="876"/>
      <c r="G185" s="876"/>
      <c r="H185" s="876"/>
      <c r="I185" s="876"/>
      <c r="J185" s="876"/>
      <c r="K185" s="877"/>
      <c r="L185" s="878"/>
      <c r="M185" s="876"/>
      <c r="N185" s="876"/>
      <c r="O185" s="876"/>
      <c r="P185" s="876"/>
      <c r="Q185" s="876"/>
      <c r="R185" s="876"/>
      <c r="S185" s="876"/>
      <c r="T185" s="876"/>
    </row>
    <row r="186" spans="1:20">
      <c r="A186" s="876"/>
      <c r="B186" s="876"/>
      <c r="C186" s="876"/>
      <c r="D186" s="876"/>
      <c r="E186" s="876"/>
      <c r="F186" s="876"/>
      <c r="G186" s="876"/>
      <c r="H186" s="876"/>
      <c r="I186" s="876"/>
      <c r="J186" s="876"/>
      <c r="K186" s="877"/>
      <c r="L186" s="878"/>
      <c r="M186" s="876"/>
      <c r="N186" s="876"/>
      <c r="O186" s="876"/>
      <c r="P186" s="876"/>
      <c r="Q186" s="876"/>
      <c r="R186" s="876"/>
      <c r="S186" s="876"/>
      <c r="T186" s="876"/>
    </row>
    <row r="187" spans="1:20">
      <c r="A187" s="876"/>
      <c r="B187" s="876"/>
      <c r="C187" s="876"/>
      <c r="D187" s="876"/>
      <c r="E187" s="876"/>
      <c r="F187" s="876"/>
      <c r="G187" s="876"/>
      <c r="H187" s="876"/>
      <c r="I187" s="876"/>
      <c r="J187" s="876"/>
      <c r="K187" s="877"/>
      <c r="L187" s="878"/>
      <c r="M187" s="876"/>
      <c r="N187" s="876"/>
      <c r="O187" s="876"/>
      <c r="P187" s="876"/>
      <c r="Q187" s="876"/>
      <c r="R187" s="876"/>
      <c r="S187" s="876"/>
      <c r="T187" s="876"/>
    </row>
    <row r="188" spans="1:20">
      <c r="A188" s="876"/>
      <c r="B188" s="876"/>
      <c r="C188" s="876"/>
      <c r="D188" s="876"/>
      <c r="E188" s="876"/>
      <c r="F188" s="876"/>
      <c r="G188" s="876"/>
      <c r="H188" s="876"/>
      <c r="I188" s="876"/>
      <c r="J188" s="876"/>
      <c r="K188" s="877"/>
      <c r="L188" s="878"/>
      <c r="M188" s="876"/>
      <c r="N188" s="876"/>
      <c r="O188" s="876"/>
      <c r="P188" s="876"/>
      <c r="Q188" s="876"/>
      <c r="R188" s="876"/>
      <c r="S188" s="876"/>
      <c r="T188" s="876"/>
    </row>
    <row r="189" spans="1:20">
      <c r="A189" s="876"/>
      <c r="B189" s="876"/>
      <c r="C189" s="876"/>
      <c r="D189" s="876"/>
      <c r="E189" s="876"/>
      <c r="F189" s="876"/>
      <c r="G189" s="876"/>
      <c r="H189" s="876"/>
      <c r="I189" s="876"/>
      <c r="J189" s="876"/>
      <c r="K189" s="877"/>
      <c r="L189" s="878"/>
      <c r="M189" s="876"/>
      <c r="N189" s="876"/>
      <c r="O189" s="876"/>
      <c r="P189" s="876"/>
      <c r="Q189" s="876"/>
      <c r="R189" s="876"/>
      <c r="S189" s="876"/>
      <c r="T189" s="876"/>
    </row>
    <row r="190" spans="1:20">
      <c r="A190" s="876"/>
      <c r="B190" s="876"/>
      <c r="C190" s="876"/>
      <c r="D190" s="876"/>
      <c r="E190" s="876"/>
      <c r="F190" s="876"/>
      <c r="G190" s="876"/>
      <c r="H190" s="876"/>
      <c r="I190" s="876"/>
      <c r="J190" s="876"/>
      <c r="K190" s="877"/>
      <c r="L190" s="878"/>
      <c r="M190" s="876"/>
      <c r="N190" s="876"/>
      <c r="O190" s="876"/>
      <c r="P190" s="876"/>
      <c r="Q190" s="876"/>
      <c r="R190" s="876"/>
      <c r="S190" s="876"/>
      <c r="T190" s="876"/>
    </row>
    <row r="191" spans="1:20">
      <c r="A191" s="876"/>
      <c r="B191" s="876"/>
      <c r="C191" s="876"/>
      <c r="D191" s="876"/>
      <c r="E191" s="876"/>
      <c r="F191" s="876"/>
      <c r="G191" s="876"/>
      <c r="H191" s="876"/>
      <c r="I191" s="876"/>
      <c r="J191" s="876"/>
      <c r="K191" s="877"/>
      <c r="L191" s="878"/>
      <c r="M191" s="876"/>
      <c r="N191" s="876"/>
      <c r="O191" s="876"/>
      <c r="P191" s="876"/>
      <c r="Q191" s="876"/>
      <c r="R191" s="876"/>
      <c r="S191" s="876"/>
      <c r="T191" s="876"/>
    </row>
    <row r="192" spans="1:20">
      <c r="A192" s="876"/>
      <c r="B192" s="876"/>
      <c r="C192" s="876"/>
      <c r="D192" s="876"/>
      <c r="E192" s="876"/>
      <c r="F192" s="876"/>
      <c r="G192" s="876"/>
      <c r="H192" s="876"/>
      <c r="I192" s="876"/>
      <c r="J192" s="876"/>
      <c r="K192" s="877"/>
      <c r="L192" s="878"/>
      <c r="M192" s="876"/>
      <c r="N192" s="876"/>
      <c r="O192" s="876"/>
      <c r="P192" s="876"/>
      <c r="Q192" s="876"/>
      <c r="R192" s="876"/>
      <c r="S192" s="876"/>
      <c r="T192" s="876"/>
    </row>
    <row r="193" spans="1:20">
      <c r="A193" s="876"/>
      <c r="B193" s="876"/>
      <c r="C193" s="876"/>
      <c r="D193" s="876"/>
      <c r="E193" s="876"/>
      <c r="F193" s="876"/>
      <c r="G193" s="876"/>
      <c r="H193" s="876"/>
      <c r="I193" s="876"/>
      <c r="J193" s="876"/>
      <c r="K193" s="877"/>
      <c r="L193" s="878"/>
      <c r="M193" s="876"/>
      <c r="N193" s="876"/>
      <c r="O193" s="876"/>
      <c r="P193" s="876"/>
      <c r="Q193" s="876"/>
      <c r="R193" s="876"/>
      <c r="S193" s="876"/>
      <c r="T193" s="876"/>
    </row>
    <row r="194" spans="1:20">
      <c r="A194" s="876"/>
      <c r="B194" s="876"/>
      <c r="C194" s="876"/>
      <c r="D194" s="876"/>
      <c r="E194" s="876"/>
      <c r="F194" s="876"/>
      <c r="G194" s="876"/>
      <c r="H194" s="876"/>
      <c r="I194" s="876"/>
      <c r="J194" s="876"/>
      <c r="K194" s="877"/>
      <c r="L194" s="878"/>
      <c r="M194" s="876"/>
      <c r="N194" s="876"/>
      <c r="O194" s="876"/>
      <c r="P194" s="876"/>
      <c r="Q194" s="876"/>
      <c r="R194" s="876"/>
      <c r="S194" s="876"/>
      <c r="T194" s="876"/>
    </row>
    <row r="195" spans="1:20">
      <c r="A195" s="876"/>
      <c r="B195" s="876"/>
      <c r="C195" s="876"/>
      <c r="D195" s="876"/>
      <c r="E195" s="876"/>
      <c r="F195" s="876"/>
      <c r="G195" s="876"/>
      <c r="H195" s="876"/>
      <c r="I195" s="876"/>
      <c r="J195" s="876"/>
      <c r="K195" s="877"/>
      <c r="L195" s="878"/>
      <c r="M195" s="876"/>
      <c r="N195" s="876"/>
      <c r="O195" s="876"/>
      <c r="P195" s="876"/>
      <c r="Q195" s="876"/>
      <c r="R195" s="876"/>
      <c r="S195" s="876"/>
      <c r="T195" s="876"/>
    </row>
    <row r="196" spans="1:20">
      <c r="A196" s="876"/>
      <c r="B196" s="876"/>
      <c r="C196" s="876"/>
      <c r="D196" s="876"/>
      <c r="E196" s="876"/>
      <c r="F196" s="876"/>
      <c r="G196" s="876"/>
      <c r="H196" s="876"/>
      <c r="I196" s="876"/>
      <c r="J196" s="876"/>
      <c r="K196" s="877"/>
      <c r="L196" s="878"/>
      <c r="M196" s="876"/>
      <c r="N196" s="876"/>
      <c r="O196" s="876"/>
      <c r="P196" s="876"/>
      <c r="Q196" s="876"/>
      <c r="R196" s="876"/>
      <c r="S196" s="876"/>
      <c r="T196" s="876"/>
    </row>
    <row r="197" spans="1:20">
      <c r="A197" s="876"/>
      <c r="B197" s="876"/>
      <c r="C197" s="876"/>
      <c r="D197" s="876"/>
      <c r="E197" s="876"/>
      <c r="F197" s="876"/>
      <c r="G197" s="876"/>
      <c r="H197" s="876"/>
      <c r="I197" s="876"/>
      <c r="J197" s="876"/>
      <c r="K197" s="877"/>
      <c r="L197" s="878"/>
      <c r="M197" s="876"/>
      <c r="N197" s="876"/>
      <c r="O197" s="876"/>
      <c r="P197" s="876"/>
      <c r="Q197" s="876"/>
      <c r="R197" s="876"/>
      <c r="S197" s="876"/>
      <c r="T197" s="876"/>
    </row>
    <row r="198" spans="1:20">
      <c r="A198" s="876"/>
      <c r="B198" s="876"/>
      <c r="C198" s="876"/>
      <c r="D198" s="876"/>
      <c r="E198" s="876"/>
      <c r="F198" s="876"/>
      <c r="G198" s="876"/>
      <c r="H198" s="876"/>
      <c r="I198" s="876"/>
      <c r="J198" s="876"/>
      <c r="K198" s="877"/>
      <c r="L198" s="878"/>
      <c r="M198" s="876"/>
      <c r="N198" s="876"/>
      <c r="O198" s="876"/>
      <c r="P198" s="876"/>
      <c r="Q198" s="876"/>
      <c r="R198" s="876"/>
      <c r="S198" s="876"/>
      <c r="T198" s="876"/>
    </row>
    <row r="199" spans="1:20">
      <c r="A199" s="876"/>
      <c r="B199" s="876"/>
      <c r="C199" s="876"/>
      <c r="D199" s="876"/>
      <c r="E199" s="876"/>
      <c r="F199" s="876"/>
      <c r="G199" s="876"/>
      <c r="H199" s="876"/>
      <c r="I199" s="876"/>
      <c r="J199" s="876"/>
      <c r="K199" s="877"/>
      <c r="L199" s="878"/>
      <c r="M199" s="876"/>
      <c r="N199" s="876"/>
      <c r="O199" s="876"/>
      <c r="P199" s="876"/>
      <c r="Q199" s="876"/>
      <c r="R199" s="876"/>
      <c r="S199" s="876"/>
      <c r="T199" s="876"/>
    </row>
    <row r="200" spans="1:20">
      <c r="A200" s="876"/>
      <c r="B200" s="876"/>
      <c r="C200" s="876"/>
      <c r="D200" s="876"/>
      <c r="E200" s="876"/>
      <c r="F200" s="876"/>
      <c r="G200" s="876"/>
      <c r="H200" s="876"/>
      <c r="I200" s="876"/>
      <c r="J200" s="876"/>
      <c r="K200" s="877"/>
      <c r="L200" s="878"/>
      <c r="M200" s="876"/>
      <c r="N200" s="876"/>
      <c r="O200" s="876"/>
      <c r="P200" s="876"/>
      <c r="Q200" s="876"/>
      <c r="R200" s="876"/>
      <c r="S200" s="876"/>
      <c r="T200" s="876"/>
    </row>
    <row r="201" spans="1:20">
      <c r="A201" s="876"/>
      <c r="B201" s="876"/>
      <c r="C201" s="876"/>
      <c r="D201" s="876"/>
      <c r="E201" s="876"/>
      <c r="F201" s="876"/>
      <c r="G201" s="876"/>
      <c r="H201" s="876"/>
      <c r="I201" s="876"/>
      <c r="J201" s="876"/>
      <c r="K201" s="877"/>
      <c r="L201" s="878"/>
      <c r="M201" s="876"/>
      <c r="N201" s="876"/>
      <c r="O201" s="876"/>
      <c r="P201" s="876"/>
      <c r="Q201" s="876"/>
      <c r="R201" s="876"/>
      <c r="S201" s="876"/>
      <c r="T201" s="876"/>
    </row>
    <row r="202" spans="1:20">
      <c r="A202" s="876"/>
      <c r="B202" s="876"/>
      <c r="C202" s="876"/>
      <c r="D202" s="876"/>
      <c r="E202" s="876"/>
      <c r="F202" s="876"/>
      <c r="G202" s="876"/>
      <c r="H202" s="876"/>
      <c r="I202" s="876"/>
      <c r="J202" s="876"/>
      <c r="K202" s="877"/>
      <c r="L202" s="878"/>
      <c r="M202" s="876"/>
      <c r="N202" s="876"/>
      <c r="O202" s="876"/>
      <c r="P202" s="876"/>
      <c r="Q202" s="876"/>
      <c r="R202" s="876"/>
      <c r="S202" s="876"/>
      <c r="T202" s="876"/>
    </row>
    <row r="203" spans="1:20">
      <c r="A203" s="876"/>
      <c r="B203" s="876"/>
      <c r="C203" s="876"/>
      <c r="D203" s="876"/>
      <c r="E203" s="876"/>
      <c r="F203" s="876"/>
      <c r="G203" s="876"/>
      <c r="H203" s="876"/>
      <c r="I203" s="876"/>
      <c r="J203" s="876"/>
      <c r="K203" s="877"/>
      <c r="L203" s="878"/>
      <c r="M203" s="876"/>
      <c r="N203" s="876"/>
      <c r="O203" s="876"/>
      <c r="P203" s="876"/>
      <c r="Q203" s="876"/>
      <c r="R203" s="876"/>
      <c r="S203" s="876"/>
      <c r="T203" s="876"/>
    </row>
    <row r="204" spans="1:20">
      <c r="A204" s="876"/>
      <c r="B204" s="876"/>
      <c r="C204" s="876"/>
      <c r="D204" s="876"/>
      <c r="E204" s="876"/>
      <c r="F204" s="876"/>
      <c r="G204" s="876"/>
      <c r="H204" s="876"/>
      <c r="I204" s="876"/>
      <c r="J204" s="876"/>
      <c r="K204" s="877"/>
      <c r="L204" s="878"/>
      <c r="M204" s="876"/>
      <c r="N204" s="876"/>
      <c r="O204" s="876"/>
      <c r="P204" s="876"/>
      <c r="Q204" s="876"/>
      <c r="R204" s="876"/>
      <c r="S204" s="876"/>
      <c r="T204" s="876"/>
    </row>
    <row r="205" spans="1:20">
      <c r="A205" s="876"/>
      <c r="B205" s="876"/>
      <c r="C205" s="876"/>
      <c r="D205" s="876"/>
      <c r="E205" s="876"/>
      <c r="F205" s="876"/>
      <c r="G205" s="876"/>
      <c r="H205" s="876"/>
      <c r="I205" s="876"/>
      <c r="J205" s="876"/>
      <c r="K205" s="877"/>
      <c r="L205" s="878"/>
      <c r="M205" s="876"/>
      <c r="N205" s="876"/>
      <c r="O205" s="876"/>
      <c r="P205" s="876"/>
      <c r="Q205" s="876"/>
      <c r="R205" s="876"/>
      <c r="S205" s="876"/>
      <c r="T205" s="876"/>
    </row>
    <row r="206" spans="1:20">
      <c r="A206" s="876"/>
      <c r="B206" s="876"/>
      <c r="C206" s="876"/>
      <c r="D206" s="876"/>
      <c r="E206" s="876"/>
      <c r="F206" s="876"/>
      <c r="G206" s="876"/>
      <c r="H206" s="876"/>
      <c r="I206" s="876"/>
      <c r="J206" s="876"/>
      <c r="K206" s="877"/>
      <c r="L206" s="878"/>
      <c r="M206" s="876"/>
      <c r="N206" s="876"/>
      <c r="O206" s="876"/>
      <c r="P206" s="876"/>
      <c r="Q206" s="876"/>
      <c r="R206" s="876"/>
      <c r="S206" s="876"/>
      <c r="T206" s="876"/>
    </row>
    <row r="207" spans="1:20">
      <c r="A207" s="876"/>
      <c r="B207" s="876"/>
      <c r="C207" s="876"/>
      <c r="D207" s="876"/>
      <c r="E207" s="876"/>
      <c r="F207" s="876"/>
      <c r="G207" s="876"/>
      <c r="H207" s="876"/>
      <c r="I207" s="876"/>
      <c r="J207" s="876"/>
      <c r="K207" s="877"/>
      <c r="L207" s="878"/>
      <c r="M207" s="876"/>
      <c r="N207" s="876"/>
      <c r="O207" s="876"/>
      <c r="P207" s="876"/>
      <c r="Q207" s="876"/>
      <c r="R207" s="876"/>
      <c r="S207" s="876"/>
      <c r="T207" s="876"/>
    </row>
    <row r="208" spans="1:20">
      <c r="A208" s="876"/>
      <c r="B208" s="876"/>
      <c r="C208" s="876"/>
      <c r="D208" s="876"/>
      <c r="E208" s="876"/>
      <c r="F208" s="876"/>
      <c r="G208" s="876"/>
      <c r="H208" s="876"/>
      <c r="I208" s="876"/>
      <c r="J208" s="876"/>
      <c r="K208" s="877"/>
      <c r="L208" s="878"/>
      <c r="M208" s="876"/>
      <c r="N208" s="876"/>
      <c r="O208" s="876"/>
      <c r="P208" s="876"/>
      <c r="Q208" s="876"/>
      <c r="R208" s="876"/>
      <c r="S208" s="876"/>
      <c r="T208" s="876"/>
    </row>
    <row r="209" spans="1:20">
      <c r="A209" s="876"/>
      <c r="B209" s="876"/>
      <c r="C209" s="876"/>
      <c r="D209" s="876"/>
      <c r="E209" s="876"/>
      <c r="F209" s="876"/>
      <c r="G209" s="876"/>
      <c r="H209" s="876"/>
      <c r="I209" s="876"/>
      <c r="J209" s="876"/>
      <c r="K209" s="877"/>
      <c r="L209" s="878"/>
      <c r="M209" s="876"/>
      <c r="N209" s="876"/>
      <c r="O209" s="876"/>
      <c r="P209" s="876"/>
      <c r="Q209" s="876"/>
      <c r="R209" s="876"/>
      <c r="S209" s="876"/>
      <c r="T209" s="876"/>
    </row>
    <row r="210" spans="1:20">
      <c r="A210" s="876"/>
      <c r="B210" s="876"/>
      <c r="C210" s="876"/>
      <c r="D210" s="876"/>
      <c r="E210" s="876"/>
      <c r="F210" s="876"/>
      <c r="G210" s="876"/>
      <c r="H210" s="876"/>
      <c r="I210" s="876"/>
      <c r="J210" s="876"/>
      <c r="K210" s="877"/>
      <c r="L210" s="878"/>
      <c r="M210" s="876"/>
      <c r="N210" s="876"/>
      <c r="O210" s="876"/>
      <c r="P210" s="876"/>
      <c r="Q210" s="876"/>
      <c r="R210" s="876"/>
      <c r="S210" s="876"/>
      <c r="T210" s="876"/>
    </row>
    <row r="211" spans="1:20">
      <c r="A211" s="876"/>
      <c r="B211" s="876"/>
      <c r="C211" s="876"/>
      <c r="D211" s="876"/>
      <c r="E211" s="876"/>
      <c r="F211" s="876"/>
      <c r="G211" s="876"/>
      <c r="H211" s="876"/>
      <c r="I211" s="876"/>
      <c r="J211" s="876"/>
      <c r="K211" s="877"/>
      <c r="L211" s="878"/>
      <c r="M211" s="876"/>
      <c r="N211" s="876"/>
      <c r="O211" s="876"/>
      <c r="P211" s="876"/>
      <c r="Q211" s="876"/>
      <c r="R211" s="876"/>
      <c r="S211" s="876"/>
      <c r="T211" s="876"/>
    </row>
    <row r="212" spans="1:20">
      <c r="A212" s="876"/>
      <c r="B212" s="876"/>
      <c r="C212" s="876"/>
      <c r="D212" s="876"/>
      <c r="E212" s="876"/>
      <c r="F212" s="876"/>
      <c r="G212" s="876"/>
      <c r="H212" s="876"/>
      <c r="I212" s="876"/>
      <c r="J212" s="876"/>
      <c r="K212" s="877"/>
      <c r="L212" s="878"/>
      <c r="M212" s="876"/>
      <c r="N212" s="876"/>
      <c r="O212" s="876"/>
      <c r="P212" s="876"/>
      <c r="Q212" s="876"/>
      <c r="R212" s="876"/>
      <c r="S212" s="876"/>
      <c r="T212" s="876"/>
    </row>
    <row r="213" spans="1:20">
      <c r="A213" s="876"/>
      <c r="B213" s="876"/>
      <c r="C213" s="876"/>
      <c r="D213" s="876"/>
      <c r="E213" s="876"/>
      <c r="F213" s="876"/>
      <c r="G213" s="876"/>
      <c r="H213" s="876"/>
      <c r="I213" s="876"/>
      <c r="J213" s="876"/>
      <c r="K213" s="877"/>
      <c r="L213" s="878"/>
      <c r="M213" s="876"/>
      <c r="N213" s="876"/>
      <c r="O213" s="876"/>
      <c r="P213" s="876"/>
      <c r="Q213" s="876"/>
      <c r="R213" s="876"/>
      <c r="S213" s="876"/>
      <c r="T213" s="876"/>
    </row>
    <row r="214" spans="1:20">
      <c r="A214" s="876"/>
      <c r="B214" s="876"/>
      <c r="C214" s="876"/>
      <c r="D214" s="876"/>
      <c r="E214" s="876"/>
      <c r="F214" s="876"/>
      <c r="G214" s="876"/>
      <c r="H214" s="876"/>
      <c r="I214" s="876"/>
      <c r="J214" s="876"/>
      <c r="K214" s="877"/>
      <c r="L214" s="878"/>
      <c r="M214" s="876"/>
      <c r="N214" s="876"/>
      <c r="O214" s="876"/>
      <c r="P214" s="876"/>
      <c r="Q214" s="876"/>
      <c r="R214" s="876"/>
      <c r="S214" s="876"/>
      <c r="T214" s="876"/>
    </row>
    <row r="215" spans="1:20">
      <c r="A215" s="876"/>
      <c r="B215" s="876"/>
      <c r="C215" s="876"/>
      <c r="D215" s="876"/>
      <c r="E215" s="876"/>
      <c r="F215" s="876"/>
      <c r="G215" s="876"/>
      <c r="H215" s="876"/>
      <c r="I215" s="876"/>
      <c r="J215" s="876"/>
      <c r="K215" s="877"/>
      <c r="L215" s="878"/>
      <c r="M215" s="876"/>
      <c r="N215" s="876"/>
      <c r="O215" s="876"/>
      <c r="P215" s="876"/>
      <c r="Q215" s="876"/>
      <c r="R215" s="876"/>
      <c r="S215" s="876"/>
      <c r="T215" s="876"/>
    </row>
    <row r="216" spans="1:20">
      <c r="A216" s="876"/>
      <c r="B216" s="876"/>
      <c r="C216" s="876"/>
      <c r="D216" s="876"/>
      <c r="E216" s="876"/>
      <c r="F216" s="876"/>
      <c r="G216" s="876"/>
      <c r="H216" s="876"/>
      <c r="I216" s="876"/>
      <c r="J216" s="876"/>
      <c r="K216" s="877"/>
      <c r="L216" s="878"/>
      <c r="M216" s="876"/>
      <c r="N216" s="876"/>
      <c r="O216" s="876"/>
      <c r="P216" s="876"/>
      <c r="Q216" s="876"/>
      <c r="R216" s="876"/>
      <c r="S216" s="876"/>
      <c r="T216" s="876"/>
    </row>
    <row r="217" spans="1:20">
      <c r="A217" s="876"/>
      <c r="B217" s="876"/>
      <c r="C217" s="876"/>
      <c r="D217" s="876"/>
      <c r="E217" s="876"/>
      <c r="F217" s="876"/>
      <c r="G217" s="876"/>
      <c r="H217" s="876"/>
      <c r="I217" s="876"/>
      <c r="J217" s="876"/>
      <c r="K217" s="877"/>
      <c r="L217" s="878"/>
      <c r="M217" s="876"/>
      <c r="N217" s="876"/>
      <c r="O217" s="876"/>
      <c r="P217" s="876"/>
      <c r="Q217" s="876"/>
      <c r="R217" s="876"/>
      <c r="S217" s="876"/>
      <c r="T217" s="876"/>
    </row>
    <row r="218" spans="1:20">
      <c r="A218" s="876"/>
      <c r="B218" s="876"/>
      <c r="C218" s="876"/>
      <c r="D218" s="876"/>
      <c r="E218" s="876"/>
      <c r="F218" s="876"/>
      <c r="G218" s="876"/>
      <c r="H218" s="876"/>
      <c r="I218" s="876"/>
      <c r="J218" s="876"/>
      <c r="K218" s="877"/>
      <c r="L218" s="878"/>
      <c r="M218" s="876"/>
      <c r="N218" s="876"/>
      <c r="O218" s="876"/>
      <c r="P218" s="876"/>
      <c r="Q218" s="876"/>
      <c r="R218" s="876"/>
      <c r="S218" s="876"/>
      <c r="T218" s="876"/>
    </row>
    <row r="219" spans="1:20">
      <c r="A219" s="876"/>
      <c r="B219" s="876"/>
      <c r="C219" s="876"/>
      <c r="D219" s="876"/>
      <c r="E219" s="876"/>
      <c r="F219" s="876"/>
      <c r="G219" s="876"/>
      <c r="H219" s="876"/>
      <c r="I219" s="876"/>
      <c r="J219" s="876"/>
      <c r="K219" s="877"/>
      <c r="L219" s="878"/>
      <c r="M219" s="876"/>
      <c r="N219" s="876"/>
      <c r="O219" s="876"/>
      <c r="P219" s="876"/>
      <c r="Q219" s="876"/>
      <c r="R219" s="876"/>
      <c r="S219" s="876"/>
      <c r="T219" s="876"/>
    </row>
    <row r="220" spans="1:20">
      <c r="A220" s="876"/>
      <c r="B220" s="876"/>
      <c r="C220" s="876"/>
      <c r="D220" s="876"/>
      <c r="E220" s="876"/>
      <c r="F220" s="876"/>
      <c r="G220" s="876"/>
      <c r="H220" s="876"/>
      <c r="I220" s="876"/>
      <c r="J220" s="876"/>
      <c r="K220" s="877"/>
      <c r="L220" s="878"/>
      <c r="M220" s="876"/>
      <c r="N220" s="876"/>
      <c r="O220" s="876"/>
      <c r="P220" s="876"/>
      <c r="Q220" s="876"/>
      <c r="R220" s="876"/>
      <c r="S220" s="876"/>
      <c r="T220" s="876"/>
    </row>
    <row r="221" spans="1:20">
      <c r="A221" s="876"/>
      <c r="B221" s="876"/>
      <c r="C221" s="876"/>
      <c r="D221" s="876"/>
      <c r="E221" s="876"/>
      <c r="F221" s="876"/>
      <c r="G221" s="876"/>
      <c r="H221" s="876"/>
      <c r="I221" s="876"/>
      <c r="J221" s="876"/>
      <c r="K221" s="877"/>
      <c r="L221" s="878"/>
      <c r="M221" s="876"/>
      <c r="N221" s="876"/>
      <c r="O221" s="876"/>
      <c r="P221" s="876"/>
      <c r="Q221" s="876"/>
      <c r="R221" s="876"/>
      <c r="S221" s="876"/>
      <c r="T221" s="876"/>
    </row>
    <row r="222" spans="1:20">
      <c r="A222" s="876"/>
      <c r="B222" s="876"/>
      <c r="C222" s="876"/>
      <c r="D222" s="876"/>
      <c r="E222" s="876"/>
      <c r="F222" s="876"/>
      <c r="G222" s="876"/>
      <c r="H222" s="876"/>
      <c r="I222" s="876"/>
      <c r="J222" s="876"/>
      <c r="K222" s="877"/>
      <c r="L222" s="878"/>
      <c r="M222" s="876"/>
      <c r="N222" s="876"/>
      <c r="O222" s="876"/>
      <c r="P222" s="876"/>
      <c r="Q222" s="876"/>
      <c r="R222" s="876"/>
      <c r="S222" s="876"/>
      <c r="T222" s="876"/>
    </row>
    <row r="223" spans="1:20">
      <c r="A223" s="876"/>
      <c r="B223" s="876"/>
      <c r="C223" s="876"/>
      <c r="D223" s="876"/>
      <c r="E223" s="876"/>
      <c r="F223" s="876"/>
      <c r="G223" s="876"/>
      <c r="H223" s="876"/>
      <c r="I223" s="876"/>
      <c r="J223" s="876"/>
      <c r="K223" s="877"/>
      <c r="L223" s="878"/>
      <c r="M223" s="876"/>
      <c r="N223" s="876"/>
      <c r="O223" s="876"/>
      <c r="P223" s="876"/>
      <c r="Q223" s="876"/>
      <c r="R223" s="876"/>
      <c r="S223" s="876"/>
      <c r="T223" s="876"/>
    </row>
    <row r="224" spans="1:20">
      <c r="A224" s="876"/>
      <c r="B224" s="876"/>
      <c r="C224" s="876"/>
      <c r="D224" s="876"/>
      <c r="E224" s="876"/>
      <c r="F224" s="876"/>
      <c r="G224" s="876"/>
      <c r="H224" s="876"/>
      <c r="I224" s="876"/>
      <c r="J224" s="876"/>
      <c r="K224" s="877"/>
      <c r="L224" s="878"/>
      <c r="M224" s="876"/>
      <c r="N224" s="876"/>
      <c r="O224" s="876"/>
      <c r="P224" s="876"/>
      <c r="Q224" s="876"/>
      <c r="R224" s="876"/>
      <c r="S224" s="876"/>
      <c r="T224" s="876"/>
    </row>
    <row r="225" spans="1:20">
      <c r="A225" s="876"/>
      <c r="B225" s="876"/>
      <c r="C225" s="876"/>
      <c r="D225" s="876"/>
      <c r="E225" s="876"/>
      <c r="F225" s="876"/>
      <c r="G225" s="876"/>
      <c r="H225" s="876"/>
      <c r="I225" s="876"/>
      <c r="J225" s="876"/>
      <c r="K225" s="877"/>
      <c r="L225" s="878"/>
      <c r="M225" s="876"/>
      <c r="N225" s="876"/>
      <c r="O225" s="876"/>
      <c r="P225" s="876"/>
      <c r="Q225" s="876"/>
      <c r="R225" s="876"/>
      <c r="S225" s="876"/>
      <c r="T225" s="876"/>
    </row>
    <row r="226" spans="1:20">
      <c r="A226" s="876"/>
      <c r="B226" s="876"/>
      <c r="C226" s="876"/>
      <c r="D226" s="876"/>
      <c r="E226" s="876"/>
      <c r="F226" s="876"/>
      <c r="G226" s="876"/>
      <c r="H226" s="876"/>
      <c r="I226" s="876"/>
      <c r="J226" s="876"/>
      <c r="K226" s="877"/>
      <c r="L226" s="878"/>
      <c r="M226" s="876"/>
      <c r="N226" s="876"/>
      <c r="O226" s="876"/>
      <c r="P226" s="876"/>
      <c r="Q226" s="876"/>
      <c r="R226" s="876"/>
      <c r="S226" s="876"/>
      <c r="T226" s="876"/>
    </row>
    <row r="227" spans="1:20">
      <c r="A227" s="876"/>
      <c r="B227" s="876"/>
      <c r="C227" s="876"/>
      <c r="D227" s="876"/>
      <c r="E227" s="876"/>
      <c r="F227" s="876"/>
      <c r="G227" s="876"/>
      <c r="H227" s="876"/>
      <c r="I227" s="876"/>
      <c r="J227" s="876"/>
      <c r="K227" s="877"/>
      <c r="L227" s="878"/>
      <c r="M227" s="876"/>
      <c r="N227" s="876"/>
      <c r="O227" s="876"/>
      <c r="P227" s="876"/>
      <c r="Q227" s="876"/>
      <c r="R227" s="876"/>
      <c r="S227" s="876"/>
      <c r="T227" s="876"/>
    </row>
    <row r="228" spans="1:20">
      <c r="A228" s="876"/>
      <c r="B228" s="876"/>
      <c r="C228" s="876"/>
      <c r="D228" s="876"/>
      <c r="E228" s="876"/>
      <c r="F228" s="876"/>
      <c r="G228" s="876"/>
      <c r="H228" s="876"/>
      <c r="I228" s="876"/>
      <c r="J228" s="876"/>
      <c r="K228" s="877"/>
      <c r="L228" s="878"/>
      <c r="M228" s="876"/>
      <c r="N228" s="876"/>
      <c r="O228" s="876"/>
      <c r="P228" s="876"/>
      <c r="Q228" s="876"/>
      <c r="R228" s="876"/>
      <c r="S228" s="876"/>
      <c r="T228" s="876"/>
    </row>
    <row r="229" spans="1:20">
      <c r="A229" s="876"/>
      <c r="B229" s="876"/>
      <c r="C229" s="876"/>
      <c r="D229" s="876"/>
      <c r="E229" s="876"/>
      <c r="F229" s="876"/>
      <c r="G229" s="876"/>
      <c r="H229" s="876"/>
      <c r="I229" s="876"/>
      <c r="J229" s="876"/>
      <c r="K229" s="877"/>
      <c r="L229" s="878"/>
      <c r="M229" s="876"/>
      <c r="N229" s="876"/>
      <c r="O229" s="876"/>
      <c r="P229" s="876"/>
      <c r="Q229" s="876"/>
      <c r="R229" s="876"/>
      <c r="S229" s="876"/>
      <c r="T229" s="876"/>
    </row>
    <row r="230" spans="1:20">
      <c r="A230" s="876"/>
      <c r="B230" s="876"/>
      <c r="C230" s="876"/>
      <c r="D230" s="876"/>
      <c r="E230" s="876"/>
      <c r="F230" s="876"/>
      <c r="G230" s="876"/>
      <c r="H230" s="876"/>
      <c r="I230" s="876"/>
      <c r="J230" s="876"/>
      <c r="K230" s="877"/>
      <c r="L230" s="878"/>
      <c r="M230" s="876"/>
      <c r="N230" s="876"/>
      <c r="O230" s="876"/>
      <c r="P230" s="876"/>
      <c r="Q230" s="876"/>
      <c r="R230" s="876"/>
      <c r="S230" s="876"/>
      <c r="T230" s="876"/>
    </row>
    <row r="231" spans="1:20">
      <c r="A231" s="876"/>
      <c r="B231" s="876"/>
      <c r="C231" s="876"/>
      <c r="D231" s="876"/>
      <c r="E231" s="876"/>
      <c r="F231" s="876"/>
      <c r="G231" s="876"/>
      <c r="H231" s="876"/>
      <c r="I231" s="876"/>
      <c r="J231" s="876"/>
      <c r="K231" s="877"/>
      <c r="L231" s="878"/>
      <c r="M231" s="876"/>
      <c r="N231" s="876"/>
      <c r="O231" s="876"/>
      <c r="P231" s="876"/>
      <c r="Q231" s="876"/>
      <c r="R231" s="876"/>
      <c r="S231" s="876"/>
      <c r="T231" s="876"/>
    </row>
    <row r="232" spans="1:20">
      <c r="A232" s="876"/>
      <c r="B232" s="876"/>
      <c r="C232" s="876"/>
      <c r="D232" s="876"/>
      <c r="E232" s="876"/>
      <c r="F232" s="876"/>
      <c r="G232" s="876"/>
      <c r="H232" s="876"/>
      <c r="I232" s="876"/>
      <c r="J232" s="876"/>
      <c r="K232" s="877"/>
      <c r="L232" s="878"/>
      <c r="M232" s="876"/>
      <c r="N232" s="876"/>
      <c r="O232" s="876"/>
      <c r="P232" s="876"/>
      <c r="Q232" s="876"/>
      <c r="R232" s="876"/>
      <c r="S232" s="876"/>
      <c r="T232" s="876"/>
    </row>
    <row r="233" spans="1:20">
      <c r="A233" s="876"/>
      <c r="B233" s="876"/>
      <c r="C233" s="876"/>
      <c r="D233" s="876"/>
      <c r="E233" s="876"/>
      <c r="F233" s="876"/>
      <c r="G233" s="876"/>
      <c r="H233" s="876"/>
      <c r="I233" s="876"/>
      <c r="J233" s="876"/>
      <c r="K233" s="877"/>
      <c r="L233" s="878"/>
      <c r="M233" s="876"/>
      <c r="N233" s="876"/>
      <c r="O233" s="876"/>
      <c r="P233" s="876"/>
      <c r="Q233" s="876"/>
      <c r="R233" s="876"/>
      <c r="S233" s="876"/>
      <c r="T233" s="876"/>
    </row>
    <row r="234" spans="1:20">
      <c r="A234" s="876"/>
      <c r="B234" s="876"/>
      <c r="C234" s="876"/>
      <c r="D234" s="876"/>
      <c r="E234" s="876"/>
      <c r="F234" s="876"/>
      <c r="G234" s="876"/>
      <c r="H234" s="876"/>
      <c r="I234" s="876"/>
      <c r="J234" s="876"/>
      <c r="K234" s="877"/>
      <c r="L234" s="878"/>
      <c r="M234" s="876"/>
      <c r="N234" s="876"/>
      <c r="O234" s="876"/>
      <c r="P234" s="876"/>
      <c r="Q234" s="876"/>
      <c r="R234" s="876"/>
      <c r="S234" s="876"/>
      <c r="T234" s="876"/>
    </row>
    <row r="235" spans="1:20">
      <c r="A235" s="876"/>
      <c r="B235" s="876"/>
      <c r="C235" s="876"/>
      <c r="D235" s="876"/>
      <c r="E235" s="876"/>
      <c r="F235" s="876"/>
      <c r="G235" s="876"/>
      <c r="H235" s="876"/>
      <c r="I235" s="876"/>
      <c r="J235" s="876"/>
      <c r="K235" s="877"/>
      <c r="L235" s="878"/>
      <c r="M235" s="876"/>
      <c r="N235" s="876"/>
      <c r="O235" s="876"/>
      <c r="P235" s="876"/>
      <c r="Q235" s="876"/>
      <c r="R235" s="876"/>
      <c r="S235" s="876"/>
      <c r="T235" s="876"/>
    </row>
    <row r="236" spans="1:20">
      <c r="A236" s="876"/>
      <c r="B236" s="876"/>
      <c r="C236" s="876"/>
      <c r="D236" s="876"/>
      <c r="E236" s="876"/>
      <c r="F236" s="876"/>
      <c r="G236" s="876"/>
      <c r="H236" s="876"/>
      <c r="I236" s="876"/>
      <c r="J236" s="876"/>
      <c r="K236" s="877"/>
      <c r="L236" s="878"/>
      <c r="M236" s="876"/>
      <c r="N236" s="876"/>
      <c r="O236" s="876"/>
      <c r="P236" s="876"/>
      <c r="Q236" s="876"/>
      <c r="R236" s="876"/>
      <c r="S236" s="876"/>
      <c r="T236" s="876"/>
    </row>
    <row r="237" spans="1:20">
      <c r="A237" s="876"/>
      <c r="B237" s="876"/>
      <c r="C237" s="876"/>
      <c r="D237" s="876"/>
      <c r="E237" s="876"/>
      <c r="F237" s="876"/>
      <c r="G237" s="876"/>
      <c r="H237" s="876"/>
      <c r="I237" s="876"/>
      <c r="J237" s="876"/>
      <c r="K237" s="877"/>
      <c r="L237" s="878"/>
      <c r="M237" s="876"/>
      <c r="N237" s="876"/>
      <c r="O237" s="876"/>
      <c r="P237" s="876"/>
      <c r="Q237" s="876"/>
      <c r="R237" s="876"/>
      <c r="S237" s="876"/>
      <c r="T237" s="876"/>
    </row>
    <row r="238" spans="1:20">
      <c r="A238" s="876"/>
      <c r="B238" s="876"/>
      <c r="C238" s="876"/>
      <c r="D238" s="876"/>
      <c r="E238" s="876"/>
      <c r="F238" s="876"/>
      <c r="G238" s="876"/>
      <c r="H238" s="876"/>
      <c r="I238" s="876"/>
      <c r="J238" s="876"/>
      <c r="K238" s="877"/>
      <c r="L238" s="878"/>
      <c r="M238" s="876"/>
      <c r="N238" s="876"/>
      <c r="O238" s="876"/>
      <c r="P238" s="876"/>
      <c r="Q238" s="876"/>
      <c r="R238" s="876"/>
      <c r="S238" s="876"/>
      <c r="T238" s="876"/>
    </row>
    <row r="239" spans="1:20">
      <c r="A239" s="876"/>
      <c r="B239" s="876"/>
      <c r="C239" s="876"/>
      <c r="D239" s="876"/>
      <c r="E239" s="876"/>
      <c r="F239" s="876"/>
      <c r="G239" s="876"/>
      <c r="H239" s="876"/>
      <c r="I239" s="876"/>
      <c r="J239" s="876"/>
      <c r="K239" s="877"/>
      <c r="L239" s="878"/>
      <c r="M239" s="876"/>
      <c r="N239" s="876"/>
      <c r="O239" s="876"/>
      <c r="P239" s="876"/>
      <c r="Q239" s="876"/>
      <c r="R239" s="876"/>
      <c r="S239" s="876"/>
      <c r="T239" s="876"/>
    </row>
    <row r="240" spans="1:20">
      <c r="A240" s="876"/>
      <c r="B240" s="876"/>
      <c r="C240" s="876"/>
      <c r="D240" s="876"/>
      <c r="E240" s="876"/>
      <c r="F240" s="876"/>
      <c r="G240" s="876"/>
      <c r="H240" s="876"/>
      <c r="I240" s="876"/>
      <c r="J240" s="876"/>
      <c r="K240" s="877"/>
      <c r="L240" s="878"/>
      <c r="M240" s="876"/>
      <c r="N240" s="876"/>
      <c r="O240" s="876"/>
      <c r="P240" s="876"/>
      <c r="Q240" s="876"/>
      <c r="R240" s="876"/>
      <c r="S240" s="876"/>
      <c r="T240" s="876"/>
    </row>
    <row r="241" spans="1:20">
      <c r="A241" s="876"/>
      <c r="B241" s="876"/>
      <c r="C241" s="876"/>
      <c r="D241" s="876"/>
      <c r="E241" s="876"/>
      <c r="F241" s="876"/>
      <c r="G241" s="876"/>
      <c r="H241" s="876"/>
      <c r="I241" s="876"/>
      <c r="J241" s="876"/>
      <c r="K241" s="877"/>
      <c r="L241" s="878"/>
      <c r="M241" s="876"/>
      <c r="N241" s="876"/>
      <c r="O241" s="876"/>
      <c r="P241" s="876"/>
      <c r="Q241" s="876"/>
      <c r="R241" s="876"/>
      <c r="S241" s="876"/>
      <c r="T241" s="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F65</f>
        <v>#DIV/0!</v>
      </c>
      <c r="C2" s="848"/>
      <c r="D2" s="848"/>
      <c r="E2" s="849"/>
      <c r="F2" s="850"/>
      <c r="G2" s="849"/>
      <c r="H2" s="849"/>
      <c r="I2" s="849"/>
      <c r="J2" s="849"/>
      <c r="K2" s="851"/>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05"/>
      <c r="E3" s="849"/>
      <c r="F3" s="850"/>
      <c r="G3" s="849"/>
      <c r="H3" s="849"/>
      <c r="I3" s="849"/>
      <c r="J3" s="849"/>
      <c r="K3" s="851"/>
      <c r="L3" s="2498"/>
      <c r="M3" s="2499"/>
      <c r="N3" s="2499"/>
      <c r="O3" s="2499"/>
      <c r="P3" s="341"/>
      <c r="Q3" s="341"/>
      <c r="R3" s="341"/>
      <c r="S3" s="341"/>
      <c r="T3" s="341"/>
      <c r="U3" s="341"/>
      <c r="V3" s="341"/>
      <c r="W3" s="341"/>
      <c r="X3" s="341"/>
      <c r="Y3" s="341"/>
      <c r="Z3" s="341"/>
      <c r="AA3" s="341"/>
      <c r="AB3" s="676"/>
      <c r="AC3" s="663"/>
    </row>
    <row r="4" spans="1:29" ht="15">
      <c r="A4" s="345" t="s">
        <v>1765</v>
      </c>
      <c r="B4" s="346"/>
      <c r="C4" s="3484" t="s">
        <v>1766</v>
      </c>
      <c r="D4" s="3485"/>
      <c r="E4" s="3486" t="s">
        <v>1767</v>
      </c>
      <c r="F4" s="3487"/>
      <c r="G4" s="3484" t="s">
        <v>1768</v>
      </c>
      <c r="H4" s="3485"/>
      <c r="I4" s="3484" t="s">
        <v>1769</v>
      </c>
      <c r="J4" s="3485"/>
      <c r="K4" s="537" t="s">
        <v>1770</v>
      </c>
      <c r="L4" s="2481"/>
      <c r="M4" s="2482"/>
      <c r="N4" s="2482"/>
      <c r="O4" s="2482"/>
      <c r="P4" s="3488" t="s">
        <v>1771</v>
      </c>
      <c r="Q4" s="3489"/>
      <c r="R4" s="3494" t="s">
        <v>1767</v>
      </c>
      <c r="S4" s="3495"/>
      <c r="T4" s="3494" t="s">
        <v>1768</v>
      </c>
      <c r="U4" s="3495"/>
      <c r="V4" s="3467" t="s">
        <v>1769</v>
      </c>
      <c r="W4" s="3467"/>
      <c r="X4" s="1259"/>
      <c r="Y4" s="3494" t="s">
        <v>1771</v>
      </c>
      <c r="Z4" s="3495"/>
      <c r="AA4" s="3481" t="s">
        <v>1767</v>
      </c>
      <c r="AB4" s="3482" t="s">
        <v>1768</v>
      </c>
      <c r="AC4" s="3481" t="s">
        <v>1769</v>
      </c>
    </row>
    <row r="5" spans="1:29" ht="15">
      <c r="A5" s="348"/>
      <c r="B5" s="349"/>
      <c r="C5" s="3502" t="s">
        <v>1669</v>
      </c>
      <c r="D5" s="3503"/>
      <c r="E5" s="3509" t="s">
        <v>1670</v>
      </c>
      <c r="F5" s="3510"/>
      <c r="G5" s="3502" t="s">
        <v>1671</v>
      </c>
      <c r="H5" s="3503"/>
      <c r="I5" s="3502" t="s">
        <v>1672</v>
      </c>
      <c r="J5" s="3503"/>
      <c r="K5" s="537"/>
      <c r="L5" s="2481"/>
      <c r="M5" s="2482"/>
      <c r="N5" s="2482"/>
      <c r="O5" s="2482"/>
      <c r="P5" s="3490"/>
      <c r="Q5" s="3491"/>
      <c r="R5" s="3496"/>
      <c r="S5" s="3497"/>
      <c r="T5" s="3496"/>
      <c r="U5" s="3497"/>
      <c r="V5" s="3467"/>
      <c r="W5" s="3467"/>
      <c r="X5" s="1259"/>
      <c r="Y5" s="3496"/>
      <c r="Z5" s="3497"/>
      <c r="AA5" s="3482"/>
      <c r="AB5" s="3482"/>
      <c r="AC5" s="3482"/>
    </row>
    <row r="6" spans="1:29" ht="15.75" thickBot="1">
      <c r="A6" s="350"/>
      <c r="B6" s="351"/>
      <c r="C6" s="3500" t="s">
        <v>1673</v>
      </c>
      <c r="D6" s="3501"/>
      <c r="E6" s="3507" t="s">
        <v>1673</v>
      </c>
      <c r="F6" s="3508"/>
      <c r="G6" s="3500" t="s">
        <v>1673</v>
      </c>
      <c r="H6" s="3501"/>
      <c r="I6" s="3500" t="s">
        <v>1673</v>
      </c>
      <c r="J6" s="3501"/>
      <c r="K6" s="537" t="s">
        <v>1674</v>
      </c>
      <c r="L6" s="2481"/>
      <c r="M6" s="2482"/>
      <c r="N6" s="2482"/>
      <c r="O6" s="2482"/>
      <c r="P6" s="3492"/>
      <c r="Q6" s="3493"/>
      <c r="R6" s="3496"/>
      <c r="S6" s="3497"/>
      <c r="T6" s="3498"/>
      <c r="U6" s="3499"/>
      <c r="V6" s="3467"/>
      <c r="W6" s="3467"/>
      <c r="X6" s="1259"/>
      <c r="Y6" s="3498"/>
      <c r="Z6" s="3499"/>
      <c r="AA6" s="3483"/>
      <c r="AB6" s="3483"/>
      <c r="AC6" s="3483"/>
    </row>
    <row r="7" spans="1:29" s="102" customFormat="1" ht="15.75" thickBot="1">
      <c r="A7" s="352" t="s">
        <v>1675</v>
      </c>
      <c r="B7" s="353"/>
      <c r="C7" s="354">
        <f>'数据-取费表'!B2</f>
        <v>45873</v>
      </c>
      <c r="D7" s="355">
        <v>100</v>
      </c>
      <c r="E7" s="356"/>
      <c r="F7" s="357">
        <f>SUMIF(69:69,YEAR(E7)&amp;"-"&amp;INT((MONTH(E7)+2)/3),70:70)</f>
        <v>0</v>
      </c>
      <c r="G7" s="1816"/>
      <c r="H7" s="355">
        <f>SUMIF(69:69,YEAR(G7)&amp;"-"&amp;INT((MONTH(G7)+2)/3),70:70)</f>
        <v>0</v>
      </c>
      <c r="I7" s="1816"/>
      <c r="J7" s="355">
        <f>SUMIF(69:69,YEAR(I7)&amp;"-"&amp;INT((MONTH(I7)+2)/3),70:70)</f>
        <v>0</v>
      </c>
      <c r="K7" s="38"/>
      <c r="L7" s="2483"/>
      <c r="M7" s="2434"/>
      <c r="N7" s="2434"/>
      <c r="O7" s="2434"/>
      <c r="P7" s="3504" t="s">
        <v>1676</v>
      </c>
      <c r="Q7" s="3506"/>
      <c r="R7" s="664" t="s">
        <v>14</v>
      </c>
      <c r="S7" s="665">
        <f t="shared" ref="S7:S15" si="0">F7</f>
        <v>0</v>
      </c>
      <c r="T7" s="664" t="s">
        <v>14</v>
      </c>
      <c r="U7" s="665">
        <f t="shared" ref="U7:U15" si="1">H7</f>
        <v>0</v>
      </c>
      <c r="V7" s="664" t="s">
        <v>14</v>
      </c>
      <c r="W7" s="665">
        <f t="shared" ref="W7:W15" si="2">J7</f>
        <v>0</v>
      </c>
      <c r="X7" s="666"/>
      <c r="Y7" s="3504" t="s">
        <v>1676</v>
      </c>
      <c r="Z7" s="3505"/>
      <c r="AA7" s="50" t="e">
        <f>D7/F7</f>
        <v>#DIV/0!</v>
      </c>
      <c r="AB7" s="50" t="e">
        <f>D7/H7</f>
        <v>#DIV/0!</v>
      </c>
      <c r="AC7" s="50" t="e">
        <f>D7/J7</f>
        <v>#DIV/0!</v>
      </c>
    </row>
    <row r="8" spans="1:29" s="102" customFormat="1" ht="15.75" thickBot="1">
      <c r="A8" s="352" t="s">
        <v>1677</v>
      </c>
      <c r="B8" s="353"/>
      <c r="C8" s="358" t="s">
        <v>1678</v>
      </c>
      <c r="D8" s="355">
        <v>100</v>
      </c>
      <c r="E8" s="358"/>
      <c r="F8" s="357">
        <f>SUMIF(72:72,E8,73:73)-SUMIF(72:72,C8,73:73)+100</f>
        <v>0</v>
      </c>
      <c r="G8" s="358"/>
      <c r="H8" s="355">
        <f>SUMIF(72:72,G8,73:73)-SUMIF(72:72,C8,73:73)+100</f>
        <v>0</v>
      </c>
      <c r="I8" s="358"/>
      <c r="J8" s="355">
        <f>SUMIF(72:72,I8,73:73)-SUMIF(72:72,C8,73:73)+100</f>
        <v>0</v>
      </c>
      <c r="K8" s="38"/>
      <c r="L8" s="2483"/>
      <c r="M8" s="2434"/>
      <c r="N8" s="2434"/>
      <c r="O8" s="2434"/>
      <c r="P8" s="3504" t="s">
        <v>1679</v>
      </c>
      <c r="Q8" s="3505"/>
      <c r="R8" s="664" t="s">
        <v>14</v>
      </c>
      <c r="S8" s="665">
        <f t="shared" si="0"/>
        <v>0</v>
      </c>
      <c r="T8" s="664" t="s">
        <v>14</v>
      </c>
      <c r="U8" s="665">
        <f t="shared" si="1"/>
        <v>0</v>
      </c>
      <c r="V8" s="664" t="s">
        <v>14</v>
      </c>
      <c r="W8" s="665">
        <f t="shared" si="2"/>
        <v>0</v>
      </c>
      <c r="X8" s="666"/>
      <c r="Y8" s="3504" t="s">
        <v>1679</v>
      </c>
      <c r="Z8" s="3505"/>
      <c r="AA8" s="50" t="e">
        <f t="shared" ref="AA8:AA45" si="3">D8/F8</f>
        <v>#DIV/0!</v>
      </c>
      <c r="AB8" s="50" t="e">
        <f t="shared" ref="AB8:AB45" si="4">D8/H8</f>
        <v>#DIV/0!</v>
      </c>
      <c r="AC8" s="50" t="e">
        <f t="shared" ref="AC8:AC45" si="5">D8/J8</f>
        <v>#DIV/0!</v>
      </c>
    </row>
    <row r="9" spans="1:29" s="102" customFormat="1">
      <c r="A9" s="359" t="s">
        <v>1680</v>
      </c>
      <c r="B9" s="60" t="s">
        <v>1681</v>
      </c>
      <c r="C9" s="1819"/>
      <c r="D9" s="59">
        <v>100</v>
      </c>
      <c r="E9" s="1819"/>
      <c r="F9" s="59">
        <f>SUMIF(74:74,E9,75:75)-SUMIF(74:74,C9,75:75)+100</f>
        <v>100</v>
      </c>
      <c r="G9" s="1819"/>
      <c r="H9" s="59">
        <f>SUMIF(74:74,G9,75:75)-SUMIF(74:74,C9,75:75)+100</f>
        <v>100</v>
      </c>
      <c r="I9" s="1819"/>
      <c r="J9" s="59">
        <f>SUMIF(74:74,I9,75:75)-SUMIF(74:74,C9,75:75)+100</f>
        <v>100</v>
      </c>
      <c r="K9" s="38"/>
      <c r="L9" s="2483"/>
      <c r="M9" s="2434"/>
      <c r="N9" s="2434"/>
      <c r="O9" s="2535"/>
      <c r="P9" s="3466" t="s">
        <v>1682</v>
      </c>
      <c r="Q9" s="530" t="str">
        <f t="shared" ref="Q9:Q15" si="6">B9</f>
        <v>用途</v>
      </c>
      <c r="R9" s="664" t="s">
        <v>14</v>
      </c>
      <c r="S9" s="665">
        <f t="shared" si="0"/>
        <v>100</v>
      </c>
      <c r="T9" s="664" t="s">
        <v>14</v>
      </c>
      <c r="U9" s="665">
        <f t="shared" si="1"/>
        <v>100</v>
      </c>
      <c r="V9" s="664" t="s">
        <v>14</v>
      </c>
      <c r="W9" s="665">
        <f t="shared" si="2"/>
        <v>100</v>
      </c>
      <c r="X9" s="666"/>
      <c r="Y9" s="3346"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124</v>
      </c>
      <c r="G10" s="402"/>
      <c r="H10" s="119">
        <f>ROUND(100/'数据-取费表'!G16,0)</f>
        <v>124</v>
      </c>
      <c r="I10" s="402"/>
      <c r="J10" s="119">
        <f>ROUND(100/'数据-取费表'!G16,0)</f>
        <v>124</v>
      </c>
      <c r="K10" s="592"/>
      <c r="L10" s="2484"/>
      <c r="M10" s="2485"/>
      <c r="N10" s="2485"/>
      <c r="O10" s="2536"/>
      <c r="P10" s="3466"/>
      <c r="Q10" s="530" t="str">
        <f t="shared" si="6"/>
        <v>土地使用年限（年）</v>
      </c>
      <c r="R10" s="664" t="s">
        <v>14</v>
      </c>
      <c r="S10" s="665">
        <f t="shared" si="0"/>
        <v>124</v>
      </c>
      <c r="T10" s="664" t="s">
        <v>14</v>
      </c>
      <c r="U10" s="665">
        <f t="shared" si="1"/>
        <v>124</v>
      </c>
      <c r="V10" s="664" t="s">
        <v>14</v>
      </c>
      <c r="W10" s="665">
        <f t="shared" si="2"/>
        <v>124</v>
      </c>
      <c r="X10" s="666"/>
      <c r="Y10" s="3346"/>
      <c r="Z10" s="50" t="str">
        <f t="shared" si="7"/>
        <v>土地使用年限（年）</v>
      </c>
      <c r="AA10" s="50">
        <f t="shared" si="3"/>
        <v>0.80645161290322576</v>
      </c>
      <c r="AB10" s="50">
        <f t="shared" si="4"/>
        <v>0.80645161290322576</v>
      </c>
      <c r="AC10" s="50">
        <f t="shared" si="5"/>
        <v>0.80645161290322576</v>
      </c>
    </row>
    <row r="11" spans="1:29" ht="15">
      <c r="A11" s="367"/>
      <c r="B11" s="364" t="s">
        <v>1685</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466"/>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t="s">
        <v>1866</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4"/>
      <c r="N12" s="2434"/>
      <c r="O12" s="2535"/>
      <c r="P12" s="3466"/>
      <c r="Q12" s="530" t="str">
        <f t="shared" si="6"/>
        <v>配建</v>
      </c>
      <c r="R12" s="664" t="s">
        <v>14</v>
      </c>
      <c r="S12" s="665">
        <f t="shared" si="0"/>
        <v>100</v>
      </c>
      <c r="T12" s="664" t="s">
        <v>14</v>
      </c>
      <c r="U12" s="665">
        <f t="shared" si="1"/>
        <v>100</v>
      </c>
      <c r="V12" s="664" t="s">
        <v>14</v>
      </c>
      <c r="W12" s="665">
        <f t="shared" si="2"/>
        <v>100</v>
      </c>
      <c r="X12" s="666"/>
      <c r="Y12" s="33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66"/>
      <c r="Q13" s="530">
        <f t="shared" si="6"/>
        <v>111</v>
      </c>
      <c r="R13" s="664" t="s">
        <v>14</v>
      </c>
      <c r="S13" s="665">
        <f t="shared" si="0"/>
        <v>100</v>
      </c>
      <c r="T13" s="664" t="s">
        <v>14</v>
      </c>
      <c r="U13" s="665">
        <f t="shared" si="1"/>
        <v>100</v>
      </c>
      <c r="V13" s="664" t="s">
        <v>14</v>
      </c>
      <c r="W13" s="665">
        <f t="shared" si="2"/>
        <v>100</v>
      </c>
      <c r="X13" s="666"/>
      <c r="Y13" s="3346"/>
      <c r="Z13" s="50">
        <f t="shared" si="7"/>
        <v>111</v>
      </c>
      <c r="AA13" s="50">
        <f>D13/F13</f>
        <v>1</v>
      </c>
      <c r="AB13" s="50">
        <f>D13/H13</f>
        <v>1</v>
      </c>
      <c r="AC13" s="50">
        <f>D13/J13</f>
        <v>1</v>
      </c>
    </row>
    <row r="14" spans="1:29" ht="15.75" thickBot="1">
      <c r="A14" s="375"/>
      <c r="B14" s="1743">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66"/>
      <c r="Q14" s="530">
        <f t="shared" si="6"/>
        <v>111</v>
      </c>
      <c r="R14" s="664" t="s">
        <v>14</v>
      </c>
      <c r="S14" s="665">
        <f t="shared" si="0"/>
        <v>100</v>
      </c>
      <c r="T14" s="664" t="s">
        <v>14</v>
      </c>
      <c r="U14" s="665">
        <f t="shared" si="1"/>
        <v>100</v>
      </c>
      <c r="V14" s="664" t="s">
        <v>14</v>
      </c>
      <c r="W14" s="665">
        <f t="shared" si="2"/>
        <v>100</v>
      </c>
      <c r="X14" s="666"/>
      <c r="Y14" s="3346"/>
      <c r="Z14" s="50">
        <f t="shared" si="7"/>
        <v>111</v>
      </c>
      <c r="AA14" s="50">
        <f>D14/F14</f>
        <v>1</v>
      </c>
      <c r="AB14" s="50">
        <f>D14/H14</f>
        <v>1</v>
      </c>
      <c r="AC14" s="50">
        <f>D14/J14</f>
        <v>1</v>
      </c>
    </row>
    <row r="15" spans="1:29" ht="15">
      <c r="A15" s="379" t="s">
        <v>1686</v>
      </c>
      <c r="B15" s="58" t="s">
        <v>1253</v>
      </c>
      <c r="C15" s="1744">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473" t="s">
        <v>1687</v>
      </c>
      <c r="Q15" s="1257" t="str">
        <f t="shared" si="6"/>
        <v>居住社区成熟度</v>
      </c>
      <c r="R15" s="667" t="s">
        <v>14</v>
      </c>
      <c r="S15" s="668">
        <f t="shared" si="0"/>
        <v>100</v>
      </c>
      <c r="T15" s="667" t="s">
        <v>14</v>
      </c>
      <c r="U15" s="668">
        <f t="shared" si="1"/>
        <v>100</v>
      </c>
      <c r="V15" s="667" t="s">
        <v>14</v>
      </c>
      <c r="W15" s="668">
        <f t="shared" si="2"/>
        <v>100</v>
      </c>
      <c r="X15" s="1259"/>
      <c r="Y15" s="3473" t="s">
        <v>1687</v>
      </c>
      <c r="Z15" s="1258" t="str">
        <f t="shared" si="7"/>
        <v>居住社区成熟度</v>
      </c>
      <c r="AA15" s="1258">
        <f t="shared" si="3"/>
        <v>1</v>
      </c>
      <c r="AB15" s="1258">
        <f t="shared" si="4"/>
        <v>1</v>
      </c>
      <c r="AC15" s="1258">
        <f t="shared" si="5"/>
        <v>1</v>
      </c>
    </row>
    <row r="16" spans="1:29" ht="15">
      <c r="A16" s="367"/>
      <c r="B16" s="385"/>
      <c r="C16" s="386"/>
      <c r="D16" s="387"/>
      <c r="E16" s="1746"/>
      <c r="F16" s="387"/>
      <c r="G16" s="1746"/>
      <c r="H16" s="389"/>
      <c r="I16" s="1745"/>
      <c r="J16" s="387"/>
      <c r="K16" s="592"/>
      <c r="L16" s="2487"/>
      <c r="M16" s="2482"/>
      <c r="N16" s="2482"/>
      <c r="O16" s="2537"/>
      <c r="P16" s="3474"/>
      <c r="Q16" s="1257"/>
      <c r="R16" s="667"/>
      <c r="S16" s="668"/>
      <c r="T16" s="667"/>
      <c r="U16" s="668"/>
      <c r="V16" s="667"/>
      <c r="W16" s="668"/>
      <c r="X16" s="1259"/>
      <c r="Y16" s="3474"/>
      <c r="Z16" s="1258"/>
      <c r="AA16" s="1258">
        <v>1</v>
      </c>
      <c r="AB16" s="1258">
        <v>1</v>
      </c>
      <c r="AC16" s="1258">
        <v>1</v>
      </c>
    </row>
    <row r="17" spans="1:29" ht="15">
      <c r="A17" s="367"/>
      <c r="B17" s="390" t="s">
        <v>1773</v>
      </c>
      <c r="C17" s="1800">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74"/>
      <c r="Q17" s="1257" t="str">
        <f>B17</f>
        <v>商业繁华度</v>
      </c>
      <c r="R17" s="667" t="s">
        <v>14</v>
      </c>
      <c r="S17" s="668">
        <f>F17</f>
        <v>100</v>
      </c>
      <c r="T17" s="667" t="s">
        <v>14</v>
      </c>
      <c r="U17" s="668">
        <f>H17</f>
        <v>100</v>
      </c>
      <c r="V17" s="667" t="s">
        <v>14</v>
      </c>
      <c r="W17" s="668">
        <f>J17</f>
        <v>100</v>
      </c>
      <c r="X17" s="1259"/>
      <c r="Y17" s="3474"/>
      <c r="Z17" s="1258" t="str">
        <f>Q17</f>
        <v>商业繁华度</v>
      </c>
      <c r="AA17" s="1258">
        <f t="shared" si="3"/>
        <v>1</v>
      </c>
      <c r="AB17" s="1258">
        <f t="shared" si="4"/>
        <v>1</v>
      </c>
      <c r="AC17" s="1258">
        <f t="shared" si="5"/>
        <v>1</v>
      </c>
    </row>
    <row r="18" spans="1:29" ht="15">
      <c r="A18" s="367"/>
      <c r="B18" s="395"/>
      <c r="C18" s="1749"/>
      <c r="D18" s="389"/>
      <c r="E18" s="1751"/>
      <c r="F18" s="389"/>
      <c r="G18" s="1751"/>
      <c r="H18" s="387"/>
      <c r="I18" s="1750"/>
      <c r="J18" s="387"/>
      <c r="K18" s="592"/>
      <c r="L18" s="2487"/>
      <c r="M18" s="2482"/>
      <c r="N18" s="2482"/>
      <c r="O18" s="2537"/>
      <c r="P18" s="3474"/>
      <c r="Q18" s="1257"/>
      <c r="R18" s="667"/>
      <c r="S18" s="668"/>
      <c r="T18" s="667"/>
      <c r="U18" s="668"/>
      <c r="V18" s="667"/>
      <c r="W18" s="668"/>
      <c r="X18" s="1259"/>
      <c r="Y18" s="3474"/>
      <c r="Z18" s="1258"/>
      <c r="AA18" s="1258">
        <v>1</v>
      </c>
      <c r="AB18" s="1258">
        <v>1</v>
      </c>
      <c r="AC18" s="1258">
        <v>1</v>
      </c>
    </row>
    <row r="19" spans="1:29" ht="15">
      <c r="A19" s="367"/>
      <c r="B19" s="390" t="s">
        <v>1807</v>
      </c>
      <c r="C19" s="1800">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74"/>
      <c r="Q19" s="1257" t="str">
        <f>B19</f>
        <v>办公集聚程度</v>
      </c>
      <c r="R19" s="667" t="s">
        <v>14</v>
      </c>
      <c r="S19" s="668">
        <f>F19</f>
        <v>100</v>
      </c>
      <c r="T19" s="667" t="s">
        <v>14</v>
      </c>
      <c r="U19" s="668">
        <f>H19</f>
        <v>100</v>
      </c>
      <c r="V19" s="667" t="s">
        <v>14</v>
      </c>
      <c r="W19" s="668">
        <f>J19</f>
        <v>100</v>
      </c>
      <c r="X19" s="1259"/>
      <c r="Y19" s="3474"/>
      <c r="Z19" s="1258" t="str">
        <f>Q19</f>
        <v>办公集聚程度</v>
      </c>
      <c r="AA19" s="1258">
        <f t="shared" si="3"/>
        <v>1</v>
      </c>
      <c r="AB19" s="1258">
        <f t="shared" si="4"/>
        <v>1</v>
      </c>
      <c r="AC19" s="1258">
        <f t="shared" si="5"/>
        <v>1</v>
      </c>
    </row>
    <row r="20" spans="1:29" ht="15">
      <c r="A20" s="367"/>
      <c r="B20" s="395"/>
      <c r="C20" s="386"/>
      <c r="D20" s="387"/>
      <c r="E20" s="1746"/>
      <c r="F20" s="387"/>
      <c r="G20" s="1746"/>
      <c r="H20" s="387"/>
      <c r="I20" s="1745"/>
      <c r="J20" s="387"/>
      <c r="K20" s="592"/>
      <c r="L20" s="2487"/>
      <c r="M20" s="2482"/>
      <c r="N20" s="2482"/>
      <c r="O20" s="2537"/>
      <c r="P20" s="3474"/>
      <c r="Q20" s="1257"/>
      <c r="R20" s="667"/>
      <c r="S20" s="668"/>
      <c r="T20" s="667"/>
      <c r="U20" s="668"/>
      <c r="V20" s="667"/>
      <c r="W20" s="668"/>
      <c r="X20" s="1259"/>
      <c r="Y20" s="3474"/>
      <c r="Z20" s="1258"/>
      <c r="AA20" s="1258">
        <v>1</v>
      </c>
      <c r="AB20" s="1258">
        <v>1</v>
      </c>
      <c r="AC20" s="1258">
        <v>1</v>
      </c>
    </row>
    <row r="21" spans="1:29" ht="15">
      <c r="A21" s="367"/>
      <c r="B21" s="390" t="s">
        <v>1829</v>
      </c>
      <c r="C21" s="1748">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474"/>
      <c r="Q21" s="1257" t="str">
        <f>B21</f>
        <v>交通便捷度</v>
      </c>
      <c r="R21" s="667" t="s">
        <v>14</v>
      </c>
      <c r="S21" s="668">
        <f>F21</f>
        <v>100</v>
      </c>
      <c r="T21" s="667" t="s">
        <v>14</v>
      </c>
      <c r="U21" s="668">
        <f>H21</f>
        <v>100</v>
      </c>
      <c r="V21" s="667" t="s">
        <v>14</v>
      </c>
      <c r="W21" s="668">
        <f>J21</f>
        <v>100</v>
      </c>
      <c r="X21" s="1259"/>
      <c r="Y21" s="3474"/>
      <c r="Z21" s="1258" t="str">
        <f>Q21</f>
        <v>交通便捷度</v>
      </c>
      <c r="AA21" s="1258">
        <f t="shared" si="3"/>
        <v>1</v>
      </c>
      <c r="AB21" s="1258">
        <f t="shared" si="4"/>
        <v>1</v>
      </c>
      <c r="AC21" s="1258">
        <f t="shared" si="5"/>
        <v>1</v>
      </c>
    </row>
    <row r="22" spans="1:29" ht="15">
      <c r="A22" s="367"/>
      <c r="B22" s="586"/>
      <c r="C22" s="386"/>
      <c r="D22" s="389"/>
      <c r="E22" s="1746"/>
      <c r="F22" s="387"/>
      <c r="G22" s="1746"/>
      <c r="H22" s="387"/>
      <c r="I22" s="1745"/>
      <c r="J22" s="387"/>
      <c r="K22" s="592"/>
      <c r="L22" s="2487"/>
      <c r="M22" s="2482"/>
      <c r="N22" s="2482"/>
      <c r="O22" s="2537"/>
      <c r="P22" s="3474"/>
      <c r="Q22" s="1257"/>
      <c r="R22" s="667"/>
      <c r="S22" s="668"/>
      <c r="T22" s="667"/>
      <c r="U22" s="668"/>
      <c r="V22" s="667"/>
      <c r="W22" s="668"/>
      <c r="X22" s="1259"/>
      <c r="Y22" s="3474"/>
      <c r="Z22" s="1258"/>
      <c r="AA22" s="1258">
        <v>1</v>
      </c>
      <c r="AB22" s="1258">
        <v>1</v>
      </c>
      <c r="AC22" s="1258">
        <v>1</v>
      </c>
    </row>
    <row r="23" spans="1:29" ht="15">
      <c r="A23" s="348"/>
      <c r="B23" s="390" t="s">
        <v>1867</v>
      </c>
      <c r="C23" s="1063">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474"/>
      <c r="Q23" s="1257" t="str">
        <f t="shared" ref="Q23:Q37" si="8">B23</f>
        <v>区域土地利用方向</v>
      </c>
      <c r="R23" s="667" t="s">
        <v>14</v>
      </c>
      <c r="S23" s="668">
        <f>F23</f>
        <v>100</v>
      </c>
      <c r="T23" s="667" t="s">
        <v>14</v>
      </c>
      <c r="U23" s="668">
        <f>H23</f>
        <v>100</v>
      </c>
      <c r="V23" s="667" t="s">
        <v>14</v>
      </c>
      <c r="W23" s="668">
        <f>J23</f>
        <v>100</v>
      </c>
      <c r="X23" s="1259"/>
      <c r="Y23" s="3474"/>
      <c r="Z23" s="1258" t="str">
        <f>Q23</f>
        <v>区域土地利用方向</v>
      </c>
      <c r="AA23" s="1258">
        <f t="shared" si="3"/>
        <v>1</v>
      </c>
      <c r="AB23" s="1258">
        <f t="shared" si="4"/>
        <v>1</v>
      </c>
      <c r="AC23" s="1258">
        <f t="shared" si="5"/>
        <v>1</v>
      </c>
    </row>
    <row r="24" spans="1:29" ht="15">
      <c r="A24" s="348"/>
      <c r="B24" s="395"/>
      <c r="C24" s="542"/>
      <c r="D24" s="387"/>
      <c r="E24" s="1746"/>
      <c r="F24" s="387"/>
      <c r="G24" s="1745"/>
      <c r="H24" s="387"/>
      <c r="I24" s="1745"/>
      <c r="J24" s="387"/>
      <c r="K24" s="692"/>
      <c r="L24" s="2487"/>
      <c r="M24" s="2482"/>
      <c r="N24" s="2482"/>
      <c r="O24" s="2537"/>
      <c r="P24" s="3474"/>
      <c r="Q24" s="1257"/>
      <c r="R24" s="667"/>
      <c r="S24" s="668"/>
      <c r="T24" s="667"/>
      <c r="U24" s="668"/>
      <c r="V24" s="667"/>
      <c r="W24" s="668"/>
      <c r="X24" s="1259"/>
      <c r="Y24" s="3474"/>
      <c r="Z24" s="1258"/>
      <c r="AA24" s="1258"/>
      <c r="AB24" s="1258"/>
      <c r="AC24" s="1258"/>
    </row>
    <row r="25" spans="1:29" ht="27">
      <c r="A25" s="348"/>
      <c r="B25" s="586" t="s">
        <v>1868</v>
      </c>
      <c r="C25" s="1800">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474"/>
      <c r="Q25" s="1257" t="str">
        <f t="shared" si="8"/>
        <v>自然及人文环境状况</v>
      </c>
      <c r="R25" s="667" t="s">
        <v>14</v>
      </c>
      <c r="S25" s="668">
        <f>F25</f>
        <v>100</v>
      </c>
      <c r="T25" s="667" t="s">
        <v>14</v>
      </c>
      <c r="U25" s="668">
        <f>H25</f>
        <v>100</v>
      </c>
      <c r="V25" s="667" t="s">
        <v>14</v>
      </c>
      <c r="W25" s="668">
        <f>J25</f>
        <v>100</v>
      </c>
      <c r="X25" s="1259"/>
      <c r="Y25" s="3474"/>
      <c r="Z25" s="1258" t="str">
        <f>Q25</f>
        <v>自然及人文环境状况</v>
      </c>
      <c r="AA25" s="1258">
        <f t="shared" si="3"/>
        <v>1</v>
      </c>
      <c r="AB25" s="1258">
        <f t="shared" si="4"/>
        <v>1</v>
      </c>
      <c r="AC25" s="1258">
        <f t="shared" si="5"/>
        <v>1</v>
      </c>
    </row>
    <row r="26" spans="1:29" ht="15">
      <c r="A26" s="348"/>
      <c r="B26" s="395"/>
      <c r="C26" s="386"/>
      <c r="D26" s="387"/>
      <c r="E26" s="1752"/>
      <c r="F26" s="387"/>
      <c r="G26" s="1752"/>
      <c r="H26" s="387"/>
      <c r="I26" s="386"/>
      <c r="J26" s="387"/>
      <c r="K26" s="592"/>
      <c r="L26" s="2487"/>
      <c r="M26" s="2482"/>
      <c r="N26" s="2482"/>
      <c r="O26" s="2537"/>
      <c r="P26" s="3474"/>
      <c r="Q26" s="1257"/>
      <c r="R26" s="667"/>
      <c r="S26" s="668"/>
      <c r="T26" s="667"/>
      <c r="U26" s="668"/>
      <c r="V26" s="667"/>
      <c r="W26" s="668"/>
      <c r="X26" s="1259"/>
      <c r="Y26" s="3474"/>
      <c r="Z26" s="1258"/>
      <c r="AA26" s="1258">
        <v>1</v>
      </c>
      <c r="AB26" s="1258">
        <v>1</v>
      </c>
      <c r="AC26" s="1258">
        <v>1</v>
      </c>
    </row>
    <row r="27" spans="1:29" s="102" customFormat="1" ht="15">
      <c r="A27" s="443"/>
      <c r="B27" s="586" t="s">
        <v>1774</v>
      </c>
      <c r="C27" s="1748">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4"/>
      <c r="N27" s="2434"/>
      <c r="O27" s="2535"/>
      <c r="P27" s="3474"/>
      <c r="Q27" s="530" t="str">
        <f t="shared" si="8"/>
        <v>公共配套设施</v>
      </c>
      <c r="R27" s="664" t="s">
        <v>14</v>
      </c>
      <c r="S27" s="665">
        <f>F27</f>
        <v>100</v>
      </c>
      <c r="T27" s="664" t="s">
        <v>14</v>
      </c>
      <c r="U27" s="665">
        <f>H27</f>
        <v>100</v>
      </c>
      <c r="V27" s="664" t="s">
        <v>14</v>
      </c>
      <c r="W27" s="665">
        <f>J27</f>
        <v>100</v>
      </c>
      <c r="X27" s="666"/>
      <c r="Y27" s="3474"/>
      <c r="Z27" s="50" t="str">
        <f>Q27</f>
        <v>公共配套设施</v>
      </c>
      <c r="AA27" s="1258">
        <f>D27/F27</f>
        <v>1</v>
      </c>
      <c r="AB27" s="1258">
        <f>D27/H27</f>
        <v>1</v>
      </c>
      <c r="AC27" s="1258">
        <f>D27/J27</f>
        <v>1</v>
      </c>
    </row>
    <row r="28" spans="1:29" s="102" customFormat="1" ht="15">
      <c r="A28" s="443"/>
      <c r="B28" s="395"/>
      <c r="C28" s="1820"/>
      <c r="D28" s="387"/>
      <c r="E28" s="1752"/>
      <c r="F28" s="387"/>
      <c r="G28" s="1752"/>
      <c r="H28" s="387"/>
      <c r="I28" s="386"/>
      <c r="J28" s="387"/>
      <c r="K28" s="592"/>
      <c r="L28" s="2483"/>
      <c r="M28" s="2434"/>
      <c r="N28" s="2434"/>
      <c r="O28" s="2535"/>
      <c r="P28" s="3474"/>
      <c r="Q28" s="530"/>
      <c r="R28" s="664"/>
      <c r="S28" s="665"/>
      <c r="T28" s="664"/>
      <c r="U28" s="665"/>
      <c r="V28" s="664"/>
      <c r="W28" s="665"/>
      <c r="X28" s="666"/>
      <c r="Y28" s="3474"/>
      <c r="Z28" s="50"/>
      <c r="AA28" s="1258">
        <v>1</v>
      </c>
      <c r="AB28" s="1258">
        <v>1</v>
      </c>
      <c r="AC28" s="1258">
        <v>1</v>
      </c>
    </row>
    <row r="29" spans="1:29" s="102" customFormat="1" ht="15">
      <c r="A29" s="443"/>
      <c r="B29" s="586" t="s">
        <v>1775</v>
      </c>
      <c r="C29" s="1748">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4"/>
      <c r="N29" s="2434"/>
      <c r="O29" s="2535"/>
      <c r="P29" s="3474"/>
      <c r="Q29" s="530" t="str">
        <f t="shared" ref="Q29" si="9">B29</f>
        <v>基础设施水平</v>
      </c>
      <c r="R29" s="664" t="s">
        <v>14</v>
      </c>
      <c r="S29" s="665">
        <f>F29</f>
        <v>100</v>
      </c>
      <c r="T29" s="664" t="s">
        <v>14</v>
      </c>
      <c r="U29" s="665">
        <f>H29</f>
        <v>100</v>
      </c>
      <c r="V29" s="664" t="s">
        <v>14</v>
      </c>
      <c r="W29" s="665">
        <f>J29</f>
        <v>100</v>
      </c>
      <c r="X29" s="666"/>
      <c r="Y29" s="3474"/>
      <c r="Z29" s="50" t="str">
        <f>Q29</f>
        <v>基础设施水平</v>
      </c>
      <c r="AA29" s="1258">
        <f>D29/F29</f>
        <v>1</v>
      </c>
      <c r="AB29" s="1258">
        <f>D29/H29</f>
        <v>1</v>
      </c>
      <c r="AC29" s="1258">
        <f>D29/J29</f>
        <v>1</v>
      </c>
    </row>
    <row r="30" spans="1:29" s="102" customFormat="1" ht="15">
      <c r="A30" s="443"/>
      <c r="B30" s="395"/>
      <c r="C30" s="1820"/>
      <c r="D30" s="387"/>
      <c r="E30" s="1821"/>
      <c r="F30" s="387"/>
      <c r="G30" s="1821"/>
      <c r="H30" s="387"/>
      <c r="I30" s="1821"/>
      <c r="J30" s="387"/>
      <c r="K30" s="592"/>
      <c r="L30" s="2483"/>
      <c r="M30" s="2434"/>
      <c r="N30" s="2434"/>
      <c r="O30" s="2535"/>
      <c r="P30" s="3474"/>
      <c r="Q30" s="530"/>
      <c r="R30" s="664"/>
      <c r="S30" s="665"/>
      <c r="T30" s="664"/>
      <c r="U30" s="665"/>
      <c r="V30" s="664"/>
      <c r="W30" s="665"/>
      <c r="X30" s="666"/>
      <c r="Y30" s="3474"/>
      <c r="Z30" s="50"/>
      <c r="AA30" s="1258">
        <v>1</v>
      </c>
      <c r="AB30" s="1258">
        <v>1</v>
      </c>
      <c r="AC30" s="1258">
        <v>1</v>
      </c>
    </row>
    <row r="31" spans="1:29" ht="15">
      <c r="A31" s="367"/>
      <c r="B31" s="395" t="s">
        <v>1776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74"/>
      <c r="Q31" s="1257" t="str">
        <f t="shared" si="8"/>
        <v>临街状况</v>
      </c>
      <c r="R31" s="667" t="s">
        <v>14</v>
      </c>
      <c r="S31" s="668">
        <f t="shared" ref="S31:S45" si="10">F31</f>
        <v>100</v>
      </c>
      <c r="T31" s="667" t="s">
        <v>14</v>
      </c>
      <c r="U31" s="668">
        <f t="shared" ref="U31:U45" si="11">H31</f>
        <v>100</v>
      </c>
      <c r="V31" s="667" t="s">
        <v>14</v>
      </c>
      <c r="W31" s="668">
        <f t="shared" ref="W31:W45" si="12">J31</f>
        <v>100</v>
      </c>
      <c r="X31" s="1259"/>
      <c r="Y31" s="3474"/>
      <c r="Z31" s="1258" t="str">
        <f t="shared" ref="Z31:Z45" si="13">Q31</f>
        <v>临街状况</v>
      </c>
      <c r="AA31" s="1258">
        <f t="shared" si="3"/>
        <v>1</v>
      </c>
      <c r="AB31" s="1258">
        <f t="shared" si="4"/>
        <v>1</v>
      </c>
      <c r="AC31" s="1258">
        <f t="shared" si="5"/>
        <v>1</v>
      </c>
    </row>
    <row r="32" spans="1:29" ht="27">
      <c r="A32" s="367"/>
      <c r="B32" s="586" t="s">
        <v>1811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74"/>
      <c r="Q32" s="1257" t="str">
        <f t="shared" si="8"/>
        <v>毗邻道路的类型与等级</v>
      </c>
      <c r="R32" s="667" t="s">
        <v>14</v>
      </c>
      <c r="S32" s="668">
        <f t="shared" si="10"/>
        <v>100</v>
      </c>
      <c r="T32" s="667" t="s">
        <v>14</v>
      </c>
      <c r="U32" s="668">
        <f t="shared" si="11"/>
        <v>100</v>
      </c>
      <c r="V32" s="667" t="s">
        <v>14</v>
      </c>
      <c r="W32" s="668">
        <f t="shared" si="12"/>
        <v>100</v>
      </c>
      <c r="X32" s="1259"/>
      <c r="Y32" s="3474"/>
      <c r="Z32" s="1258" t="str">
        <f t="shared" si="13"/>
        <v>毗邻道路的类型与等级</v>
      </c>
      <c r="AA32" s="1258">
        <f t="shared" si="3"/>
        <v>1</v>
      </c>
      <c r="AB32" s="1258">
        <f t="shared" si="4"/>
        <v>1</v>
      </c>
      <c r="AC32" s="1258">
        <f t="shared" si="5"/>
        <v>1</v>
      </c>
    </row>
    <row r="33" spans="1:29" ht="15">
      <c r="A33" s="367"/>
      <c r="B33" s="395"/>
      <c r="C33" s="386"/>
      <c r="D33" s="387"/>
      <c r="E33" s="1752"/>
      <c r="F33" s="387"/>
      <c r="G33" s="1752"/>
      <c r="H33" s="387"/>
      <c r="I33" s="386"/>
      <c r="J33" s="387"/>
      <c r="K33" s="539"/>
      <c r="L33" s="2487"/>
      <c r="M33" s="2482"/>
      <c r="N33" s="2482"/>
      <c r="O33" s="2537"/>
      <c r="P33" s="3474"/>
      <c r="Q33" s="1257"/>
      <c r="R33" s="667"/>
      <c r="S33" s="668"/>
      <c r="T33" s="667"/>
      <c r="U33" s="668"/>
      <c r="V33" s="667"/>
      <c r="W33" s="668"/>
      <c r="X33" s="1259"/>
      <c r="Y33" s="3474"/>
      <c r="Z33" s="1258"/>
      <c r="AA33" s="1258">
        <v>1</v>
      </c>
      <c r="AB33" s="1258">
        <v>1</v>
      </c>
      <c r="AC33" s="1258">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74"/>
      <c r="Q34" s="1257" t="str">
        <f t="shared" si="8"/>
        <v>土地级别</v>
      </c>
      <c r="R34" s="667" t="s">
        <v>14</v>
      </c>
      <c r="S34" s="668">
        <f t="shared" si="10"/>
        <v>100</v>
      </c>
      <c r="T34" s="667" t="s">
        <v>14</v>
      </c>
      <c r="U34" s="668">
        <f t="shared" si="11"/>
        <v>100</v>
      </c>
      <c r="V34" s="667" t="s">
        <v>14</v>
      </c>
      <c r="W34" s="668">
        <f t="shared" si="12"/>
        <v>100</v>
      </c>
      <c r="X34" s="1259"/>
      <c r="Y34" s="3474"/>
      <c r="Z34" s="1258" t="str">
        <f t="shared" si="13"/>
        <v>土地级别</v>
      </c>
      <c r="AA34" s="1258">
        <f t="shared" si="3"/>
        <v>1</v>
      </c>
      <c r="AB34" s="1258">
        <f t="shared" si="4"/>
        <v>1</v>
      </c>
      <c r="AC34" s="1258">
        <f t="shared" si="5"/>
        <v>1</v>
      </c>
    </row>
    <row r="35" spans="1:29" ht="15">
      <c r="A35" s="348"/>
      <c r="B35" s="1060">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74"/>
      <c r="Q35" s="1257">
        <f t="shared" si="8"/>
        <v>111</v>
      </c>
      <c r="R35" s="667" t="s">
        <v>14</v>
      </c>
      <c r="S35" s="668">
        <f t="shared" si="10"/>
        <v>100</v>
      </c>
      <c r="T35" s="667" t="s">
        <v>14</v>
      </c>
      <c r="U35" s="668">
        <f t="shared" si="11"/>
        <v>100</v>
      </c>
      <c r="V35" s="667" t="s">
        <v>14</v>
      </c>
      <c r="W35" s="668">
        <f t="shared" si="12"/>
        <v>100</v>
      </c>
      <c r="X35" s="1259"/>
      <c r="Y35" s="3474"/>
      <c r="Z35" s="1258">
        <f t="shared" si="13"/>
        <v>111</v>
      </c>
      <c r="AA35" s="1258">
        <f t="shared" si="3"/>
        <v>1</v>
      </c>
      <c r="AB35" s="1258">
        <f t="shared" si="4"/>
        <v>1</v>
      </c>
      <c r="AC35" s="1258">
        <f t="shared" si="5"/>
        <v>1</v>
      </c>
    </row>
    <row r="36" spans="1:29" ht="15">
      <c r="A36" s="595"/>
      <c r="B36" s="1061">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47" t="s">
        <v>1692</v>
      </c>
      <c r="Q36" s="1257">
        <f t="shared" si="8"/>
        <v>111</v>
      </c>
      <c r="R36" s="667" t="s">
        <v>14</v>
      </c>
      <c r="S36" s="668">
        <f t="shared" si="10"/>
        <v>100</v>
      </c>
      <c r="T36" s="667" t="s">
        <v>14</v>
      </c>
      <c r="U36" s="668">
        <f t="shared" si="11"/>
        <v>100</v>
      </c>
      <c r="V36" s="667" t="s">
        <v>14</v>
      </c>
      <c r="W36" s="668">
        <f t="shared" si="12"/>
        <v>100</v>
      </c>
      <c r="X36" s="1259"/>
      <c r="Y36" s="3478" t="s">
        <v>1692</v>
      </c>
      <c r="Z36" s="1258">
        <f t="shared" si="13"/>
        <v>111</v>
      </c>
      <c r="AA36" s="1258">
        <f t="shared" si="3"/>
        <v>1</v>
      </c>
      <c r="AB36" s="1258">
        <f t="shared" si="4"/>
        <v>1</v>
      </c>
      <c r="AC36" s="1258">
        <f t="shared" si="5"/>
        <v>1</v>
      </c>
    </row>
    <row r="37" spans="1:29" s="408" customFormat="1" ht="15.75" thickBot="1">
      <c r="A37" s="596"/>
      <c r="B37" s="1062">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78"/>
      <c r="Q37" s="1257">
        <f t="shared" si="8"/>
        <v>111</v>
      </c>
      <c r="R37" s="669" t="s">
        <v>14</v>
      </c>
      <c r="S37" s="670">
        <f t="shared" si="10"/>
        <v>100</v>
      </c>
      <c r="T37" s="669" t="s">
        <v>14</v>
      </c>
      <c r="U37" s="670">
        <f t="shared" si="11"/>
        <v>100</v>
      </c>
      <c r="V37" s="669" t="s">
        <v>14</v>
      </c>
      <c r="W37" s="670">
        <f t="shared" si="12"/>
        <v>100</v>
      </c>
      <c r="X37" s="671"/>
      <c r="Y37" s="3478"/>
      <c r="Z37" s="672">
        <f t="shared" si="13"/>
        <v>111</v>
      </c>
      <c r="AA37" s="1258">
        <f t="shared" si="3"/>
        <v>1</v>
      </c>
      <c r="AB37" s="1258">
        <f t="shared" si="4"/>
        <v>1</v>
      </c>
      <c r="AC37" s="1258">
        <f t="shared" si="5"/>
        <v>1</v>
      </c>
    </row>
    <row r="38" spans="1:29" ht="15">
      <c r="A38" s="409" t="s">
        <v>1690</v>
      </c>
      <c r="B38" s="395" t="s">
        <v>1870</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478"/>
      <c r="Q38" s="1257" t="str">
        <f>B38</f>
        <v>宗地面积</v>
      </c>
      <c r="R38" s="667" t="s">
        <v>14</v>
      </c>
      <c r="S38" s="668" t="e">
        <f t="shared" si="10"/>
        <v>#N/A</v>
      </c>
      <c r="T38" s="667" t="s">
        <v>14</v>
      </c>
      <c r="U38" s="668" t="e">
        <f t="shared" si="11"/>
        <v>#N/A</v>
      </c>
      <c r="V38" s="667" t="s">
        <v>14</v>
      </c>
      <c r="W38" s="668" t="e">
        <f t="shared" si="12"/>
        <v>#N/A</v>
      </c>
      <c r="X38" s="1259"/>
      <c r="Y38" s="3478"/>
      <c r="Z38" s="1258" t="str">
        <f t="shared" si="13"/>
        <v>宗地面积</v>
      </c>
      <c r="AA38" s="1258" t="e">
        <f t="shared" si="3"/>
        <v>#N/A</v>
      </c>
      <c r="AB38" s="1258" t="e">
        <f t="shared" si="4"/>
        <v>#N/A</v>
      </c>
      <c r="AC38" s="1258" t="e">
        <f t="shared" si="5"/>
        <v>#N/A</v>
      </c>
    </row>
    <row r="39" spans="1:29" ht="15">
      <c r="A39" s="409"/>
      <c r="B39" s="364" t="s">
        <v>1871</v>
      </c>
      <c r="C39" s="1754"/>
      <c r="D39" s="374">
        <v>100</v>
      </c>
      <c r="E39" s="1754"/>
      <c r="F39" s="374">
        <f>SUMIF(118:118,E39,119:119)-SUMIF(118:118,C39,119:119)+100</f>
        <v>100</v>
      </c>
      <c r="G39" s="1754"/>
      <c r="H39" s="374">
        <f>SUMIF(118:118,G39,119:119)-SUMIF(118:118,C39,119:119)+100</f>
        <v>100</v>
      </c>
      <c r="I39" s="1754"/>
      <c r="J39" s="374">
        <f>SUMIF(118:118,I39,119:119)-SUMIF(118:118,C39,119:119)+100</f>
        <v>100</v>
      </c>
      <c r="K39" s="538"/>
      <c r="L39" s="2487"/>
      <c r="M39" s="2482"/>
      <c r="N39" s="2482"/>
      <c r="O39" s="2537"/>
      <c r="P39" s="3478"/>
      <c r="Q39" s="1257" t="str">
        <f t="shared" ref="Q39:Q45" si="14">B39</f>
        <v>宗地形状</v>
      </c>
      <c r="R39" s="667" t="s">
        <v>14</v>
      </c>
      <c r="S39" s="668">
        <f t="shared" si="10"/>
        <v>100</v>
      </c>
      <c r="T39" s="667" t="s">
        <v>14</v>
      </c>
      <c r="U39" s="668">
        <f t="shared" si="11"/>
        <v>100</v>
      </c>
      <c r="V39" s="667" t="s">
        <v>14</v>
      </c>
      <c r="W39" s="668">
        <f t="shared" si="12"/>
        <v>100</v>
      </c>
      <c r="X39" s="1259"/>
      <c r="Y39" s="3478"/>
      <c r="Z39" s="1258" t="str">
        <f t="shared" si="13"/>
        <v>宗地形状</v>
      </c>
      <c r="AA39" s="1258">
        <f t="shared" si="3"/>
        <v>1</v>
      </c>
      <c r="AB39" s="1258">
        <f t="shared" si="4"/>
        <v>1</v>
      </c>
      <c r="AC39" s="1258">
        <f t="shared" si="5"/>
        <v>1</v>
      </c>
    </row>
    <row r="40" spans="1:29" ht="15">
      <c r="A40" s="409"/>
      <c r="B40" s="364" t="s">
        <v>1872</v>
      </c>
      <c r="C40" s="1754"/>
      <c r="D40" s="374">
        <v>100</v>
      </c>
      <c r="E40" s="1754"/>
      <c r="F40" s="374">
        <f>SUMIF(120:120,E40,121:121)-SUMIF(120:120,C40,121:121)+100</f>
        <v>100</v>
      </c>
      <c r="G40" s="1754"/>
      <c r="H40" s="374">
        <f>SUMIF(120:120,G40,121:121)-SUMIF(120:120,C40,121:121)+100</f>
        <v>100</v>
      </c>
      <c r="I40" s="1754"/>
      <c r="J40" s="374">
        <f>SUMIF(120:120,I40,121:121)-SUMIF(120:120,C40,121:121)+100</f>
        <v>100</v>
      </c>
      <c r="K40" s="538"/>
      <c r="L40" s="2487"/>
      <c r="M40" s="2482"/>
      <c r="N40" s="2482"/>
      <c r="O40" s="2537"/>
      <c r="P40" s="3478"/>
      <c r="Q40" s="1257" t="str">
        <f t="shared" si="14"/>
        <v>临街宽度及深度</v>
      </c>
      <c r="R40" s="667" t="s">
        <v>14</v>
      </c>
      <c r="S40" s="668">
        <f t="shared" si="10"/>
        <v>100</v>
      </c>
      <c r="T40" s="667" t="s">
        <v>14</v>
      </c>
      <c r="U40" s="668">
        <f t="shared" si="11"/>
        <v>100</v>
      </c>
      <c r="V40" s="667" t="s">
        <v>14</v>
      </c>
      <c r="W40" s="668">
        <f t="shared" si="12"/>
        <v>100</v>
      </c>
      <c r="X40" s="1259"/>
      <c r="Y40" s="3478"/>
      <c r="Z40" s="1258" t="str">
        <f t="shared" si="13"/>
        <v>临街宽度及深度</v>
      </c>
      <c r="AA40" s="1258">
        <f t="shared" si="3"/>
        <v>1</v>
      </c>
      <c r="AB40" s="1258">
        <f t="shared" si="4"/>
        <v>1</v>
      </c>
      <c r="AC40" s="1258">
        <f t="shared" si="5"/>
        <v>1</v>
      </c>
    </row>
    <row r="41" spans="1:29" s="102" customFormat="1" ht="15">
      <c r="A41" s="410"/>
      <c r="B41" s="364" t="s">
        <v>1873</v>
      </c>
      <c r="C41" s="1822"/>
      <c r="D41" s="119">
        <v>100</v>
      </c>
      <c r="E41" s="1822"/>
      <c r="F41" s="374">
        <f>SUMIF(122:122,E41,123:123)-SUMIF(122:122,C41,123:123)+100</f>
        <v>100</v>
      </c>
      <c r="G41" s="1822"/>
      <c r="H41" s="374">
        <f>SUMIF(122:122,G41,123:123)-SUMIF(122:122,C41,123:123)+100</f>
        <v>100</v>
      </c>
      <c r="I41" s="1822"/>
      <c r="J41" s="374">
        <f>SUMIF(122:122,I41,123:123)-SUMIF(122:122,C41,123:123)+100</f>
        <v>100</v>
      </c>
      <c r="K41" s="538"/>
      <c r="L41" s="2483"/>
      <c r="M41" s="2434"/>
      <c r="N41" s="2434"/>
      <c r="O41" s="2535"/>
      <c r="P41" s="3478"/>
      <c r="Q41" s="1257" t="str">
        <f t="shared" si="14"/>
        <v>宗地开发程度</v>
      </c>
      <c r="R41" s="664" t="s">
        <v>14</v>
      </c>
      <c r="S41" s="665">
        <f t="shared" si="10"/>
        <v>100</v>
      </c>
      <c r="T41" s="664" t="s">
        <v>14</v>
      </c>
      <c r="U41" s="665">
        <f t="shared" si="11"/>
        <v>100</v>
      </c>
      <c r="V41" s="664" t="s">
        <v>14</v>
      </c>
      <c r="W41" s="665">
        <f t="shared" si="12"/>
        <v>100</v>
      </c>
      <c r="X41" s="666"/>
      <c r="Y41" s="3478"/>
      <c r="Z41" s="50" t="str">
        <f t="shared" si="13"/>
        <v>宗地开发程度</v>
      </c>
      <c r="AA41" s="50">
        <f t="shared" si="3"/>
        <v>1</v>
      </c>
      <c r="AB41" s="50">
        <f t="shared" si="4"/>
        <v>1</v>
      </c>
      <c r="AC41" s="50">
        <f t="shared" si="5"/>
        <v>1</v>
      </c>
    </row>
    <row r="42" spans="1:29" ht="15">
      <c r="A42" s="409"/>
      <c r="B42" s="364" t="s">
        <v>1874</v>
      </c>
      <c r="C42" s="1754"/>
      <c r="D42" s="374">
        <v>100</v>
      </c>
      <c r="E42" s="1754"/>
      <c r="F42" s="374">
        <f>SUMIF(124:124,E42,125:125)-SUMIF(124:124,C42,125:125)+100</f>
        <v>100</v>
      </c>
      <c r="G42" s="1754"/>
      <c r="H42" s="374">
        <f>SUMIF(124:124,G42,125:125)-SUMIF(124:124,C42,125:125)+100</f>
        <v>100</v>
      </c>
      <c r="I42" s="1754"/>
      <c r="J42" s="374">
        <f>SUMIF(124:124,I42,125:125)-SUMIF(124:124,C42,125:125)+100</f>
        <v>100</v>
      </c>
      <c r="K42" s="538"/>
      <c r="L42" s="2487"/>
      <c r="M42" s="2482"/>
      <c r="N42" s="2482"/>
      <c r="O42" s="2537"/>
      <c r="P42" s="3478" t="s">
        <v>1692</v>
      </c>
      <c r="Q42" s="1257" t="str">
        <f t="shared" si="14"/>
        <v>工程地质条件</v>
      </c>
      <c r="R42" s="667" t="s">
        <v>14</v>
      </c>
      <c r="S42" s="668">
        <f t="shared" si="10"/>
        <v>100</v>
      </c>
      <c r="T42" s="667" t="s">
        <v>14</v>
      </c>
      <c r="U42" s="668">
        <f t="shared" si="11"/>
        <v>100</v>
      </c>
      <c r="V42" s="667" t="s">
        <v>14</v>
      </c>
      <c r="W42" s="668">
        <f t="shared" si="12"/>
        <v>100</v>
      </c>
      <c r="X42" s="1259"/>
      <c r="Y42" s="3478" t="s">
        <v>1692</v>
      </c>
      <c r="Z42" s="1258" t="str">
        <f t="shared" si="13"/>
        <v>工程地质条件</v>
      </c>
      <c r="AA42" s="1258">
        <f t="shared" si="3"/>
        <v>1</v>
      </c>
      <c r="AB42" s="1258">
        <f t="shared" si="4"/>
        <v>1</v>
      </c>
      <c r="AC42" s="1258">
        <f t="shared" si="5"/>
        <v>1</v>
      </c>
    </row>
    <row r="43" spans="1:29" ht="15">
      <c r="A43" s="409"/>
      <c r="B43" s="1061">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78"/>
      <c r="Q43" s="1257">
        <f t="shared" si="14"/>
        <v>111</v>
      </c>
      <c r="R43" s="667" t="s">
        <v>14</v>
      </c>
      <c r="S43" s="668">
        <f t="shared" si="10"/>
        <v>100</v>
      </c>
      <c r="T43" s="667" t="s">
        <v>14</v>
      </c>
      <c r="U43" s="668">
        <f t="shared" si="11"/>
        <v>100</v>
      </c>
      <c r="V43" s="667" t="s">
        <v>14</v>
      </c>
      <c r="W43" s="668">
        <f t="shared" si="12"/>
        <v>100</v>
      </c>
      <c r="X43" s="1259"/>
      <c r="Y43" s="3478"/>
      <c r="Z43" s="1258">
        <f t="shared" si="13"/>
        <v>111</v>
      </c>
      <c r="AA43" s="1258">
        <f t="shared" si="3"/>
        <v>1</v>
      </c>
      <c r="AB43" s="1258">
        <f t="shared" si="4"/>
        <v>1</v>
      </c>
      <c r="AC43" s="1258">
        <f t="shared" si="5"/>
        <v>1</v>
      </c>
    </row>
    <row r="44" spans="1:29" ht="15">
      <c r="A44" s="409"/>
      <c r="B44" s="1061">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78"/>
      <c r="Q44" s="1257">
        <f t="shared" si="14"/>
        <v>111</v>
      </c>
      <c r="R44" s="667" t="s">
        <v>14</v>
      </c>
      <c r="S44" s="668">
        <f t="shared" si="10"/>
        <v>100</v>
      </c>
      <c r="T44" s="667" t="s">
        <v>14</v>
      </c>
      <c r="U44" s="668">
        <f t="shared" si="11"/>
        <v>100</v>
      </c>
      <c r="V44" s="667" t="s">
        <v>14</v>
      </c>
      <c r="W44" s="668">
        <f t="shared" si="12"/>
        <v>100</v>
      </c>
      <c r="X44" s="1259"/>
      <c r="Y44" s="3478"/>
      <c r="Z44" s="1258">
        <f t="shared" si="13"/>
        <v>111</v>
      </c>
      <c r="AA44" s="1258">
        <f t="shared" si="3"/>
        <v>1</v>
      </c>
      <c r="AB44" s="1258">
        <f t="shared" si="4"/>
        <v>1</v>
      </c>
      <c r="AC44" s="1258">
        <f t="shared" si="5"/>
        <v>1</v>
      </c>
    </row>
    <row r="45" spans="1:29" s="408" customFormat="1" ht="15.75" thickBot="1">
      <c r="A45" s="406"/>
      <c r="B45" s="1061">
        <v>111</v>
      </c>
      <c r="C45" s="1823"/>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78"/>
      <c r="Q45" s="1257">
        <f t="shared" si="14"/>
        <v>111</v>
      </c>
      <c r="R45" s="669" t="s">
        <v>14</v>
      </c>
      <c r="S45" s="670">
        <f t="shared" si="10"/>
        <v>100</v>
      </c>
      <c r="T45" s="669" t="s">
        <v>14</v>
      </c>
      <c r="U45" s="670">
        <f t="shared" si="11"/>
        <v>100</v>
      </c>
      <c r="V45" s="669" t="s">
        <v>14</v>
      </c>
      <c r="W45" s="670">
        <f t="shared" si="12"/>
        <v>100</v>
      </c>
      <c r="X45" s="671"/>
      <c r="Y45" s="3478"/>
      <c r="Z45" s="672">
        <f t="shared" si="13"/>
        <v>111</v>
      </c>
      <c r="AA45" s="1258">
        <f t="shared" si="3"/>
        <v>1</v>
      </c>
      <c r="AB45" s="1258">
        <f t="shared" si="4"/>
        <v>1</v>
      </c>
      <c r="AC45" s="1258">
        <f t="shared" si="5"/>
        <v>1</v>
      </c>
    </row>
    <row r="46" spans="1:29" ht="15">
      <c r="A46" s="416" t="s">
        <v>1840</v>
      </c>
      <c r="B46" s="1824" t="s">
        <v>1875</v>
      </c>
      <c r="C46" s="602" t="s">
        <v>0</v>
      </c>
      <c r="D46" s="418"/>
      <c r="E46" s="419"/>
      <c r="F46" s="420"/>
      <c r="G46" s="421"/>
      <c r="H46" s="422"/>
      <c r="I46" s="419"/>
      <c r="J46" s="422"/>
      <c r="K46" s="674"/>
      <c r="L46" s="2489"/>
      <c r="M46" s="2482"/>
      <c r="N46" s="2482"/>
      <c r="O46" s="2482"/>
      <c r="P46" s="3466" t="str">
        <f>A46</f>
        <v>成交单价</v>
      </c>
      <c r="Q46" s="3466"/>
      <c r="R46" s="3467">
        <f>E46</f>
        <v>0</v>
      </c>
      <c r="S46" s="3467"/>
      <c r="T46" s="3467">
        <f>G46</f>
        <v>0</v>
      </c>
      <c r="U46" s="3467"/>
      <c r="V46" s="3467">
        <f>I46</f>
        <v>0</v>
      </c>
      <c r="W46" s="3467"/>
      <c r="X46" s="385"/>
      <c r="Y46" s="673"/>
      <c r="Z46" s="385"/>
      <c r="AA46" s="385"/>
      <c r="AB46" s="385"/>
      <c r="AC46" s="385"/>
    </row>
    <row r="47" spans="1:29" ht="15.75" thickBot="1">
      <c r="A47" s="423" t="s">
        <v>1789</v>
      </c>
      <c r="B47" s="603"/>
      <c r="C47" s="426" t="e">
        <f>R48</f>
        <v>#DIV/0!</v>
      </c>
      <c r="D47" s="2135" t="s">
        <v>2131</v>
      </c>
      <c r="E47" s="426" t="e">
        <f>R47</f>
        <v>#DIV/0!</v>
      </c>
      <c r="F47" s="2136"/>
      <c r="G47" s="425" t="e">
        <f>T47</f>
        <v>#DIV/0!</v>
      </c>
      <c r="H47" s="2136"/>
      <c r="I47" s="426" t="e">
        <f>V47</f>
        <v>#DIV/0!</v>
      </c>
      <c r="J47" s="2136"/>
      <c r="K47" s="2138">
        <f>F47+H47+J47</f>
        <v>0</v>
      </c>
      <c r="L47" s="2489"/>
      <c r="M47" s="2482"/>
      <c r="N47" s="2482"/>
      <c r="O47" s="2482"/>
      <c r="P47" s="3466" t="str">
        <f>A47</f>
        <v>比较价值（元/平方米）</v>
      </c>
      <c r="Q47" s="3466"/>
      <c r="R47" s="3549" t="e">
        <f>ROUND(PRODUCT(R46,AA7:AA45),0)</f>
        <v>#DIV/0!</v>
      </c>
      <c r="S47" s="3549"/>
      <c r="T47" s="3549" t="e">
        <f>ROUND(PRODUCT(T46,AB7:AB45),0)</f>
        <v>#DIV/0!</v>
      </c>
      <c r="U47" s="3549"/>
      <c r="V47" s="3549" t="e">
        <f>ROUND(PRODUCT(V46,AC7:AC45),0)</f>
        <v>#DIV/0!</v>
      </c>
      <c r="W47" s="3549"/>
      <c r="X47" s="385"/>
      <c r="Y47" s="385"/>
      <c r="Z47" s="385"/>
      <c r="AA47" s="385"/>
      <c r="AB47" s="385"/>
      <c r="AC47" s="385"/>
    </row>
    <row r="48" spans="1:29" ht="15.75" thickBot="1">
      <c r="A48" s="427" t="s">
        <v>1876</v>
      </c>
      <c r="B48" s="428"/>
      <c r="C48" s="429" t="e">
        <f>R48</f>
        <v>#DIV/0!</v>
      </c>
      <c r="D48" s="429"/>
      <c r="E48" s="429"/>
      <c r="F48" s="429"/>
      <c r="G48" s="429"/>
      <c r="H48" s="429"/>
      <c r="I48" s="429"/>
      <c r="J48" s="429"/>
      <c r="K48" s="675"/>
      <c r="L48" s="2489"/>
      <c r="M48" s="2482"/>
      <c r="N48" s="2482"/>
      <c r="O48" s="2482"/>
      <c r="P48" s="3468" t="str">
        <f>A48</f>
        <v>估价对象XX用房的比较价值（楼面单价，元/平方米）</v>
      </c>
      <c r="Q48" s="3469"/>
      <c r="R48" s="3550" t="e">
        <f>ROUND(IF(D47="简单平均",AVERAGE(R47:W47),R47*F47+T47*H47+V47*J47),0)</f>
        <v>#DIV/0!</v>
      </c>
      <c r="S48" s="3550"/>
      <c r="T48" s="3550"/>
      <c r="U48" s="3550"/>
      <c r="V48" s="3550"/>
      <c r="W48" s="3550"/>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1791</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1792</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1793</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1877</v>
      </c>
      <c r="B55" s="605" t="s">
        <v>1878</v>
      </c>
      <c r="C55" s="1825" t="s">
        <v>1879</v>
      </c>
      <c r="D55" s="1826" t="s">
        <v>1880</v>
      </c>
      <c r="E55" s="606" t="s">
        <v>1881</v>
      </c>
      <c r="F55" s="831" t="s">
        <v>1882</v>
      </c>
      <c r="G55" s="3484" t="s">
        <v>1883</v>
      </c>
      <c r="H55" s="3551"/>
      <c r="I55" s="127" t="s">
        <v>1884</v>
      </c>
      <c r="J55" s="1827">
        <f>项目基本情况!F35</f>
        <v>0</v>
      </c>
      <c r="K55" s="1828" t="s">
        <v>1885</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1886</v>
      </c>
      <c r="B56" s="609" t="e">
        <f>C48</f>
        <v>#DIV/0!</v>
      </c>
      <c r="C56" s="610">
        <v>1</v>
      </c>
      <c r="D56" s="884">
        <v>1</v>
      </c>
      <c r="E56" s="610">
        <f>'数据-汇总表'!E8+'数据-汇总表'!E9</f>
        <v>4179.0200000000004</v>
      </c>
      <c r="F56" s="827" t="e">
        <f t="shared" ref="F56:F64" si="15">ROUND(B56*E56/10000,0)</f>
        <v>#DIV/0!</v>
      </c>
      <c r="G56" s="3480"/>
      <c r="H56" s="3466"/>
      <c r="I56" s="832">
        <v>1</v>
      </c>
      <c r="J56" s="835">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1887</v>
      </c>
      <c r="B57" s="210" t="e">
        <f>ROUND($C$48*C57*D57,0)</f>
        <v>#DIV/0!</v>
      </c>
      <c r="C57" s="163">
        <f t="shared" ref="C57:C64" si="16">IF($C$55="北京市系数",I57,J57)</f>
        <v>0.6</v>
      </c>
      <c r="D57" s="885">
        <v>0.25</v>
      </c>
      <c r="E57" s="614"/>
      <c r="F57" s="827" t="e">
        <f t="shared" si="15"/>
        <v>#DIV/0!</v>
      </c>
      <c r="G57" s="2745" t="s">
        <v>1888</v>
      </c>
      <c r="H57" s="828" t="str">
        <f>项目基本情况!B37</f>
        <v>五级</v>
      </c>
      <c r="I57" s="832">
        <f>SUMIF(修正!A59:A70,H57,修正!B59:B70)</f>
        <v>0.6</v>
      </c>
      <c r="J57" s="836"/>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1889</v>
      </c>
      <c r="B58" s="210" t="e">
        <f t="shared" ref="B58:B64" si="17">ROUND($C$48*C58*D58,0)</f>
        <v>#DIV/0!</v>
      </c>
      <c r="C58" s="163">
        <f t="shared" si="16"/>
        <v>0.3</v>
      </c>
      <c r="D58" s="885">
        <v>0.25</v>
      </c>
      <c r="E58" s="614"/>
      <c r="F58" s="827" t="e">
        <f t="shared" si="15"/>
        <v>#DIV/0!</v>
      </c>
      <c r="G58" s="2746"/>
      <c r="H58" s="828" t="str">
        <f>项目基本情况!B37</f>
        <v>五级</v>
      </c>
      <c r="I58" s="832">
        <f>SUMIF(修正!A59:A70,H58,修正!C59:C70)</f>
        <v>0.3</v>
      </c>
      <c r="J58" s="836"/>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1890</v>
      </c>
      <c r="B59" s="210" t="e">
        <f t="shared" si="17"/>
        <v>#DIV/0!</v>
      </c>
      <c r="C59" s="163">
        <f t="shared" si="16"/>
        <v>0.25</v>
      </c>
      <c r="D59" s="885">
        <v>0.25</v>
      </c>
      <c r="E59" s="614"/>
      <c r="F59" s="827" t="e">
        <f t="shared" si="15"/>
        <v>#DIV/0!</v>
      </c>
      <c r="G59" s="2746"/>
      <c r="H59" s="828" t="str">
        <f>项目基本情况!B37</f>
        <v>五级</v>
      </c>
      <c r="I59" s="832">
        <f>SUMIF(修正!A59:A70,H59,修正!D59:D70)</f>
        <v>0.25</v>
      </c>
      <c r="J59" s="836"/>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1891</v>
      </c>
      <c r="B60" s="210" t="e">
        <f t="shared" si="17"/>
        <v>#DIV/0!</v>
      </c>
      <c r="C60" s="163">
        <f t="shared" si="16"/>
        <v>0</v>
      </c>
      <c r="D60" s="885">
        <v>0.25</v>
      </c>
      <c r="E60" s="209">
        <f>'数据-汇总表'!E11</f>
        <v>0</v>
      </c>
      <c r="F60" s="827" t="e">
        <f t="shared" si="15"/>
        <v>#DIV/0!</v>
      </c>
      <c r="G60" s="1829" t="s">
        <v>1892</v>
      </c>
      <c r="H60" s="828">
        <f>项目基本情况!C37</f>
        <v>0</v>
      </c>
      <c r="I60" s="832">
        <f>SUMIF(修正!A59:A70,H60,修正!E59:E70)</f>
        <v>0</v>
      </c>
      <c r="J60" s="836"/>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1893</v>
      </c>
      <c r="B61" s="210" t="e">
        <f t="shared" si="17"/>
        <v>#DIV/0!</v>
      </c>
      <c r="C61" s="163">
        <f t="shared" si="16"/>
        <v>0</v>
      </c>
      <c r="D61" s="885">
        <v>0.25</v>
      </c>
      <c r="E61" s="209">
        <f>'数据-汇总表'!E12</f>
        <v>0</v>
      </c>
      <c r="F61" s="827" t="e">
        <f t="shared" si="15"/>
        <v>#DIV/0!</v>
      </c>
      <c r="G61" s="833" t="s">
        <v>1894</v>
      </c>
      <c r="H61" s="828">
        <f>IF(G61="商业",项目基本情况!B37,IF(G61="办公",项目基本情况!C37,IF(G61="住宅",项目基本情况!D37,项目基本情况!E37)))</f>
        <v>0</v>
      </c>
      <c r="I61" s="832">
        <f>SUMIF(修正!A59:A70,H61,修正!F59:F70)</f>
        <v>0</v>
      </c>
      <c r="J61" s="836"/>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1895</v>
      </c>
      <c r="B62" s="210" t="e">
        <f t="shared" si="17"/>
        <v>#DIV/0!</v>
      </c>
      <c r="C62" s="163">
        <f t="shared" si="16"/>
        <v>0</v>
      </c>
      <c r="D62" s="885">
        <v>0.25</v>
      </c>
      <c r="E62" s="209">
        <f>'数据-汇总表'!E13</f>
        <v>0</v>
      </c>
      <c r="F62" s="827" t="e">
        <f t="shared" si="15"/>
        <v>#DIV/0!</v>
      </c>
      <c r="G62" s="833" t="s">
        <v>1896</v>
      </c>
      <c r="H62" s="828">
        <f>IF(G62="商业",项目基本情况!B37,IF(G62="办公",项目基本情况!C37,IF(G62="住宅",项目基本情况!D37,项目基本情况!E37)))</f>
        <v>0</v>
      </c>
      <c r="I62" s="832">
        <f>SUMIF(修正!A59:A70,H62,修正!G59:G70)</f>
        <v>0</v>
      </c>
      <c r="J62" s="836"/>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1897</v>
      </c>
      <c r="B63" s="210" t="e">
        <f t="shared" si="17"/>
        <v>#DIV/0!</v>
      </c>
      <c r="C63" s="163">
        <f t="shared" si="16"/>
        <v>0.15</v>
      </c>
      <c r="D63" s="885">
        <v>0.25</v>
      </c>
      <c r="E63" s="209">
        <f>'数据-汇总表'!E14</f>
        <v>0</v>
      </c>
      <c r="F63" s="827" t="e">
        <f t="shared" si="15"/>
        <v>#DIV/0!</v>
      </c>
      <c r="G63" s="1829" t="s">
        <v>1888</v>
      </c>
      <c r="H63" s="828" t="str">
        <f>项目基本情况!B37</f>
        <v>五级</v>
      </c>
      <c r="I63" s="832">
        <f>SUMIF(修正!A59:A70,H63,修正!G59:G70)</f>
        <v>0.15</v>
      </c>
      <c r="J63" s="836"/>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1898</v>
      </c>
      <c r="B64" s="210" t="e">
        <f t="shared" si="17"/>
        <v>#DIV/0!</v>
      </c>
      <c r="C64" s="163">
        <f t="shared" si="16"/>
        <v>0</v>
      </c>
      <c r="D64" s="885">
        <v>0.25</v>
      </c>
      <c r="E64" s="209">
        <f>'数据-汇总表'!E15</f>
        <v>0</v>
      </c>
      <c r="F64" s="827" t="e">
        <f t="shared" si="15"/>
        <v>#DIV/0!</v>
      </c>
      <c r="G64" s="1830" t="s">
        <v>1892</v>
      </c>
      <c r="H64" s="838">
        <f>项目基本情况!C37</f>
        <v>0</v>
      </c>
      <c r="I64" s="834">
        <f>SUMIF(修正!A59:A70,H64,修正!G59:G70)</f>
        <v>0</v>
      </c>
      <c r="J64" s="837"/>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1899</v>
      </c>
      <c r="B65" s="616" t="s">
        <v>22</v>
      </c>
      <c r="C65" s="616" t="s">
        <v>23</v>
      </c>
      <c r="D65" s="616" t="s">
        <v>392</v>
      </c>
      <c r="E65" s="616">
        <f>IF(B46="楼面地价",SUM(E56:E64),'数据-汇总表'!D3)</f>
        <v>4179.0200000000004</v>
      </c>
      <c r="F65" s="617" t="e">
        <f>IF(B46="楼面地价",SUM(F56:F64),ROUND(C48*E65/10000,0))</f>
        <v>#DIV/0!</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55"/>
      <c r="K66" s="829"/>
      <c r="L66" s="830"/>
      <c r="M66" s="855"/>
      <c r="N66" s="855"/>
      <c r="O66" s="855"/>
      <c r="P66" s="2482"/>
      <c r="Q66" s="2482"/>
      <c r="R66" s="2482"/>
      <c r="S66" s="2482"/>
      <c r="T66" s="2482"/>
      <c r="U66" s="2482"/>
      <c r="V66" s="2482"/>
      <c r="W66" s="2482"/>
      <c r="X66" s="2482"/>
      <c r="Y66" s="2482"/>
      <c r="Z66" s="2482"/>
      <c r="AA66" s="2482"/>
      <c r="AB66" s="2482"/>
      <c r="AC66" s="2482"/>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2"/>
      <c r="Q67" s="2482"/>
      <c r="R67" s="2482"/>
      <c r="S67" s="2482"/>
      <c r="T67" s="2482"/>
      <c r="U67" s="2482"/>
      <c r="V67" s="2482"/>
      <c r="W67" s="2482"/>
      <c r="X67" s="2482"/>
      <c r="Y67" s="2482"/>
      <c r="Z67" s="2482"/>
      <c r="AA67" s="2482"/>
      <c r="AB67" s="2482"/>
      <c r="AC67" s="2482"/>
    </row>
    <row r="68" spans="1:29" ht="21.75" thickBot="1">
      <c r="A68" s="658" t="s">
        <v>1794</v>
      </c>
      <c r="B68" s="385"/>
      <c r="C68" s="659"/>
      <c r="D68" s="659"/>
      <c r="E68" s="659"/>
      <c r="F68" s="660"/>
      <c r="G68" s="660"/>
      <c r="H68" s="659"/>
      <c r="I68" s="659"/>
      <c r="J68" s="880"/>
      <c r="K68" s="881"/>
      <c r="L68" s="882"/>
      <c r="M68" s="880"/>
      <c r="N68" s="2532"/>
      <c r="O68" s="2532"/>
      <c r="P68" s="2532"/>
      <c r="Q68" s="2503"/>
      <c r="R68" s="2482"/>
      <c r="S68" s="2482"/>
      <c r="T68" s="2482"/>
      <c r="U68" s="2482"/>
      <c r="V68" s="2482"/>
      <c r="W68" s="2482"/>
      <c r="X68" s="2482"/>
      <c r="Y68" s="2482"/>
      <c r="Z68" s="2482"/>
      <c r="AA68" s="2482"/>
      <c r="AB68" s="2482"/>
      <c r="AC68" s="2482"/>
    </row>
    <row r="69" spans="1:29" s="442" customFormat="1" ht="15">
      <c r="A69" s="1624" t="s">
        <v>1900</v>
      </c>
      <c r="B69" s="1040"/>
      <c r="C69" s="1095" t="str">
        <f>YEAR(C67)&amp;"-"&amp;ROUNDUP(MONTH(C67)/3,0)</f>
        <v>2025-3</v>
      </c>
      <c r="D69" s="1095" t="str">
        <f>YEAR(D67)&amp;"-"&amp;ROUNDUP(MONTH(D67)/3,0)</f>
        <v>2025-2</v>
      </c>
      <c r="E69" s="1095" t="str">
        <f t="shared" ref="E69:O69" si="19">YEAR(E67)&amp;"-"&amp;ROUNDUP(MONTH(E67)/3,0)</f>
        <v>2025-1</v>
      </c>
      <c r="F69" s="1095" t="str">
        <f t="shared" si="19"/>
        <v>2024-4</v>
      </c>
      <c r="G69" s="1095" t="str">
        <f t="shared" si="19"/>
        <v>2024-3</v>
      </c>
      <c r="H69" s="1095" t="str">
        <f t="shared" si="19"/>
        <v>2024-2</v>
      </c>
      <c r="I69" s="1095" t="str">
        <f t="shared" si="19"/>
        <v>2024-1</v>
      </c>
      <c r="J69" s="1095" t="str">
        <f t="shared" si="19"/>
        <v>2023-4</v>
      </c>
      <c r="K69" s="1095" t="str">
        <f t="shared" si="19"/>
        <v>2023-3</v>
      </c>
      <c r="L69" s="1095" t="str">
        <f t="shared" si="19"/>
        <v>2023-2</v>
      </c>
      <c r="M69" s="1095" t="str">
        <f t="shared" si="19"/>
        <v>2023-1</v>
      </c>
      <c r="N69" s="1095" t="str">
        <f t="shared" si="19"/>
        <v>2022-4</v>
      </c>
      <c r="O69" s="1095" t="str">
        <f t="shared" si="19"/>
        <v>2022-3</v>
      </c>
      <c r="P69" s="2505"/>
      <c r="Q69" s="2505"/>
      <c r="R69" s="2505"/>
      <c r="S69" s="2505"/>
      <c r="T69" s="2505"/>
      <c r="U69" s="2505"/>
      <c r="V69" s="2505"/>
      <c r="W69" s="2505"/>
      <c r="X69" s="2505"/>
      <c r="Y69" s="2505"/>
      <c r="Z69" s="2505"/>
      <c r="AA69" s="2505"/>
      <c r="AB69" s="2505"/>
      <c r="AC69" s="2505"/>
    </row>
    <row r="70" spans="1:29" s="102" customFormat="1" ht="30" customHeight="1">
      <c r="A70" s="1831" t="s">
        <v>1901</v>
      </c>
      <c r="B70" s="280" t="str">
        <f>"北京市平均增长率"&amp;TEXT(SUMIF(基准地价修正!N25:N29,A70,基准地价修正!P25:P29),"0.00%")</f>
        <v>北京市平均增长率0.00%</v>
      </c>
      <c r="C70" s="530">
        <v>100</v>
      </c>
      <c r="D70" s="6"/>
      <c r="E70" s="6"/>
      <c r="F70" s="6"/>
      <c r="G70" s="6"/>
      <c r="H70" s="6"/>
      <c r="I70" s="6"/>
      <c r="J70" s="6"/>
      <c r="K70" s="6"/>
      <c r="L70" s="6"/>
      <c r="M70" s="1060"/>
      <c r="N70" s="6"/>
      <c r="O70" s="1092"/>
      <c r="P70" s="2503"/>
      <c r="Q70" s="2434"/>
      <c r="R70" s="2434"/>
      <c r="S70" s="2434"/>
      <c r="T70" s="2434"/>
      <c r="U70" s="2434"/>
      <c r="V70" s="2434"/>
      <c r="W70" s="2434"/>
      <c r="X70" s="2434"/>
      <c r="Y70" s="2434"/>
      <c r="Z70" s="2434"/>
      <c r="AA70" s="2434"/>
      <c r="AB70" s="2434"/>
      <c r="AC70" s="2434"/>
    </row>
    <row r="71" spans="1:29" s="102" customFormat="1" ht="15.75" thickBot="1">
      <c r="A71" s="449" t="s">
        <v>1712</v>
      </c>
      <c r="B71" s="450"/>
      <c r="C71" s="451"/>
      <c r="D71" s="452"/>
      <c r="E71" s="452"/>
      <c r="F71" s="452"/>
      <c r="G71" s="452"/>
      <c r="H71" s="452"/>
      <c r="I71" s="452"/>
      <c r="J71" s="452"/>
      <c r="K71" s="452"/>
      <c r="L71" s="452"/>
      <c r="M71" s="453"/>
      <c r="N71" s="452"/>
      <c r="O71" s="883"/>
      <c r="P71" s="2503"/>
      <c r="Q71" s="2503"/>
      <c r="R71" s="2434"/>
      <c r="S71" s="2434"/>
      <c r="T71" s="2434"/>
      <c r="U71" s="2434"/>
      <c r="V71" s="2434"/>
      <c r="W71" s="2434"/>
      <c r="X71" s="2434"/>
      <c r="Y71" s="2434"/>
      <c r="Z71" s="2434"/>
      <c r="AA71" s="2434"/>
      <c r="AB71" s="2434"/>
      <c r="AC71" s="2434"/>
    </row>
    <row r="72" spans="1:29" s="102" customFormat="1" ht="15">
      <c r="A72" s="455" t="s">
        <v>1677</v>
      </c>
      <c r="B72" s="444"/>
      <c r="C72" s="456" t="s">
        <v>1772</v>
      </c>
      <c r="D72" s="31"/>
      <c r="E72" s="31"/>
      <c r="F72" s="31"/>
      <c r="G72" s="31"/>
      <c r="H72" s="31"/>
      <c r="I72" s="31"/>
      <c r="J72" s="31"/>
      <c r="K72" s="31"/>
      <c r="L72" s="457"/>
      <c r="M72" s="458"/>
      <c r="N72" s="2515"/>
      <c r="O72" s="2515"/>
      <c r="P72" s="2539"/>
      <c r="Q72" s="2503"/>
      <c r="R72" s="2434"/>
      <c r="S72" s="2434"/>
      <c r="T72" s="2434"/>
      <c r="U72" s="2434"/>
      <c r="V72" s="2434"/>
      <c r="W72" s="2434"/>
      <c r="X72" s="2434"/>
      <c r="Y72" s="2434"/>
      <c r="Z72" s="2434"/>
      <c r="AA72" s="2434"/>
      <c r="AB72" s="2434"/>
      <c r="AC72" s="2434"/>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4"/>
      <c r="S73" s="2434"/>
      <c r="T73" s="2434"/>
      <c r="U73" s="2434"/>
      <c r="V73" s="2434"/>
      <c r="W73" s="2434"/>
      <c r="X73" s="2434"/>
      <c r="Y73" s="2434"/>
      <c r="Z73" s="2434"/>
      <c r="AA73" s="2434"/>
      <c r="AB73" s="2434"/>
      <c r="AC73" s="2434"/>
    </row>
    <row r="74" spans="1:29">
      <c r="A74" s="379" t="s">
        <v>1715</v>
      </c>
      <c r="B74" s="460" t="s">
        <v>1681</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1684</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1685</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1686</v>
      </c>
      <c r="B87" s="460" t="s">
        <v>1716</v>
      </c>
      <c r="C87" s="504" t="s">
        <v>1717</v>
      </c>
      <c r="D87" s="504" t="s">
        <v>1718</v>
      </c>
      <c r="E87" s="504" t="s">
        <v>1719</v>
      </c>
      <c r="F87" s="504" t="s">
        <v>1720</v>
      </c>
      <c r="G87" s="504" t="s">
        <v>1721</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1902</v>
      </c>
      <c r="C89" s="509" t="s">
        <v>1717</v>
      </c>
      <c r="D89" s="509" t="s">
        <v>1718</v>
      </c>
      <c r="E89" s="509" t="s">
        <v>1719</v>
      </c>
      <c r="F89" s="509" t="s">
        <v>1720</v>
      </c>
      <c r="G89" s="509" t="s">
        <v>1721</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1817</v>
      </c>
      <c r="C91" s="509" t="s">
        <v>1717</v>
      </c>
      <c r="D91" s="509" t="s">
        <v>1718</v>
      </c>
      <c r="E91" s="509" t="s">
        <v>1719</v>
      </c>
      <c r="F91" s="509" t="s">
        <v>1720</v>
      </c>
      <c r="G91" s="509" t="s">
        <v>1721</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1722</v>
      </c>
      <c r="C93" s="509" t="s">
        <v>1717</v>
      </c>
      <c r="D93" s="509" t="s">
        <v>1718</v>
      </c>
      <c r="E93" s="509" t="s">
        <v>1719</v>
      </c>
      <c r="F93" s="509" t="s">
        <v>1720</v>
      </c>
      <c r="G93" s="509" t="s">
        <v>1721</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1903</v>
      </c>
      <c r="C95" s="509" t="s">
        <v>1717</v>
      </c>
      <c r="D95" s="509" t="s">
        <v>1718</v>
      </c>
      <c r="E95" s="509" t="s">
        <v>1719</v>
      </c>
      <c r="F95" s="509" t="s">
        <v>1720</v>
      </c>
      <c r="G95" s="509" t="s">
        <v>1721</v>
      </c>
      <c r="H95" s="509"/>
      <c r="I95" s="509"/>
      <c r="J95" s="509"/>
      <c r="K95" s="509"/>
      <c r="L95" s="618"/>
      <c r="M95" s="547"/>
      <c r="N95" s="2515"/>
      <c r="O95" s="2515"/>
      <c r="P95" s="2515"/>
      <c r="Q95" s="2503"/>
      <c r="R95" s="2434"/>
      <c r="S95" s="2434"/>
      <c r="T95" s="2434"/>
      <c r="U95" s="2434"/>
      <c r="V95" s="2434"/>
      <c r="W95" s="2434"/>
      <c r="X95" s="2434"/>
      <c r="Y95" s="2434"/>
      <c r="Z95" s="2434"/>
      <c r="AA95" s="2434"/>
      <c r="AB95" s="2434"/>
      <c r="AC95" s="2434"/>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4"/>
      <c r="S96" s="2434"/>
      <c r="T96" s="2434"/>
      <c r="U96" s="2434"/>
      <c r="V96" s="2434"/>
      <c r="W96" s="2434"/>
      <c r="X96" s="2434"/>
      <c r="Y96" s="2434"/>
      <c r="Z96" s="2434"/>
      <c r="AA96" s="2434"/>
      <c r="AB96" s="2434"/>
      <c r="AC96" s="2434"/>
    </row>
    <row r="97" spans="1:29" s="102" customFormat="1" ht="27.75" thickTop="1">
      <c r="A97" s="370"/>
      <c r="B97" s="469" t="s">
        <v>1904</v>
      </c>
      <c r="C97" s="504" t="s">
        <v>1717</v>
      </c>
      <c r="D97" s="504" t="s">
        <v>1718</v>
      </c>
      <c r="E97" s="504" t="s">
        <v>1719</v>
      </c>
      <c r="F97" s="504" t="s">
        <v>1720</v>
      </c>
      <c r="G97" s="504" t="s">
        <v>1721</v>
      </c>
      <c r="H97" s="509"/>
      <c r="I97" s="509"/>
      <c r="J97" s="509"/>
      <c r="K97" s="509"/>
      <c r="L97" s="509"/>
      <c r="M97" s="547"/>
      <c r="N97" s="2515"/>
      <c r="O97" s="2515"/>
      <c r="P97" s="2515"/>
      <c r="Q97" s="2503"/>
      <c r="R97" s="2434"/>
      <c r="S97" s="2434"/>
      <c r="T97" s="2434"/>
      <c r="U97" s="2434"/>
      <c r="V97" s="2434"/>
      <c r="W97" s="2434"/>
      <c r="X97" s="2434"/>
      <c r="Y97" s="2434"/>
      <c r="Z97" s="2434"/>
      <c r="AA97" s="2434"/>
      <c r="AB97" s="2434"/>
      <c r="AC97" s="2434"/>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4"/>
      <c r="S98" s="2434"/>
      <c r="T98" s="2434"/>
      <c r="U98" s="2434"/>
      <c r="V98" s="2434"/>
      <c r="W98" s="2434"/>
      <c r="X98" s="2434"/>
      <c r="Y98" s="2434"/>
      <c r="Z98" s="2434"/>
      <c r="AA98" s="2434"/>
      <c r="AB98" s="2434"/>
      <c r="AC98" s="2434"/>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1775</v>
      </c>
      <c r="C101" s="581" t="s">
        <v>1795</v>
      </c>
      <c r="D101" s="581" t="s">
        <v>1796</v>
      </c>
      <c r="E101" s="581" t="s">
        <v>1797</v>
      </c>
      <c r="F101" s="581" t="s">
        <v>1798</v>
      </c>
      <c r="G101" s="581" t="s">
        <v>1799</v>
      </c>
      <c r="H101" s="527"/>
      <c r="I101" s="527"/>
      <c r="J101" s="527"/>
      <c r="K101" s="527"/>
      <c r="L101" s="527"/>
      <c r="M101" s="1059"/>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59"/>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1811</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1869</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c r="A115" s="379" t="s">
        <v>1690</v>
      </c>
      <c r="B115" s="460" t="s">
        <v>1909</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1910</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1911</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1912</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1913</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904</v>
      </c>
    </row>
    <row r="2" spans="1:5" ht="78" customHeight="1">
      <c r="A2" s="32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2"/>
      <c r="C2" s="3262"/>
      <c r="D2" s="3262"/>
      <c r="E2" s="3262"/>
    </row>
    <row r="3" spans="1:5" ht="18">
      <c r="A3" s="3263" t="str">
        <f>IF(项目基本情况!B9="房地产市场价值","估价结果一览表（市场价值不需“结果表-1”）","估价结果一览表")</f>
        <v>估价结果一览表</v>
      </c>
      <c r="B3" s="3263"/>
      <c r="C3" s="3263"/>
      <c r="D3" s="3263"/>
      <c r="E3" s="3263"/>
    </row>
    <row r="4" spans="1:5" ht="19.5" thickBot="1">
      <c r="A4" s="1385"/>
      <c r="B4" s="3261" t="s">
        <v>913</v>
      </c>
      <c r="C4" s="3261"/>
      <c r="D4" s="3261"/>
      <c r="E4" s="1385"/>
    </row>
    <row r="5" spans="1:5" ht="16.5" thickTop="1">
      <c r="B5" s="3259" t="s">
        <v>905</v>
      </c>
      <c r="C5" s="1386" t="s">
        <v>906</v>
      </c>
      <c r="D5" s="791">
        <f ca="1">'结果表-203'!H101</f>
        <v>3448</v>
      </c>
    </row>
    <row r="6" spans="1:5" ht="15.75">
      <c r="B6" s="3259"/>
      <c r="C6" s="1386" t="s">
        <v>907</v>
      </c>
      <c r="D6" s="791" t="str">
        <f ca="1">NUMBERSTRING(INT(D5*10000),2)&amp;"元整"</f>
        <v>叁仟肆佰肆拾捌万元整</v>
      </c>
    </row>
    <row r="7" spans="1:5" ht="15.75">
      <c r="B7" s="3264"/>
      <c r="C7" s="1387" t="s">
        <v>908</v>
      </c>
      <c r="D7" s="792">
        <f ca="1">'结果表-203'!H102</f>
        <v>21439</v>
      </c>
    </row>
    <row r="8" spans="1:5" ht="15.75">
      <c r="B8" s="3265" t="str">
        <f>'结果表-203'!E103</f>
        <v>2.估价师知悉的法定优先受偿款</v>
      </c>
      <c r="C8" s="1388" t="s">
        <v>909</v>
      </c>
      <c r="D8" s="792">
        <f>'结果表-203'!H103</f>
        <v>0</v>
      </c>
    </row>
    <row r="9" spans="1:5" ht="15.75">
      <c r="B9" s="3267"/>
      <c r="C9" s="1386" t="s">
        <v>907</v>
      </c>
      <c r="D9" s="791" t="str">
        <f>NUMBERSTRING(INT(D8*10000),2)&amp;"元整"</f>
        <v>零元整</v>
      </c>
    </row>
    <row r="10" spans="1:5" ht="15">
      <c r="B10" s="1389" t="s">
        <v>912</v>
      </c>
      <c r="C10" s="1390" t="s">
        <v>910</v>
      </c>
      <c r="D10" s="793">
        <f>'结果表-203'!H104</f>
        <v>0</v>
      </c>
    </row>
    <row r="11" spans="1:5" ht="15">
      <c r="B11" s="1389" t="s">
        <v>914</v>
      </c>
      <c r="C11" s="1390" t="s">
        <v>915</v>
      </c>
      <c r="D11" s="793">
        <f>'结果表-203'!H105</f>
        <v>0</v>
      </c>
    </row>
    <row r="12" spans="1:5" ht="15">
      <c r="B12" s="1389" t="s">
        <v>916</v>
      </c>
      <c r="C12" s="1390" t="s">
        <v>915</v>
      </c>
      <c r="D12" s="793">
        <f>'结果表-203'!H106</f>
        <v>0</v>
      </c>
    </row>
    <row r="13" spans="1:5" ht="15.75">
      <c r="B13" s="3258" t="str">
        <f>'结果表-203'!E107</f>
        <v>3.房地产抵押价值</v>
      </c>
      <c r="C13" s="1391" t="s">
        <v>906</v>
      </c>
      <c r="D13" s="794">
        <f ca="1">'结果表-203'!H107</f>
        <v>3448</v>
      </c>
    </row>
    <row r="14" spans="1:5" ht="15.75">
      <c r="B14" s="3259"/>
      <c r="C14" s="1386" t="s">
        <v>907</v>
      </c>
      <c r="D14" s="791" t="str">
        <f ca="1">NUMBERSTRING(INT(D13*10000),2)&amp;"元整"</f>
        <v>叁仟肆佰肆拾捌万元整</v>
      </c>
    </row>
    <row r="15" spans="1:5" ht="15">
      <c r="B15" s="3264"/>
      <c r="C15" s="1387" t="s">
        <v>917</v>
      </c>
      <c r="D15" s="800">
        <f ca="1">'结果表-203'!H108</f>
        <v>21439</v>
      </c>
    </row>
    <row r="16" spans="1:5" ht="15">
      <c r="B16" s="3265" t="str">
        <f>'结果表-203'!E109</f>
        <v>——</v>
      </c>
      <c r="C16" s="1391" t="s">
        <v>918</v>
      </c>
      <c r="D16" s="1392" t="str">
        <f>'结果表-203'!H109</f>
        <v>——</v>
      </c>
    </row>
    <row r="17" spans="1:5" ht="15.75">
      <c r="B17" s="3266"/>
      <c r="C17" s="1386" t="s">
        <v>919</v>
      </c>
      <c r="D17" s="791" t="e">
        <f>NUMBERSTRING(INT(D16*10000),2)&amp;"元整"</f>
        <v>#VALUE!</v>
      </c>
    </row>
    <row r="18" spans="1:5" ht="15">
      <c r="B18" s="3267"/>
      <c r="C18" s="1387" t="s">
        <v>908</v>
      </c>
      <c r="D18" s="800" t="str">
        <f>'结果表-203'!H110</f>
        <v>——</v>
      </c>
    </row>
    <row r="19" spans="1:5" ht="15.75">
      <c r="B19" s="3258" t="str">
        <f>'结果表-203'!E111</f>
        <v>4.抵押净值</v>
      </c>
      <c r="C19" s="1391" t="s">
        <v>906</v>
      </c>
      <c r="D19" s="792">
        <f ca="1">'结果表-203'!H111</f>
        <v>3446</v>
      </c>
    </row>
    <row r="20" spans="1:5" ht="15.75">
      <c r="B20" s="3259"/>
      <c r="C20" s="1386" t="s">
        <v>919</v>
      </c>
      <c r="D20" s="791" t="str">
        <f ca="1">NUMBERSTRING(INT(D19*10000),2)&amp;"元整"</f>
        <v>叁仟肆佰肆拾陆万元整</v>
      </c>
    </row>
    <row r="21" spans="1:5" ht="15.75" thickBot="1">
      <c r="B21" s="3260"/>
      <c r="C21" s="1393" t="s">
        <v>917</v>
      </c>
      <c r="D21" s="801">
        <f ca="1">'结果表-203'!H112</f>
        <v>8246</v>
      </c>
    </row>
    <row r="22" spans="1:5" ht="15" thickTop="1">
      <c r="B22" s="1394" t="s">
        <v>920</v>
      </c>
    </row>
    <row r="24" spans="1:5" ht="18.75">
      <c r="A24" s="1395"/>
      <c r="B24" s="1396" t="s">
        <v>911</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F61</f>
        <v>#DIV/0!</v>
      </c>
      <c r="C2" s="849"/>
      <c r="D2" s="849"/>
      <c r="E2" s="849"/>
      <c r="F2" s="850"/>
      <c r="G2" s="849"/>
      <c r="H2" s="849"/>
      <c r="I2" s="849"/>
      <c r="J2" s="849"/>
      <c r="K2" s="851"/>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05"/>
      <c r="E3" s="849"/>
      <c r="F3" s="850"/>
      <c r="G3" s="849"/>
      <c r="H3" s="849"/>
      <c r="I3" s="849"/>
      <c r="J3" s="849"/>
      <c r="K3" s="851"/>
      <c r="L3" s="2498"/>
      <c r="M3" s="2499"/>
      <c r="N3" s="2499"/>
      <c r="O3" s="2499"/>
      <c r="P3" s="341"/>
      <c r="Q3" s="341"/>
      <c r="R3" s="341"/>
      <c r="S3" s="341"/>
      <c r="T3" s="341"/>
      <c r="U3" s="341"/>
      <c r="V3" s="341"/>
      <c r="W3" s="341"/>
      <c r="X3" s="341"/>
      <c r="Y3" s="341"/>
      <c r="Z3" s="341"/>
      <c r="AA3" s="341"/>
      <c r="AB3" s="676"/>
      <c r="AC3" s="663"/>
    </row>
    <row r="4" spans="1:29" ht="15">
      <c r="A4" s="345" t="s">
        <v>1765</v>
      </c>
      <c r="B4" s="346"/>
      <c r="C4" s="3484" t="s">
        <v>1766</v>
      </c>
      <c r="D4" s="3485"/>
      <c r="E4" s="3486" t="s">
        <v>1767</v>
      </c>
      <c r="F4" s="3487"/>
      <c r="G4" s="3484" t="s">
        <v>1768</v>
      </c>
      <c r="H4" s="3485"/>
      <c r="I4" s="3484" t="s">
        <v>1769</v>
      </c>
      <c r="J4" s="3485"/>
      <c r="K4" s="537" t="s">
        <v>1770</v>
      </c>
      <c r="L4" s="2481"/>
      <c r="M4" s="2482"/>
      <c r="N4" s="2482"/>
      <c r="O4" s="2482"/>
      <c r="P4" s="3488" t="s">
        <v>1771</v>
      </c>
      <c r="Q4" s="3489"/>
      <c r="R4" s="3494" t="s">
        <v>1767</v>
      </c>
      <c r="S4" s="3495"/>
      <c r="T4" s="3494" t="s">
        <v>1768</v>
      </c>
      <c r="U4" s="3495"/>
      <c r="V4" s="3467" t="s">
        <v>1769</v>
      </c>
      <c r="W4" s="3467"/>
      <c r="X4" s="1259"/>
      <c r="Y4" s="3494" t="s">
        <v>1771</v>
      </c>
      <c r="Z4" s="3495"/>
      <c r="AA4" s="3481" t="s">
        <v>1767</v>
      </c>
      <c r="AB4" s="3482" t="s">
        <v>1768</v>
      </c>
      <c r="AC4" s="3481" t="s">
        <v>1769</v>
      </c>
    </row>
    <row r="5" spans="1:29" ht="15">
      <c r="A5" s="348"/>
      <c r="B5" s="349"/>
      <c r="C5" s="3502" t="s">
        <v>1669</v>
      </c>
      <c r="D5" s="3503"/>
      <c r="E5" s="3509" t="s">
        <v>1670</v>
      </c>
      <c r="F5" s="3510"/>
      <c r="G5" s="3502" t="s">
        <v>1671</v>
      </c>
      <c r="H5" s="3503"/>
      <c r="I5" s="3502" t="s">
        <v>1672</v>
      </c>
      <c r="J5" s="3503"/>
      <c r="K5" s="537"/>
      <c r="L5" s="2481"/>
      <c r="M5" s="2482"/>
      <c r="N5" s="2482"/>
      <c r="O5" s="2482"/>
      <c r="P5" s="3490"/>
      <c r="Q5" s="3491"/>
      <c r="R5" s="3496"/>
      <c r="S5" s="3497"/>
      <c r="T5" s="3496"/>
      <c r="U5" s="3497"/>
      <c r="V5" s="3467"/>
      <c r="W5" s="3467"/>
      <c r="X5" s="1259"/>
      <c r="Y5" s="3496"/>
      <c r="Z5" s="3497"/>
      <c r="AA5" s="3482"/>
      <c r="AB5" s="3482"/>
      <c r="AC5" s="3482"/>
    </row>
    <row r="6" spans="1:29" ht="15.75" thickBot="1">
      <c r="A6" s="350"/>
      <c r="B6" s="351"/>
      <c r="C6" s="3552" t="s">
        <v>1915</v>
      </c>
      <c r="D6" s="3553"/>
      <c r="E6" s="3554" t="s">
        <v>1915</v>
      </c>
      <c r="F6" s="3555"/>
      <c r="G6" s="3552" t="s">
        <v>1915</v>
      </c>
      <c r="H6" s="3553"/>
      <c r="I6" s="3552" t="s">
        <v>1915</v>
      </c>
      <c r="J6" s="3553"/>
      <c r="K6" s="537" t="s">
        <v>1674</v>
      </c>
      <c r="L6" s="2481"/>
      <c r="M6" s="2482"/>
      <c r="N6" s="2482"/>
      <c r="O6" s="2482"/>
      <c r="P6" s="3492"/>
      <c r="Q6" s="3493"/>
      <c r="R6" s="3496"/>
      <c r="S6" s="3497"/>
      <c r="T6" s="3498"/>
      <c r="U6" s="3499"/>
      <c r="V6" s="3467"/>
      <c r="W6" s="3467"/>
      <c r="X6" s="1259"/>
      <c r="Y6" s="3498"/>
      <c r="Z6" s="3499"/>
      <c r="AA6" s="3483"/>
      <c r="AB6" s="3483"/>
      <c r="AC6" s="3483"/>
    </row>
    <row r="7" spans="1:29" s="102" customFormat="1" ht="15.75" thickBot="1">
      <c r="A7" s="352" t="s">
        <v>1675</v>
      </c>
      <c r="B7" s="353"/>
      <c r="C7" s="354">
        <f>'数据-取费表'!B2</f>
        <v>45873</v>
      </c>
      <c r="D7" s="355">
        <v>100</v>
      </c>
      <c r="E7" s="356"/>
      <c r="F7" s="357">
        <f>SUMIF(65:65,YEAR(E7)&amp;"-"&amp;INT((MONTH(E7)+2)/3),66:66)</f>
        <v>0</v>
      </c>
      <c r="G7" s="1816"/>
      <c r="H7" s="355">
        <f>SUMIF(65:65,YEAR(G7)&amp;"-"&amp;INT((MONTH(G7)+2)/3),66:66)</f>
        <v>0</v>
      </c>
      <c r="I7" s="1816"/>
      <c r="J7" s="355">
        <f>SUMIF(65:65,YEAR(I7)&amp;"-"&amp;INT((MONTH(I7)+2)/3),66:66)</f>
        <v>0</v>
      </c>
      <c r="K7" s="38"/>
      <c r="L7" s="2483"/>
      <c r="M7" s="2434"/>
      <c r="N7" s="2434"/>
      <c r="O7" s="2434"/>
      <c r="P7" s="3504" t="s">
        <v>1676</v>
      </c>
      <c r="Q7" s="3506"/>
      <c r="R7" s="664" t="s">
        <v>14</v>
      </c>
      <c r="S7" s="665">
        <f t="shared" ref="S7:S15" si="0">F7</f>
        <v>0</v>
      </c>
      <c r="T7" s="664" t="s">
        <v>14</v>
      </c>
      <c r="U7" s="665">
        <f t="shared" ref="U7:U15" si="1">H7</f>
        <v>0</v>
      </c>
      <c r="V7" s="664" t="s">
        <v>14</v>
      </c>
      <c r="W7" s="665">
        <f t="shared" ref="W7:W15" si="2">J7</f>
        <v>0</v>
      </c>
      <c r="X7" s="666"/>
      <c r="Y7" s="3504" t="s">
        <v>1676</v>
      </c>
      <c r="Z7" s="3505"/>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3"/>
      <c r="M8" s="2434"/>
      <c r="N8" s="2434"/>
      <c r="O8" s="2434"/>
      <c r="P8" s="3504" t="s">
        <v>1679</v>
      </c>
      <c r="Q8" s="3505"/>
      <c r="R8" s="664" t="s">
        <v>14</v>
      </c>
      <c r="S8" s="665">
        <f t="shared" si="0"/>
        <v>0</v>
      </c>
      <c r="T8" s="664" t="s">
        <v>14</v>
      </c>
      <c r="U8" s="665">
        <f t="shared" si="1"/>
        <v>0</v>
      </c>
      <c r="V8" s="664" t="s">
        <v>14</v>
      </c>
      <c r="W8" s="665">
        <f t="shared" si="2"/>
        <v>0</v>
      </c>
      <c r="X8" s="666"/>
      <c r="Y8" s="3504" t="s">
        <v>1679</v>
      </c>
      <c r="Z8" s="3505"/>
      <c r="AA8" s="50" t="e">
        <f t="shared" ref="AA8:AA40" si="3">D8/F8</f>
        <v>#DIV/0!</v>
      </c>
      <c r="AB8" s="50" t="e">
        <f t="shared" ref="AB8:AB40" si="4">D8/H8</f>
        <v>#DIV/0!</v>
      </c>
      <c r="AC8" s="50" t="e">
        <f t="shared" ref="AC8:AC40" si="5">D8/J8</f>
        <v>#DIV/0!</v>
      </c>
    </row>
    <row r="9" spans="1:29" s="102" customFormat="1">
      <c r="A9" s="359" t="s">
        <v>1680</v>
      </c>
      <c r="B9" s="60" t="s">
        <v>1681</v>
      </c>
      <c r="C9" s="1819"/>
      <c r="D9" s="59">
        <v>100</v>
      </c>
      <c r="E9" s="1819"/>
      <c r="F9" s="59">
        <f>SUMIF(70:70,E9,71:71)-SUMIF(70:70,C9,71:71)+100</f>
        <v>100</v>
      </c>
      <c r="G9" s="1819"/>
      <c r="H9" s="59">
        <f>SUMIF(70:70,G9,71:71)-SUMIF(70:70,C9,71:71)+100</f>
        <v>100</v>
      </c>
      <c r="I9" s="1819"/>
      <c r="J9" s="59">
        <f>SUMIF(70:70,I9,71:71)-SUMIF(70:70,C9,71:71)+100</f>
        <v>100</v>
      </c>
      <c r="K9" s="38"/>
      <c r="L9" s="2483"/>
      <c r="M9" s="2434"/>
      <c r="N9" s="2434"/>
      <c r="O9" s="2535"/>
      <c r="P9" s="3466" t="s">
        <v>1682</v>
      </c>
      <c r="Q9" s="530" t="str">
        <f t="shared" ref="Q9:Q15" si="6">B9</f>
        <v>用途</v>
      </c>
      <c r="R9" s="664" t="s">
        <v>14</v>
      </c>
      <c r="S9" s="665">
        <f t="shared" si="0"/>
        <v>100</v>
      </c>
      <c r="T9" s="664" t="s">
        <v>14</v>
      </c>
      <c r="U9" s="665">
        <f t="shared" si="1"/>
        <v>100</v>
      </c>
      <c r="V9" s="664" t="s">
        <v>14</v>
      </c>
      <c r="W9" s="665">
        <f t="shared" si="2"/>
        <v>100</v>
      </c>
      <c r="X9" s="666"/>
      <c r="Y9" s="3346"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124</v>
      </c>
      <c r="G10" s="371"/>
      <c r="H10" s="119">
        <f>ROUND(100/'数据-取费表'!G16,0)</f>
        <v>124</v>
      </c>
      <c r="I10" s="371"/>
      <c r="J10" s="119">
        <f>ROUND(100/'数据-取费表'!G16,0)</f>
        <v>124</v>
      </c>
      <c r="K10" s="592"/>
      <c r="L10" s="2484"/>
      <c r="M10" s="2485"/>
      <c r="N10" s="2485"/>
      <c r="O10" s="2536"/>
      <c r="P10" s="3466"/>
      <c r="Q10" s="530" t="str">
        <f t="shared" si="6"/>
        <v>土地使用年限（年）</v>
      </c>
      <c r="R10" s="664" t="s">
        <v>14</v>
      </c>
      <c r="S10" s="665">
        <f t="shared" si="0"/>
        <v>124</v>
      </c>
      <c r="T10" s="664" t="s">
        <v>14</v>
      </c>
      <c r="U10" s="665">
        <f t="shared" si="1"/>
        <v>124</v>
      </c>
      <c r="V10" s="664" t="s">
        <v>14</v>
      </c>
      <c r="W10" s="665">
        <f t="shared" si="2"/>
        <v>124</v>
      </c>
      <c r="X10" s="666"/>
      <c r="Y10" s="3346"/>
      <c r="Z10" s="50" t="str">
        <f t="shared" si="7"/>
        <v>土地使用年限（年）</v>
      </c>
      <c r="AA10" s="50">
        <f t="shared" si="3"/>
        <v>0.80645161290322576</v>
      </c>
      <c r="AB10" s="50">
        <f t="shared" si="4"/>
        <v>0.80645161290322576</v>
      </c>
      <c r="AC10" s="50">
        <f t="shared" si="5"/>
        <v>0.80645161290322576</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66"/>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4"/>
      <c r="N12" s="2434"/>
      <c r="O12" s="2535"/>
      <c r="P12" s="346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6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3">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66"/>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15">
      <c r="A15" s="379" t="s">
        <v>1686</v>
      </c>
      <c r="B15" s="554" t="s">
        <v>1916</v>
      </c>
      <c r="C15" s="1813">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73" t="s">
        <v>1687</v>
      </c>
      <c r="Q15" s="1257" t="str">
        <f t="shared" si="6"/>
        <v>产业集聚程度</v>
      </c>
      <c r="R15" s="667" t="s">
        <v>14</v>
      </c>
      <c r="S15" s="668">
        <f t="shared" si="0"/>
        <v>100</v>
      </c>
      <c r="T15" s="667" t="s">
        <v>14</v>
      </c>
      <c r="U15" s="668">
        <f t="shared" si="1"/>
        <v>100</v>
      </c>
      <c r="V15" s="667" t="s">
        <v>14</v>
      </c>
      <c r="W15" s="668">
        <f t="shared" si="2"/>
        <v>100</v>
      </c>
      <c r="X15" s="1259"/>
      <c r="Y15" s="3473" t="s">
        <v>1687</v>
      </c>
      <c r="Z15" s="1258" t="str">
        <f t="shared" si="7"/>
        <v>产业集聚程度</v>
      </c>
      <c r="AA15" s="1258">
        <f t="shared" si="3"/>
        <v>1</v>
      </c>
      <c r="AB15" s="1258">
        <f t="shared" si="4"/>
        <v>1</v>
      </c>
      <c r="AC15" s="1258">
        <f t="shared" si="5"/>
        <v>1</v>
      </c>
    </row>
    <row r="16" spans="1:29" ht="15">
      <c r="A16" s="367"/>
      <c r="B16" s="555"/>
      <c r="C16" s="386"/>
      <c r="D16" s="387"/>
      <c r="E16" s="1752"/>
      <c r="F16" s="387"/>
      <c r="G16" s="1752"/>
      <c r="H16" s="389"/>
      <c r="I16" s="1752"/>
      <c r="J16" s="387"/>
      <c r="K16" s="592"/>
      <c r="L16" s="2487"/>
      <c r="M16" s="2482"/>
      <c r="N16" s="2482"/>
      <c r="O16" s="2537"/>
      <c r="P16" s="3474"/>
      <c r="Q16" s="1257"/>
      <c r="R16" s="667"/>
      <c r="S16" s="668"/>
      <c r="T16" s="667"/>
      <c r="U16" s="668"/>
      <c r="V16" s="667"/>
      <c r="W16" s="668"/>
      <c r="X16" s="1259"/>
      <c r="Y16" s="3474"/>
      <c r="Z16" s="1258"/>
      <c r="AA16" s="1258">
        <v>1</v>
      </c>
      <c r="AB16" s="1258">
        <v>1</v>
      </c>
      <c r="AC16" s="1258">
        <v>1</v>
      </c>
    </row>
    <row r="17" spans="1:29" ht="15">
      <c r="A17" s="367"/>
      <c r="B17" s="556" t="s">
        <v>1829</v>
      </c>
      <c r="C17" s="1748">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74"/>
      <c r="Q17" s="1257" t="str">
        <f>B17</f>
        <v>交通便捷度</v>
      </c>
      <c r="R17" s="667" t="s">
        <v>14</v>
      </c>
      <c r="S17" s="668">
        <f>F17</f>
        <v>100</v>
      </c>
      <c r="T17" s="667" t="s">
        <v>14</v>
      </c>
      <c r="U17" s="668">
        <f>H17</f>
        <v>100</v>
      </c>
      <c r="V17" s="667" t="s">
        <v>14</v>
      </c>
      <c r="W17" s="668">
        <f>J17</f>
        <v>100</v>
      </c>
      <c r="X17" s="1259"/>
      <c r="Y17" s="3474"/>
      <c r="Z17" s="1258" t="str">
        <f>Q17</f>
        <v>交通便捷度</v>
      </c>
      <c r="AA17" s="1258">
        <f t="shared" si="3"/>
        <v>1</v>
      </c>
      <c r="AB17" s="1258">
        <f t="shared" si="4"/>
        <v>1</v>
      </c>
      <c r="AC17" s="1258">
        <f t="shared" si="5"/>
        <v>1</v>
      </c>
    </row>
    <row r="18" spans="1:29" ht="15">
      <c r="A18" s="367"/>
      <c r="B18" s="401"/>
      <c r="C18" s="386"/>
      <c r="D18" s="387"/>
      <c r="E18" s="1746"/>
      <c r="F18" s="387"/>
      <c r="G18" s="1746"/>
      <c r="H18" s="387"/>
      <c r="I18" s="1745"/>
      <c r="J18" s="387"/>
      <c r="K18" s="592"/>
      <c r="L18" s="2487"/>
      <c r="M18" s="2482"/>
      <c r="N18" s="2482"/>
      <c r="O18" s="2537"/>
      <c r="P18" s="3474"/>
      <c r="Q18" s="1257"/>
      <c r="R18" s="667"/>
      <c r="S18" s="668"/>
      <c r="T18" s="667"/>
      <c r="U18" s="668"/>
      <c r="V18" s="667"/>
      <c r="W18" s="668"/>
      <c r="X18" s="1259"/>
      <c r="Y18" s="3474"/>
      <c r="Z18" s="1258"/>
      <c r="AA18" s="1258">
        <v>1</v>
      </c>
      <c r="AB18" s="1258">
        <v>1</v>
      </c>
      <c r="AC18" s="1258">
        <v>1</v>
      </c>
    </row>
    <row r="19" spans="1:29" ht="15">
      <c r="A19" s="367"/>
      <c r="B19" s="556" t="s">
        <v>1867</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74"/>
      <c r="Q19" s="1257" t="str">
        <f t="shared" ref="Q19:Q33" si="8">B19</f>
        <v>区域土地利用方向</v>
      </c>
      <c r="R19" s="667" t="s">
        <v>14</v>
      </c>
      <c r="S19" s="668">
        <f>F19</f>
        <v>100</v>
      </c>
      <c r="T19" s="667" t="s">
        <v>14</v>
      </c>
      <c r="U19" s="668">
        <f>H19</f>
        <v>100</v>
      </c>
      <c r="V19" s="667" t="s">
        <v>14</v>
      </c>
      <c r="W19" s="668">
        <f>J19</f>
        <v>100</v>
      </c>
      <c r="X19" s="1259"/>
      <c r="Y19" s="3474"/>
      <c r="Z19" s="1258" t="str">
        <f>Q19</f>
        <v>区域土地利用方向</v>
      </c>
      <c r="AA19" s="1258">
        <f t="shared" si="3"/>
        <v>1</v>
      </c>
      <c r="AB19" s="1258">
        <f t="shared" si="4"/>
        <v>1</v>
      </c>
      <c r="AC19" s="1258">
        <f t="shared" si="5"/>
        <v>1</v>
      </c>
    </row>
    <row r="20" spans="1:29" ht="15">
      <c r="A20" s="348"/>
      <c r="B20" s="401"/>
      <c r="C20" s="386"/>
      <c r="D20" s="387"/>
      <c r="E20" s="1746"/>
      <c r="F20" s="387"/>
      <c r="G20" s="1746"/>
      <c r="H20" s="387"/>
      <c r="I20" s="1746"/>
      <c r="J20" s="387"/>
      <c r="K20" s="692"/>
      <c r="L20" s="2487"/>
      <c r="M20" s="2482"/>
      <c r="N20" s="2482"/>
      <c r="O20" s="2537"/>
      <c r="P20" s="3474"/>
      <c r="Q20" s="1257"/>
      <c r="R20" s="667"/>
      <c r="S20" s="668"/>
      <c r="T20" s="667"/>
      <c r="U20" s="668"/>
      <c r="V20" s="667"/>
      <c r="W20" s="668"/>
      <c r="X20" s="1259"/>
      <c r="Y20" s="3474"/>
      <c r="Z20" s="1258"/>
      <c r="AA20" s="1258"/>
      <c r="AB20" s="1258"/>
      <c r="AC20" s="1258"/>
    </row>
    <row r="21" spans="1:29" ht="15">
      <c r="A21" s="348"/>
      <c r="B21" s="556" t="s">
        <v>1917</v>
      </c>
      <c r="C21" s="1748">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74"/>
      <c r="Q21" s="1257" t="str">
        <f t="shared" si="8"/>
        <v>环境状况</v>
      </c>
      <c r="R21" s="667" t="s">
        <v>14</v>
      </c>
      <c r="S21" s="668">
        <f>F21</f>
        <v>100</v>
      </c>
      <c r="T21" s="667" t="s">
        <v>14</v>
      </c>
      <c r="U21" s="668">
        <f>H21</f>
        <v>100</v>
      </c>
      <c r="V21" s="667" t="s">
        <v>14</v>
      </c>
      <c r="W21" s="668">
        <f>J21</f>
        <v>100</v>
      </c>
      <c r="X21" s="1259"/>
      <c r="Y21" s="3474"/>
      <c r="Z21" s="1258" t="str">
        <f>Q21</f>
        <v>环境状况</v>
      </c>
      <c r="AA21" s="1258">
        <f t="shared" si="3"/>
        <v>1</v>
      </c>
      <c r="AB21" s="1258">
        <f t="shared" si="4"/>
        <v>1</v>
      </c>
      <c r="AC21" s="1258">
        <f t="shared" si="5"/>
        <v>1</v>
      </c>
    </row>
    <row r="22" spans="1:29" ht="15">
      <c r="A22" s="348"/>
      <c r="B22" s="401"/>
      <c r="C22" s="386"/>
      <c r="D22" s="387"/>
      <c r="E22" s="1752"/>
      <c r="F22" s="387"/>
      <c r="G22" s="1752"/>
      <c r="H22" s="387"/>
      <c r="I22" s="386"/>
      <c r="J22" s="387"/>
      <c r="K22" s="592"/>
      <c r="L22" s="2487"/>
      <c r="M22" s="2482"/>
      <c r="N22" s="2482"/>
      <c r="O22" s="2537"/>
      <c r="P22" s="3474"/>
      <c r="Q22" s="1257"/>
      <c r="R22" s="667"/>
      <c r="S22" s="668"/>
      <c r="T22" s="667"/>
      <c r="U22" s="668"/>
      <c r="V22" s="667"/>
      <c r="W22" s="668"/>
      <c r="X22" s="1259"/>
      <c r="Y22" s="3474"/>
      <c r="Z22" s="1258"/>
      <c r="AA22" s="1258">
        <v>1</v>
      </c>
      <c r="AB22" s="1258">
        <v>1</v>
      </c>
      <c r="AC22" s="1258">
        <v>1</v>
      </c>
    </row>
    <row r="23" spans="1:29" s="102" customFormat="1" ht="15">
      <c r="A23" s="443"/>
      <c r="B23" s="557" t="s">
        <v>1774</v>
      </c>
      <c r="C23" s="1748">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3"/>
      <c r="M23" s="2434"/>
      <c r="N23" s="2434"/>
      <c r="O23" s="2535"/>
      <c r="P23" s="3474"/>
      <c r="Q23" s="530" t="str">
        <f t="shared" si="8"/>
        <v>公共配套设施</v>
      </c>
      <c r="R23" s="664" t="s">
        <v>14</v>
      </c>
      <c r="S23" s="665">
        <f>F23</f>
        <v>100</v>
      </c>
      <c r="T23" s="664" t="s">
        <v>14</v>
      </c>
      <c r="U23" s="665">
        <f>H23</f>
        <v>100</v>
      </c>
      <c r="V23" s="664" t="s">
        <v>14</v>
      </c>
      <c r="W23" s="665">
        <f>J23</f>
        <v>100</v>
      </c>
      <c r="X23" s="666"/>
      <c r="Y23" s="3474"/>
      <c r="Z23" s="50" t="str">
        <f>Q23</f>
        <v>公共配套设施</v>
      </c>
      <c r="AA23" s="1258">
        <f>D23/F23</f>
        <v>1</v>
      </c>
      <c r="AB23" s="1258">
        <f>D23/H23</f>
        <v>1</v>
      </c>
      <c r="AC23" s="1258">
        <f>D23/J23</f>
        <v>1</v>
      </c>
    </row>
    <row r="24" spans="1:29" s="102" customFormat="1" ht="15">
      <c r="A24" s="443"/>
      <c r="B24" s="401"/>
      <c r="C24" s="1820"/>
      <c r="D24" s="387"/>
      <c r="E24" s="1752"/>
      <c r="F24" s="387"/>
      <c r="G24" s="1752"/>
      <c r="H24" s="387"/>
      <c r="I24" s="386"/>
      <c r="J24" s="387"/>
      <c r="K24" s="592"/>
      <c r="L24" s="2483"/>
      <c r="M24" s="2434"/>
      <c r="N24" s="2434"/>
      <c r="O24" s="2535"/>
      <c r="P24" s="3474"/>
      <c r="Q24" s="530"/>
      <c r="R24" s="664"/>
      <c r="S24" s="665"/>
      <c r="T24" s="664"/>
      <c r="U24" s="665"/>
      <c r="V24" s="664"/>
      <c r="W24" s="665"/>
      <c r="X24" s="666"/>
      <c r="Y24" s="3474"/>
      <c r="Z24" s="50"/>
      <c r="AA24" s="50">
        <v>1</v>
      </c>
      <c r="AB24" s="50">
        <v>1</v>
      </c>
      <c r="AC24" s="50">
        <v>1</v>
      </c>
    </row>
    <row r="25" spans="1:29" s="102" customFormat="1" ht="15">
      <c r="A25" s="443"/>
      <c r="B25" s="557" t="s">
        <v>1775</v>
      </c>
      <c r="C25" s="1748">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3"/>
      <c r="M25" s="2434"/>
      <c r="N25" s="2434"/>
      <c r="O25" s="2535"/>
      <c r="P25" s="3474"/>
      <c r="Q25" s="530" t="str">
        <f t="shared" ref="Q25" si="9">B25</f>
        <v>基础设施水平</v>
      </c>
      <c r="R25" s="664" t="s">
        <v>14</v>
      </c>
      <c r="S25" s="665">
        <f>F25</f>
        <v>100</v>
      </c>
      <c r="T25" s="664" t="s">
        <v>14</v>
      </c>
      <c r="U25" s="665">
        <f>H25</f>
        <v>100</v>
      </c>
      <c r="V25" s="664" t="s">
        <v>14</v>
      </c>
      <c r="W25" s="665">
        <f>J25</f>
        <v>100</v>
      </c>
      <c r="X25" s="666"/>
      <c r="Y25" s="3474"/>
      <c r="Z25" s="50" t="str">
        <f>Q25</f>
        <v>基础设施水平</v>
      </c>
      <c r="AA25" s="1258">
        <f>D25/F25</f>
        <v>1</v>
      </c>
      <c r="AB25" s="1258">
        <f>D25/H25</f>
        <v>1</v>
      </c>
      <c r="AC25" s="1258">
        <f>D25/J25</f>
        <v>1</v>
      </c>
    </row>
    <row r="26" spans="1:29" s="102" customFormat="1" ht="15">
      <c r="A26" s="443"/>
      <c r="B26" s="401"/>
      <c r="C26" s="1820"/>
      <c r="D26" s="387"/>
      <c r="E26" s="1821"/>
      <c r="F26" s="387"/>
      <c r="G26" s="1821"/>
      <c r="H26" s="387"/>
      <c r="I26" s="1821"/>
      <c r="J26" s="387"/>
      <c r="K26" s="592"/>
      <c r="L26" s="2483"/>
      <c r="M26" s="2434"/>
      <c r="N26" s="2434"/>
      <c r="O26" s="2535"/>
      <c r="P26" s="3474"/>
      <c r="Q26" s="530"/>
      <c r="R26" s="664"/>
      <c r="S26" s="665"/>
      <c r="T26" s="664"/>
      <c r="U26" s="665"/>
      <c r="V26" s="664"/>
      <c r="W26" s="665"/>
      <c r="X26" s="666"/>
      <c r="Y26" s="3474"/>
      <c r="Z26" s="50"/>
      <c r="AA26" s="50">
        <v>1</v>
      </c>
      <c r="AB26" s="50">
        <v>1</v>
      </c>
      <c r="AC26" s="50">
        <v>1</v>
      </c>
    </row>
    <row r="27" spans="1:29" ht="15">
      <c r="A27" s="367"/>
      <c r="B27" s="401" t="s">
        <v>1776</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74"/>
      <c r="Q27" s="1257" t="str">
        <f t="shared" si="8"/>
        <v>临街状况</v>
      </c>
      <c r="R27" s="667" t="s">
        <v>14</v>
      </c>
      <c r="S27" s="668">
        <f t="shared" ref="S27:S40" si="10">F27</f>
        <v>100</v>
      </c>
      <c r="T27" s="667" t="s">
        <v>14</v>
      </c>
      <c r="U27" s="668">
        <f t="shared" ref="U27:U40" si="11">H27</f>
        <v>100</v>
      </c>
      <c r="V27" s="667" t="s">
        <v>14</v>
      </c>
      <c r="W27" s="668">
        <f t="shared" ref="W27:W40" si="12">J27</f>
        <v>100</v>
      </c>
      <c r="X27" s="1259"/>
      <c r="Y27" s="3474"/>
      <c r="Z27" s="1258" t="str">
        <f t="shared" ref="Z27:Z40" si="13">Q27</f>
        <v>临街状况</v>
      </c>
      <c r="AA27" s="1258">
        <f t="shared" si="3"/>
        <v>1</v>
      </c>
      <c r="AB27" s="1258">
        <f t="shared" si="4"/>
        <v>1</v>
      </c>
      <c r="AC27" s="1258">
        <f t="shared" si="5"/>
        <v>1</v>
      </c>
    </row>
    <row r="28" spans="1:29" ht="27">
      <c r="A28" s="367"/>
      <c r="B28" s="557" t="s">
        <v>1811</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74"/>
      <c r="Q28" s="1257" t="str">
        <f t="shared" si="8"/>
        <v>毗邻道路的类型与等级</v>
      </c>
      <c r="R28" s="667" t="s">
        <v>14</v>
      </c>
      <c r="S28" s="668">
        <f t="shared" si="10"/>
        <v>100</v>
      </c>
      <c r="T28" s="667" t="s">
        <v>14</v>
      </c>
      <c r="U28" s="668">
        <f t="shared" si="11"/>
        <v>100</v>
      </c>
      <c r="V28" s="667" t="s">
        <v>14</v>
      </c>
      <c r="W28" s="668">
        <f t="shared" si="12"/>
        <v>100</v>
      </c>
      <c r="X28" s="1259"/>
      <c r="Y28" s="3474"/>
      <c r="Z28" s="1258" t="str">
        <f t="shared" si="13"/>
        <v>毗邻道路的类型与等级</v>
      </c>
      <c r="AA28" s="1258">
        <f t="shared" si="3"/>
        <v>1</v>
      </c>
      <c r="AB28" s="1258">
        <f t="shared" si="4"/>
        <v>1</v>
      </c>
      <c r="AC28" s="1258">
        <f t="shared" si="5"/>
        <v>1</v>
      </c>
    </row>
    <row r="29" spans="1:29" ht="15">
      <c r="A29" s="367"/>
      <c r="B29" s="401"/>
      <c r="C29" s="386"/>
      <c r="D29" s="387"/>
      <c r="E29" s="1752"/>
      <c r="F29" s="387"/>
      <c r="G29" s="1752"/>
      <c r="H29" s="387"/>
      <c r="I29" s="1752"/>
      <c r="J29" s="387"/>
      <c r="K29" s="539"/>
      <c r="L29" s="2487"/>
      <c r="M29" s="2482"/>
      <c r="N29" s="2482"/>
      <c r="O29" s="2537"/>
      <c r="P29" s="3474"/>
      <c r="Q29" s="1257"/>
      <c r="R29" s="667"/>
      <c r="S29" s="668"/>
      <c r="T29" s="667"/>
      <c r="U29" s="668"/>
      <c r="V29" s="667"/>
      <c r="W29" s="668"/>
      <c r="X29" s="1259"/>
      <c r="Y29" s="3474"/>
      <c r="Z29" s="1258"/>
      <c r="AA29" s="1258">
        <v>1</v>
      </c>
      <c r="AB29" s="1258">
        <v>1</v>
      </c>
      <c r="AC29" s="1258">
        <v>1</v>
      </c>
    </row>
    <row r="30" spans="1:29" ht="15">
      <c r="A30" s="367"/>
      <c r="B30" s="119" t="s">
        <v>1869</v>
      </c>
      <c r="C30" s="1063">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74"/>
      <c r="Q30" s="1257" t="str">
        <f t="shared" si="8"/>
        <v>土地级别</v>
      </c>
      <c r="R30" s="667" t="s">
        <v>14</v>
      </c>
      <c r="S30" s="668">
        <f t="shared" si="10"/>
        <v>100</v>
      </c>
      <c r="T30" s="667" t="s">
        <v>14</v>
      </c>
      <c r="U30" s="668">
        <f t="shared" si="11"/>
        <v>100</v>
      </c>
      <c r="V30" s="667" t="s">
        <v>14</v>
      </c>
      <c r="W30" s="668">
        <f t="shared" si="12"/>
        <v>100</v>
      </c>
      <c r="X30" s="1259"/>
      <c r="Y30" s="3474"/>
      <c r="Z30" s="1258" t="str">
        <f t="shared" si="13"/>
        <v>土地级别</v>
      </c>
      <c r="AA30" s="1258">
        <f t="shared" si="3"/>
        <v>1</v>
      </c>
      <c r="AB30" s="1258">
        <f t="shared" si="4"/>
        <v>1</v>
      </c>
      <c r="AC30" s="1258">
        <f t="shared" si="5"/>
        <v>1</v>
      </c>
    </row>
    <row r="31" spans="1:29" ht="15">
      <c r="A31" s="348"/>
      <c r="B31" s="1093">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74"/>
      <c r="Q31" s="1257">
        <f t="shared" si="8"/>
        <v>111</v>
      </c>
      <c r="R31" s="667" t="s">
        <v>14</v>
      </c>
      <c r="S31" s="668">
        <f t="shared" si="10"/>
        <v>100</v>
      </c>
      <c r="T31" s="667" t="s">
        <v>14</v>
      </c>
      <c r="U31" s="668">
        <f t="shared" si="11"/>
        <v>100</v>
      </c>
      <c r="V31" s="667" t="s">
        <v>14</v>
      </c>
      <c r="W31" s="668">
        <f t="shared" si="12"/>
        <v>100</v>
      </c>
      <c r="X31" s="1259"/>
      <c r="Y31" s="3474"/>
      <c r="Z31" s="1258">
        <f t="shared" si="13"/>
        <v>111</v>
      </c>
      <c r="AA31" s="1258">
        <f t="shared" si="3"/>
        <v>1</v>
      </c>
      <c r="AB31" s="1258">
        <f t="shared" si="4"/>
        <v>1</v>
      </c>
      <c r="AC31" s="1258">
        <f t="shared" si="5"/>
        <v>1</v>
      </c>
    </row>
    <row r="32" spans="1:29" ht="15">
      <c r="A32" s="595"/>
      <c r="B32" s="1833">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47" t="s">
        <v>1692</v>
      </c>
      <c r="Q32" s="1257">
        <f t="shared" si="8"/>
        <v>111</v>
      </c>
      <c r="R32" s="667" t="s">
        <v>14</v>
      </c>
      <c r="S32" s="668">
        <f t="shared" si="10"/>
        <v>100</v>
      </c>
      <c r="T32" s="667" t="s">
        <v>14</v>
      </c>
      <c r="U32" s="668">
        <f t="shared" si="11"/>
        <v>100</v>
      </c>
      <c r="V32" s="667" t="s">
        <v>14</v>
      </c>
      <c r="W32" s="668">
        <f t="shared" si="12"/>
        <v>100</v>
      </c>
      <c r="X32" s="1259"/>
      <c r="Y32" s="3478" t="s">
        <v>1692</v>
      </c>
      <c r="Z32" s="1258">
        <f t="shared" si="13"/>
        <v>111</v>
      </c>
      <c r="AA32" s="1258">
        <f t="shared" si="3"/>
        <v>1</v>
      </c>
      <c r="AB32" s="1258">
        <f t="shared" si="4"/>
        <v>1</v>
      </c>
      <c r="AC32" s="1258">
        <f t="shared" si="5"/>
        <v>1</v>
      </c>
    </row>
    <row r="33" spans="1:31" s="408" customFormat="1" ht="15.75" thickBot="1">
      <c r="A33" s="596"/>
      <c r="B33" s="1834">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78"/>
      <c r="Q33" s="1257">
        <f t="shared" si="8"/>
        <v>111</v>
      </c>
      <c r="R33" s="669" t="s">
        <v>14</v>
      </c>
      <c r="S33" s="670">
        <f t="shared" si="10"/>
        <v>100</v>
      </c>
      <c r="T33" s="669" t="s">
        <v>14</v>
      </c>
      <c r="U33" s="670">
        <f t="shared" si="11"/>
        <v>100</v>
      </c>
      <c r="V33" s="669" t="s">
        <v>14</v>
      </c>
      <c r="W33" s="670">
        <f t="shared" si="12"/>
        <v>100</v>
      </c>
      <c r="X33" s="671"/>
      <c r="Y33" s="3478"/>
      <c r="Z33" s="672">
        <f t="shared" si="13"/>
        <v>111</v>
      </c>
      <c r="AA33" s="1258">
        <f t="shared" si="3"/>
        <v>1</v>
      </c>
      <c r="AB33" s="1258">
        <f t="shared" si="4"/>
        <v>1</v>
      </c>
      <c r="AC33" s="1258">
        <f t="shared" si="5"/>
        <v>1</v>
      </c>
    </row>
    <row r="34" spans="1:31" ht="15">
      <c r="A34" s="379" t="s">
        <v>1690</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78"/>
      <c r="Q34" s="1257" t="str">
        <f>B34</f>
        <v>宗地面积</v>
      </c>
      <c r="R34" s="667" t="s">
        <v>14</v>
      </c>
      <c r="S34" s="668" t="e">
        <f t="shared" si="10"/>
        <v>#N/A</v>
      </c>
      <c r="T34" s="667" t="s">
        <v>14</v>
      </c>
      <c r="U34" s="668" t="e">
        <f t="shared" si="11"/>
        <v>#N/A</v>
      </c>
      <c r="V34" s="667" t="s">
        <v>14</v>
      </c>
      <c r="W34" s="668" t="e">
        <f t="shared" si="12"/>
        <v>#N/A</v>
      </c>
      <c r="X34" s="1259"/>
      <c r="Y34" s="3478"/>
      <c r="Z34" s="1258" t="str">
        <f t="shared" si="13"/>
        <v>宗地面积</v>
      </c>
      <c r="AA34" s="1258" t="e">
        <f t="shared" si="3"/>
        <v>#N/A</v>
      </c>
      <c r="AB34" s="1258" t="e">
        <f t="shared" si="4"/>
        <v>#N/A</v>
      </c>
      <c r="AC34" s="1258" t="e">
        <f t="shared" si="5"/>
        <v>#N/A</v>
      </c>
    </row>
    <row r="35" spans="1:31" ht="15">
      <c r="A35" s="409"/>
      <c r="B35" s="364" t="s">
        <v>1871</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8"/>
      <c r="L35" s="2487"/>
      <c r="M35" s="2482"/>
      <c r="N35" s="2482"/>
      <c r="O35" s="2537"/>
      <c r="P35" s="3478"/>
      <c r="Q35" s="1257" t="str">
        <f t="shared" ref="Q35:Q40" si="14">B35</f>
        <v>宗地形状</v>
      </c>
      <c r="R35" s="667" t="s">
        <v>14</v>
      </c>
      <c r="S35" s="668">
        <f t="shared" si="10"/>
        <v>100</v>
      </c>
      <c r="T35" s="667" t="s">
        <v>14</v>
      </c>
      <c r="U35" s="668">
        <f t="shared" si="11"/>
        <v>100</v>
      </c>
      <c r="V35" s="667" t="s">
        <v>14</v>
      </c>
      <c r="W35" s="668">
        <f t="shared" si="12"/>
        <v>100</v>
      </c>
      <c r="X35" s="1259"/>
      <c r="Y35" s="3478"/>
      <c r="Z35" s="1258" t="str">
        <f t="shared" si="13"/>
        <v>宗地形状</v>
      </c>
      <c r="AA35" s="1258">
        <f t="shared" si="3"/>
        <v>1</v>
      </c>
      <c r="AB35" s="1258">
        <f t="shared" si="4"/>
        <v>1</v>
      </c>
      <c r="AC35" s="1258">
        <f t="shared" si="5"/>
        <v>1</v>
      </c>
    </row>
    <row r="36" spans="1:31" s="102" customFormat="1" ht="15">
      <c r="A36" s="410"/>
      <c r="B36" s="364" t="s">
        <v>1873</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3"/>
      <c r="M36" s="2434"/>
      <c r="N36" s="2434"/>
      <c r="O36" s="2535"/>
      <c r="P36" s="3478"/>
      <c r="Q36" s="1257" t="str">
        <f t="shared" si="14"/>
        <v>宗地开发程度</v>
      </c>
      <c r="R36" s="664" t="s">
        <v>14</v>
      </c>
      <c r="S36" s="665">
        <f t="shared" si="10"/>
        <v>100</v>
      </c>
      <c r="T36" s="664" t="s">
        <v>14</v>
      </c>
      <c r="U36" s="665">
        <f t="shared" si="11"/>
        <v>100</v>
      </c>
      <c r="V36" s="664" t="s">
        <v>14</v>
      </c>
      <c r="W36" s="665">
        <f t="shared" si="12"/>
        <v>100</v>
      </c>
      <c r="X36" s="666"/>
      <c r="Y36" s="3478"/>
      <c r="Z36" s="50" t="str">
        <f t="shared" si="13"/>
        <v>宗地开发程度</v>
      </c>
      <c r="AA36" s="50">
        <f t="shared" si="3"/>
        <v>1</v>
      </c>
      <c r="AB36" s="50">
        <f t="shared" si="4"/>
        <v>1</v>
      </c>
      <c r="AC36" s="50">
        <f t="shared" si="5"/>
        <v>1</v>
      </c>
    </row>
    <row r="37" spans="1:31" ht="15">
      <c r="A37" s="409"/>
      <c r="B37" s="364" t="s">
        <v>1874</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8"/>
      <c r="L37" s="2487"/>
      <c r="M37" s="2482"/>
      <c r="N37" s="2482"/>
      <c r="O37" s="2537"/>
      <c r="P37" s="3478" t="s">
        <v>1692</v>
      </c>
      <c r="Q37" s="1257" t="str">
        <f t="shared" si="14"/>
        <v>工程地质条件</v>
      </c>
      <c r="R37" s="667" t="s">
        <v>14</v>
      </c>
      <c r="S37" s="668">
        <f t="shared" si="10"/>
        <v>100</v>
      </c>
      <c r="T37" s="667" t="s">
        <v>14</v>
      </c>
      <c r="U37" s="668">
        <f t="shared" si="11"/>
        <v>100</v>
      </c>
      <c r="V37" s="667" t="s">
        <v>14</v>
      </c>
      <c r="W37" s="668">
        <f t="shared" si="12"/>
        <v>100</v>
      </c>
      <c r="X37" s="1259"/>
      <c r="Y37" s="3478" t="s">
        <v>1692</v>
      </c>
      <c r="Z37" s="1258" t="str">
        <f t="shared" si="13"/>
        <v>工程地质条件</v>
      </c>
      <c r="AA37" s="1258">
        <f t="shared" si="3"/>
        <v>1</v>
      </c>
      <c r="AB37" s="1258">
        <f t="shared" si="4"/>
        <v>1</v>
      </c>
      <c r="AC37" s="1258">
        <f t="shared" si="5"/>
        <v>1</v>
      </c>
    </row>
    <row r="38" spans="1:31" ht="15">
      <c r="A38" s="409"/>
      <c r="B38" s="1061">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78"/>
      <c r="Q38" s="1257">
        <f t="shared" si="14"/>
        <v>111</v>
      </c>
      <c r="R38" s="667" t="s">
        <v>14</v>
      </c>
      <c r="S38" s="668">
        <f t="shared" si="10"/>
        <v>100</v>
      </c>
      <c r="T38" s="667" t="s">
        <v>14</v>
      </c>
      <c r="U38" s="668">
        <f t="shared" si="11"/>
        <v>100</v>
      </c>
      <c r="V38" s="667" t="s">
        <v>14</v>
      </c>
      <c r="W38" s="668">
        <f t="shared" si="12"/>
        <v>100</v>
      </c>
      <c r="X38" s="1259"/>
      <c r="Y38" s="3478"/>
      <c r="Z38" s="1258">
        <f t="shared" si="13"/>
        <v>111</v>
      </c>
      <c r="AA38" s="1258">
        <f t="shared" si="3"/>
        <v>1</v>
      </c>
      <c r="AB38" s="1258">
        <f t="shared" si="4"/>
        <v>1</v>
      </c>
      <c r="AC38" s="1258">
        <f t="shared" si="5"/>
        <v>1</v>
      </c>
    </row>
    <row r="39" spans="1:31" ht="15">
      <c r="A39" s="409"/>
      <c r="B39" s="1061">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78"/>
      <c r="Q39" s="1257">
        <f t="shared" si="14"/>
        <v>111</v>
      </c>
      <c r="R39" s="667" t="s">
        <v>14</v>
      </c>
      <c r="S39" s="668">
        <f t="shared" si="10"/>
        <v>100</v>
      </c>
      <c r="T39" s="667" t="s">
        <v>14</v>
      </c>
      <c r="U39" s="668">
        <f t="shared" si="11"/>
        <v>100</v>
      </c>
      <c r="V39" s="667" t="s">
        <v>14</v>
      </c>
      <c r="W39" s="668">
        <f t="shared" si="12"/>
        <v>100</v>
      </c>
      <c r="X39" s="1259"/>
      <c r="Y39" s="3478"/>
      <c r="Z39" s="1258">
        <f t="shared" si="13"/>
        <v>111</v>
      </c>
      <c r="AA39" s="1258">
        <f t="shared" si="3"/>
        <v>1</v>
      </c>
      <c r="AB39" s="1258">
        <f t="shared" si="4"/>
        <v>1</v>
      </c>
      <c r="AC39" s="1258">
        <f t="shared" si="5"/>
        <v>1</v>
      </c>
    </row>
    <row r="40" spans="1:31" s="408" customFormat="1" ht="15.75" thickBot="1">
      <c r="A40" s="406"/>
      <c r="B40" s="1061">
        <v>111</v>
      </c>
      <c r="C40" s="1823"/>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78"/>
      <c r="Q40" s="1257">
        <f t="shared" si="14"/>
        <v>111</v>
      </c>
      <c r="R40" s="669" t="s">
        <v>14</v>
      </c>
      <c r="S40" s="670">
        <f t="shared" si="10"/>
        <v>100</v>
      </c>
      <c r="T40" s="669" t="s">
        <v>14</v>
      </c>
      <c r="U40" s="670">
        <f t="shared" si="11"/>
        <v>100</v>
      </c>
      <c r="V40" s="669" t="s">
        <v>14</v>
      </c>
      <c r="W40" s="670">
        <f t="shared" si="12"/>
        <v>100</v>
      </c>
      <c r="X40" s="671"/>
      <c r="Y40" s="3478"/>
      <c r="Z40" s="672">
        <f t="shared" si="13"/>
        <v>111</v>
      </c>
      <c r="AA40" s="1258">
        <f t="shared" si="3"/>
        <v>1</v>
      </c>
      <c r="AB40" s="1258">
        <f t="shared" si="4"/>
        <v>1</v>
      </c>
      <c r="AC40" s="1258">
        <f t="shared" si="5"/>
        <v>1</v>
      </c>
    </row>
    <row r="41" spans="1:31" ht="15">
      <c r="A41" s="416" t="s">
        <v>1840</v>
      </c>
      <c r="B41" s="1824" t="s">
        <v>1918</v>
      </c>
      <c r="C41" s="602" t="s">
        <v>0</v>
      </c>
      <c r="D41" s="418"/>
      <c r="E41" s="419"/>
      <c r="F41" s="420"/>
      <c r="G41" s="421"/>
      <c r="H41" s="422"/>
      <c r="I41" s="419"/>
      <c r="J41" s="422"/>
      <c r="K41" s="674"/>
      <c r="L41" s="2489"/>
      <c r="M41" s="2482"/>
      <c r="N41" s="2482"/>
      <c r="O41" s="2482"/>
      <c r="P41" s="3466" t="str">
        <f>A41</f>
        <v>成交单价</v>
      </c>
      <c r="Q41" s="3466"/>
      <c r="R41" s="3467">
        <f>E41</f>
        <v>0</v>
      </c>
      <c r="S41" s="3467"/>
      <c r="T41" s="3467">
        <f>G41</f>
        <v>0</v>
      </c>
      <c r="U41" s="3467"/>
      <c r="V41" s="3467">
        <f>I41</f>
        <v>0</v>
      </c>
      <c r="W41" s="3467"/>
      <c r="X41" s="385"/>
      <c r="Y41" s="673"/>
      <c r="Z41" s="385"/>
      <c r="AA41" s="385"/>
      <c r="AB41" s="385"/>
      <c r="AC41" s="385"/>
    </row>
    <row r="42" spans="1:31" ht="15.75" thickBot="1">
      <c r="A42" s="423" t="s">
        <v>1789</v>
      </c>
      <c r="B42" s="603"/>
      <c r="C42" s="426" t="e">
        <f>R43</f>
        <v>#DIV/0!</v>
      </c>
      <c r="D42" s="2135" t="s">
        <v>2131</v>
      </c>
      <c r="E42" s="426" t="e">
        <f>R42</f>
        <v>#DIV/0!</v>
      </c>
      <c r="F42" s="2136"/>
      <c r="G42" s="425" t="e">
        <f>T42</f>
        <v>#DIV/0!</v>
      </c>
      <c r="H42" s="2136"/>
      <c r="I42" s="426" t="e">
        <f>V42</f>
        <v>#DIV/0!</v>
      </c>
      <c r="J42" s="2136"/>
      <c r="K42" s="2138">
        <f>F42+H42+J42</f>
        <v>0</v>
      </c>
      <c r="L42" s="2489"/>
      <c r="M42" s="2482"/>
      <c r="N42" s="2482"/>
      <c r="O42" s="2482"/>
      <c r="P42" s="3466" t="str">
        <f>A42</f>
        <v>比较价值（元/平方米）</v>
      </c>
      <c r="Q42" s="3466"/>
      <c r="R42" s="3549" t="e">
        <f>ROUND(PRODUCT(R41,AA7:AA40),0)</f>
        <v>#DIV/0!</v>
      </c>
      <c r="S42" s="3549"/>
      <c r="T42" s="3549" t="e">
        <f>ROUND(PRODUCT(T41,AB7:AB40),0)</f>
        <v>#DIV/0!</v>
      </c>
      <c r="U42" s="3549"/>
      <c r="V42" s="3549" t="e">
        <f>ROUND(PRODUCT(V41,AC7:AC40),0)</f>
        <v>#DIV/0!</v>
      </c>
      <c r="W42" s="3549"/>
      <c r="X42" s="385"/>
      <c r="Y42" s="385"/>
      <c r="Z42" s="385"/>
      <c r="AA42" s="385"/>
      <c r="AB42" s="385"/>
      <c r="AC42" s="385"/>
    </row>
    <row r="43" spans="1:31" ht="15.75" thickBot="1">
      <c r="A43" s="427" t="s">
        <v>1790</v>
      </c>
      <c r="B43" s="428"/>
      <c r="C43" s="429" t="e">
        <f>R43</f>
        <v>#DIV/0!</v>
      </c>
      <c r="D43" s="429"/>
      <c r="E43" s="429"/>
      <c r="F43" s="429"/>
      <c r="G43" s="429"/>
      <c r="H43" s="429"/>
      <c r="I43" s="429"/>
      <c r="J43" s="429"/>
      <c r="K43" s="675"/>
      <c r="L43" s="2489"/>
      <c r="M43" s="2482"/>
      <c r="N43" s="2482"/>
      <c r="O43" s="2482"/>
      <c r="P43" s="3468" t="str">
        <f>A43</f>
        <v>估价对象XX用房的比较价值（楼面单价，元/平方米）</v>
      </c>
      <c r="Q43" s="3469"/>
      <c r="R43" s="3550" t="e">
        <f>ROUND(IF(D42="简单平均",AVERAGE(R42:W42),R42*F42+T42*H42+V42*J42),0)</f>
        <v>#DIV/0!</v>
      </c>
      <c r="S43" s="3550"/>
      <c r="T43" s="3550"/>
      <c r="U43" s="3550"/>
      <c r="V43" s="3550"/>
      <c r="W43" s="3550"/>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4" t="s">
        <v>1877</v>
      </c>
      <c r="B50" s="605" t="s">
        <v>1878</v>
      </c>
      <c r="C50" s="1825" t="s">
        <v>1879</v>
      </c>
      <c r="D50" s="1826" t="s">
        <v>1880</v>
      </c>
      <c r="E50" s="606" t="s">
        <v>1881</v>
      </c>
      <c r="F50" s="607" t="s">
        <v>1882</v>
      </c>
      <c r="G50" s="3484" t="s">
        <v>1883</v>
      </c>
      <c r="H50" s="3551"/>
      <c r="I50" s="1258" t="s">
        <v>1919</v>
      </c>
      <c r="J50" s="1258">
        <f>项目基本情况!F35</f>
        <v>0</v>
      </c>
      <c r="K50" s="1828" t="s">
        <v>1885</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1886</v>
      </c>
      <c r="B51" s="609" t="e">
        <f>C43</f>
        <v>#DIV/0!</v>
      </c>
      <c r="C51" s="610">
        <v>1</v>
      </c>
      <c r="D51" s="884">
        <v>1</v>
      </c>
      <c r="E51" s="610">
        <f>'数据-汇总表'!E8+'数据-汇总表'!E9</f>
        <v>4179.0200000000004</v>
      </c>
      <c r="F51" s="611" t="e">
        <f t="shared" ref="F51:F60" si="15">ROUND(B51*E51/10000,0)</f>
        <v>#DIV/0!</v>
      </c>
      <c r="G51" s="3480"/>
      <c r="H51" s="3466"/>
      <c r="I51" s="721">
        <v>1</v>
      </c>
      <c r="J51" s="721">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1887</v>
      </c>
      <c r="B52" s="210" t="e">
        <f>ROUND($C$43*C52*D52,0)</f>
        <v>#DIV/0!</v>
      </c>
      <c r="C52" s="163">
        <f t="shared" ref="C52:C60" si="16">IF($C$50="北京市系数",I52,J52)</f>
        <v>0.6</v>
      </c>
      <c r="D52" s="885">
        <v>0.25</v>
      </c>
      <c r="E52" s="614"/>
      <c r="F52" s="611" t="e">
        <f t="shared" si="15"/>
        <v>#DIV/0!</v>
      </c>
      <c r="G52" s="2745" t="s">
        <v>1888</v>
      </c>
      <c r="H52" s="828" t="str">
        <f>项目基本情况!B37</f>
        <v>五级</v>
      </c>
      <c r="I52" s="721">
        <f>SUMIF(修正!A59:A70,H52,修正!B59:B70)</f>
        <v>0.6</v>
      </c>
      <c r="J52" s="722"/>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1889</v>
      </c>
      <c r="B53" s="210" t="e">
        <f t="shared" ref="B53:B60" si="17">ROUND($C$43*C53*D53,0)</f>
        <v>#DIV/0!</v>
      </c>
      <c r="C53" s="163">
        <f t="shared" si="16"/>
        <v>0.3</v>
      </c>
      <c r="D53" s="885">
        <v>0.25</v>
      </c>
      <c r="E53" s="614"/>
      <c r="F53" s="611" t="e">
        <f t="shared" si="15"/>
        <v>#DIV/0!</v>
      </c>
      <c r="G53" s="2746"/>
      <c r="H53" s="828" t="str">
        <f>项目基本情况!B37</f>
        <v>五级</v>
      </c>
      <c r="I53" s="721">
        <f>SUMIF(修正!A59:A70,H53,修正!C59:C70)</f>
        <v>0.3</v>
      </c>
      <c r="J53" s="722"/>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1890</v>
      </c>
      <c r="B54" s="210" t="e">
        <f t="shared" si="17"/>
        <v>#DIV/0!</v>
      </c>
      <c r="C54" s="163">
        <f t="shared" si="16"/>
        <v>0.25</v>
      </c>
      <c r="D54" s="885">
        <v>0.25</v>
      </c>
      <c r="E54" s="614"/>
      <c r="F54" s="611" t="e">
        <f t="shared" si="15"/>
        <v>#DIV/0!</v>
      </c>
      <c r="G54" s="2746"/>
      <c r="H54" s="828" t="str">
        <f>项目基本情况!B37</f>
        <v>五级</v>
      </c>
      <c r="I54" s="721">
        <f>SUMIF(修正!A59:A70,H54,修正!D59:D70)</f>
        <v>0.25</v>
      </c>
      <c r="J54" s="722"/>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85"/>
      <c r="E55" s="614"/>
      <c r="F55" s="611"/>
      <c r="G55" s="2747"/>
      <c r="H55" s="828"/>
      <c r="I55" s="721"/>
      <c r="J55" s="722"/>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1891</v>
      </c>
      <c r="B56" s="210" t="e">
        <f t="shared" si="17"/>
        <v>#DIV/0!</v>
      </c>
      <c r="C56" s="163">
        <f t="shared" si="16"/>
        <v>0</v>
      </c>
      <c r="D56" s="885">
        <v>0.25</v>
      </c>
      <c r="E56" s="209">
        <f>'数据-汇总表'!E11</f>
        <v>0</v>
      </c>
      <c r="F56" s="611" t="e">
        <f t="shared" si="15"/>
        <v>#DIV/0!</v>
      </c>
      <c r="G56" s="1829" t="s">
        <v>1892</v>
      </c>
      <c r="H56" s="828">
        <f>项目基本情况!C37</f>
        <v>0</v>
      </c>
      <c r="I56" s="721">
        <f>SUMIF(修正!A59:A70,H56,修正!E59:E70)</f>
        <v>0</v>
      </c>
      <c r="J56" s="722"/>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1893</v>
      </c>
      <c r="B57" s="210" t="e">
        <f t="shared" si="17"/>
        <v>#DIV/0!</v>
      </c>
      <c r="C57" s="163">
        <f t="shared" si="16"/>
        <v>0</v>
      </c>
      <c r="D57" s="885">
        <v>0.25</v>
      </c>
      <c r="E57" s="209">
        <f>'数据-汇总表'!E12</f>
        <v>0</v>
      </c>
      <c r="F57" s="611" t="e">
        <f t="shared" si="15"/>
        <v>#DIV/0!</v>
      </c>
      <c r="G57" s="833" t="s">
        <v>1894</v>
      </c>
      <c r="H57" s="828">
        <f>IF(G57="商业",项目基本情况!B37,IF(G57="办公",项目基本情况!C37,IF(G57="住宅",项目基本情况!D37,项目基本情况!E37)))</f>
        <v>0</v>
      </c>
      <c r="I57" s="721">
        <f>SUMIF(修正!A59:A70,H57,修正!F59:F70)</f>
        <v>0</v>
      </c>
      <c r="J57" s="722"/>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1895</v>
      </c>
      <c r="B58" s="210" t="e">
        <f t="shared" si="17"/>
        <v>#DIV/0!</v>
      </c>
      <c r="C58" s="163">
        <f t="shared" si="16"/>
        <v>0</v>
      </c>
      <c r="D58" s="885">
        <v>0.25</v>
      </c>
      <c r="E58" s="209">
        <f>'数据-汇总表'!E13</f>
        <v>0</v>
      </c>
      <c r="F58" s="611" t="e">
        <f t="shared" si="15"/>
        <v>#DIV/0!</v>
      </c>
      <c r="G58" s="833" t="s">
        <v>1896</v>
      </c>
      <c r="H58" s="828">
        <f>IF(G58="商业",项目基本情况!B37,IF(G58="办公",项目基本情况!C37,IF(G58="住宅",项目基本情况!D37,项目基本情况!E37)))</f>
        <v>0</v>
      </c>
      <c r="I58" s="721">
        <f>SUMIF(修正!A59:A70,H58,修正!G59:G70)</f>
        <v>0</v>
      </c>
      <c r="J58" s="722"/>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1897</v>
      </c>
      <c r="B59" s="210" t="e">
        <f t="shared" si="17"/>
        <v>#DIV/0!</v>
      </c>
      <c r="C59" s="163">
        <f t="shared" si="16"/>
        <v>0.15</v>
      </c>
      <c r="D59" s="885">
        <v>0.25</v>
      </c>
      <c r="E59" s="209">
        <f>'数据-汇总表'!E14</f>
        <v>0</v>
      </c>
      <c r="F59" s="611" t="e">
        <f t="shared" si="15"/>
        <v>#DIV/0!</v>
      </c>
      <c r="G59" s="1829" t="s">
        <v>1888</v>
      </c>
      <c r="H59" s="828" t="str">
        <f>项目基本情况!B37</f>
        <v>五级</v>
      </c>
      <c r="I59" s="721">
        <f>SUMIF(修正!A59:A70,H59,修正!G59:G70)</f>
        <v>0.15</v>
      </c>
      <c r="J59" s="722"/>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5" thickBot="1">
      <c r="A60" s="613" t="s">
        <v>1898</v>
      </c>
      <c r="B60" s="210" t="e">
        <f t="shared" si="17"/>
        <v>#DIV/0!</v>
      </c>
      <c r="C60" s="163">
        <f t="shared" si="16"/>
        <v>0</v>
      </c>
      <c r="D60" s="885">
        <v>0.25</v>
      </c>
      <c r="E60" s="209">
        <f>'数据-汇总表'!E15</f>
        <v>0</v>
      </c>
      <c r="F60" s="611" t="e">
        <f t="shared" si="15"/>
        <v>#DIV/0!</v>
      </c>
      <c r="G60" s="1830" t="s">
        <v>1892</v>
      </c>
      <c r="H60" s="838">
        <f>项目基本情况!C37</f>
        <v>0</v>
      </c>
      <c r="I60" s="721">
        <f>SUMIF(修正!A59:A70,H60,修正!G59:G70)</f>
        <v>0</v>
      </c>
      <c r="J60" s="722"/>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5" thickBot="1">
      <c r="A61" s="615" t="s">
        <v>1899</v>
      </c>
      <c r="B61" s="616" t="s">
        <v>22</v>
      </c>
      <c r="C61" s="616" t="s">
        <v>23</v>
      </c>
      <c r="D61" s="616" t="s">
        <v>392</v>
      </c>
      <c r="E61" s="616">
        <f>IF(B41="楼面地价",SUM(E51:E60),'数据-汇总表'!D3)</f>
        <v>0</v>
      </c>
      <c r="F61" s="617" t="e">
        <f>IF(B41="楼面地价",SUM(F51:F60),ROUND(C43*E61/10000,0))</f>
        <v>#DIV/0!</v>
      </c>
      <c r="G61" s="879"/>
      <c r="H61" s="879"/>
      <c r="I61" s="879"/>
      <c r="J61" s="879"/>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5"/>
      <c r="B62" s="869"/>
      <c r="C62" s="871"/>
      <c r="D62" s="855"/>
      <c r="E62" s="855"/>
      <c r="F62" s="855"/>
      <c r="G62" s="855"/>
      <c r="H62" s="855"/>
      <c r="I62" s="855"/>
      <c r="J62" s="855"/>
      <c r="K62" s="829"/>
      <c r="L62" s="830"/>
      <c r="M62" s="855"/>
      <c r="N62" s="855"/>
      <c r="O62" s="855"/>
      <c r="P62" s="2482"/>
      <c r="Q62" s="2482"/>
      <c r="R62" s="2482"/>
      <c r="S62" s="2482"/>
      <c r="T62" s="2482"/>
      <c r="U62" s="2482"/>
      <c r="V62" s="2482"/>
      <c r="W62" s="2482"/>
      <c r="X62" s="2482"/>
      <c r="Y62" s="2482"/>
      <c r="Z62" s="2482"/>
      <c r="AA62" s="2482"/>
      <c r="AB62" s="2482"/>
      <c r="AC62" s="2482"/>
      <c r="AD62" s="2482"/>
      <c r="AE62" s="2482"/>
    </row>
    <row r="63" spans="1:31">
      <c r="A63" s="855"/>
      <c r="B63" s="869"/>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2"/>
      <c r="Q63" s="2482"/>
      <c r="R63" s="2482"/>
      <c r="S63" s="2482"/>
      <c r="T63" s="2482"/>
      <c r="U63" s="2482"/>
      <c r="V63" s="2482"/>
      <c r="W63" s="2482"/>
      <c r="X63" s="2482"/>
      <c r="Y63" s="2482"/>
      <c r="Z63" s="2482"/>
      <c r="AA63" s="2482"/>
      <c r="AB63" s="2482"/>
      <c r="AC63" s="2482"/>
      <c r="AD63" s="2482"/>
      <c r="AE63" s="2482"/>
    </row>
    <row r="64" spans="1:31" ht="21.75" thickBot="1">
      <c r="A64" s="658" t="s">
        <v>1794</v>
      </c>
      <c r="B64" s="385"/>
      <c r="C64" s="659"/>
      <c r="D64" s="659"/>
      <c r="E64" s="659"/>
      <c r="F64" s="660"/>
      <c r="G64" s="660"/>
      <c r="H64" s="659"/>
      <c r="I64" s="659"/>
      <c r="J64" s="659"/>
      <c r="K64" s="661"/>
      <c r="L64" s="662"/>
      <c r="M64" s="659"/>
      <c r="N64" s="659"/>
      <c r="O64" s="880"/>
      <c r="P64" s="2532"/>
      <c r="Q64" s="2503"/>
      <c r="R64" s="2482"/>
      <c r="S64" s="2482"/>
      <c r="T64" s="2482"/>
      <c r="U64" s="2482"/>
      <c r="V64" s="2482"/>
      <c r="W64" s="2482"/>
      <c r="X64" s="2482"/>
      <c r="Y64" s="2482"/>
      <c r="Z64" s="2482"/>
      <c r="AA64" s="2482"/>
      <c r="AB64" s="2482"/>
      <c r="AC64" s="2482"/>
      <c r="AD64" s="2482"/>
      <c r="AE64" s="2482"/>
    </row>
    <row r="65" spans="1:31" s="442" customFormat="1" ht="15">
      <c r="A65" s="1624" t="s">
        <v>1900</v>
      </c>
      <c r="B65" s="1040"/>
      <c r="C65" s="1095" t="str">
        <f>YEAR(C63)&amp;"-"&amp;ROUNDUP(MONTH(C63)/3,0)</f>
        <v>2025-3</v>
      </c>
      <c r="D65" s="1095" t="str">
        <f t="shared" ref="D65:O65" si="19">YEAR(D63)&amp;"-"&amp;ROUNDUP(MONTH(D63)/3,0)</f>
        <v>2025-2</v>
      </c>
      <c r="E65" s="1095" t="str">
        <f t="shared" si="19"/>
        <v>2025-1</v>
      </c>
      <c r="F65" s="1095" t="str">
        <f t="shared" si="19"/>
        <v>2024-4</v>
      </c>
      <c r="G65" s="1095" t="str">
        <f t="shared" si="19"/>
        <v>2024-3</v>
      </c>
      <c r="H65" s="1095" t="str">
        <f t="shared" si="19"/>
        <v>2024-2</v>
      </c>
      <c r="I65" s="1095" t="str">
        <f t="shared" si="19"/>
        <v>2024-1</v>
      </c>
      <c r="J65" s="1095" t="str">
        <f t="shared" si="19"/>
        <v>2023-4</v>
      </c>
      <c r="K65" s="1095" t="str">
        <f t="shared" si="19"/>
        <v>2023-3</v>
      </c>
      <c r="L65" s="1095" t="str">
        <f t="shared" si="19"/>
        <v>2023-2</v>
      </c>
      <c r="M65" s="1095" t="str">
        <f t="shared" si="19"/>
        <v>2023-1</v>
      </c>
      <c r="N65" s="1095" t="str">
        <f t="shared" si="19"/>
        <v>2022-4</v>
      </c>
      <c r="O65" s="1095" t="str">
        <f t="shared" si="19"/>
        <v>2022-3</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5" t="s">
        <v>1920</v>
      </c>
      <c r="B66" s="280" t="str">
        <f>"北京市平均增长率"&amp;TEXT(基准地价修正!P28,"0.00%")</f>
        <v>北京市平均增长率0.00%</v>
      </c>
      <c r="C66" s="530">
        <v>100</v>
      </c>
      <c r="D66" s="6"/>
      <c r="E66" s="6"/>
      <c r="F66" s="6"/>
      <c r="G66" s="6"/>
      <c r="H66" s="6"/>
      <c r="I66" s="6"/>
      <c r="J66" s="6"/>
      <c r="K66" s="6"/>
      <c r="L66" s="6"/>
      <c r="M66" s="1060"/>
      <c r="N66" s="1060"/>
      <c r="O66" s="1093"/>
      <c r="P66" s="2503"/>
      <c r="Q66" s="2434"/>
      <c r="R66" s="2434"/>
      <c r="S66" s="2434"/>
      <c r="T66" s="2434"/>
      <c r="U66" s="2434"/>
      <c r="V66" s="2434"/>
      <c r="W66" s="2434"/>
      <c r="X66" s="2434"/>
      <c r="Y66" s="2434"/>
      <c r="Z66" s="2434"/>
      <c r="AA66" s="2434"/>
      <c r="AB66" s="2434"/>
      <c r="AC66" s="2434"/>
      <c r="AD66" s="2434"/>
      <c r="AE66" s="2434"/>
    </row>
    <row r="67" spans="1:31" s="102" customFormat="1" ht="15.75" thickBot="1">
      <c r="A67" s="449" t="s">
        <v>1712</v>
      </c>
      <c r="B67" s="450"/>
      <c r="C67" s="451"/>
      <c r="D67" s="452"/>
      <c r="E67" s="452"/>
      <c r="F67" s="452"/>
      <c r="G67" s="452"/>
      <c r="H67" s="452"/>
      <c r="I67" s="452"/>
      <c r="J67" s="452"/>
      <c r="K67" s="452"/>
      <c r="L67" s="452"/>
      <c r="M67" s="453"/>
      <c r="N67" s="453"/>
      <c r="O67" s="454"/>
      <c r="P67" s="2503"/>
      <c r="Q67" s="2503"/>
      <c r="R67" s="2434"/>
      <c r="S67" s="2434"/>
      <c r="T67" s="2434"/>
      <c r="U67" s="2434"/>
      <c r="V67" s="2434"/>
      <c r="W67" s="2434"/>
      <c r="X67" s="2434"/>
      <c r="Y67" s="2434"/>
      <c r="Z67" s="2434"/>
      <c r="AA67" s="2434"/>
      <c r="AB67" s="2434"/>
      <c r="AC67" s="2434"/>
      <c r="AD67" s="2434"/>
      <c r="AE67" s="2434"/>
    </row>
    <row r="68" spans="1:31" s="102" customFormat="1" ht="15">
      <c r="A68" s="455" t="s">
        <v>1677</v>
      </c>
      <c r="B68" s="444"/>
      <c r="C68" s="456" t="s">
        <v>1772</v>
      </c>
      <c r="D68" s="31"/>
      <c r="E68" s="31"/>
      <c r="F68" s="31"/>
      <c r="G68" s="31"/>
      <c r="H68" s="31"/>
      <c r="I68" s="31"/>
      <c r="J68" s="31"/>
      <c r="K68" s="31"/>
      <c r="L68" s="457"/>
      <c r="M68" s="458"/>
      <c r="N68" s="2515"/>
      <c r="O68" s="2515"/>
      <c r="P68" s="2539"/>
      <c r="Q68" s="2503"/>
      <c r="R68" s="2434"/>
      <c r="S68" s="2434"/>
      <c r="T68" s="2434"/>
      <c r="U68" s="2434"/>
      <c r="V68" s="2434"/>
      <c r="W68" s="2434"/>
      <c r="X68" s="2434"/>
      <c r="Y68" s="2434"/>
      <c r="Z68" s="2434"/>
      <c r="AA68" s="2434"/>
      <c r="AB68" s="2434"/>
      <c r="AC68" s="2434"/>
      <c r="AD68" s="2434"/>
      <c r="AE68" s="2434"/>
    </row>
    <row r="69" spans="1:31" s="102" customFormat="1" ht="15.75" thickBot="1">
      <c r="A69" s="455"/>
      <c r="B69" s="444"/>
      <c r="C69" s="563">
        <v>100</v>
      </c>
      <c r="D69" s="446"/>
      <c r="E69" s="446"/>
      <c r="F69" s="446"/>
      <c r="G69" s="446"/>
      <c r="H69" s="446"/>
      <c r="I69" s="446"/>
      <c r="J69" s="446"/>
      <c r="K69" s="446"/>
      <c r="L69" s="446"/>
      <c r="M69" s="448"/>
      <c r="N69" s="2515"/>
      <c r="O69" s="2515"/>
      <c r="P69" s="2503"/>
      <c r="Q69" s="2503"/>
      <c r="R69" s="2434"/>
      <c r="S69" s="2434"/>
      <c r="T69" s="2434"/>
      <c r="U69" s="2434"/>
      <c r="V69" s="2434"/>
      <c r="W69" s="2434"/>
      <c r="X69" s="2434"/>
      <c r="Y69" s="2434"/>
      <c r="Z69" s="2434"/>
      <c r="AA69" s="2434"/>
      <c r="AB69" s="2434"/>
      <c r="AC69" s="2434"/>
      <c r="AD69" s="2434"/>
      <c r="AE69" s="2434"/>
    </row>
    <row r="70" spans="1:31">
      <c r="A70" s="379" t="s">
        <v>1715</v>
      </c>
      <c r="B70" s="460" t="s">
        <v>1681</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1684</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1686</v>
      </c>
      <c r="B83" s="460" t="s">
        <v>1825</v>
      </c>
      <c r="C83" s="504" t="s">
        <v>1717</v>
      </c>
      <c r="D83" s="504" t="s">
        <v>1718</v>
      </c>
      <c r="E83" s="504" t="s">
        <v>1719</v>
      </c>
      <c r="F83" s="504" t="s">
        <v>1720</v>
      </c>
      <c r="G83" s="504" t="s">
        <v>1721</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1722</v>
      </c>
      <c r="C85" s="509" t="s">
        <v>1717</v>
      </c>
      <c r="D85" s="509" t="s">
        <v>1718</v>
      </c>
      <c r="E85" s="509" t="s">
        <v>1719</v>
      </c>
      <c r="F85" s="509" t="s">
        <v>1720</v>
      </c>
      <c r="G85" s="509" t="s">
        <v>1721</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1903</v>
      </c>
      <c r="C87" s="504" t="s">
        <v>1717</v>
      </c>
      <c r="D87" s="504" t="s">
        <v>1718</v>
      </c>
      <c r="E87" s="504" t="s">
        <v>1719</v>
      </c>
      <c r="F87" s="504" t="s">
        <v>1720</v>
      </c>
      <c r="G87" s="504" t="s">
        <v>1721</v>
      </c>
      <c r="H87" s="509"/>
      <c r="I87" s="509"/>
      <c r="J87" s="509"/>
      <c r="K87" s="509"/>
      <c r="L87" s="618"/>
      <c r="M87" s="547"/>
      <c r="N87" s="2515"/>
      <c r="O87" s="2515"/>
      <c r="P87" s="2515"/>
      <c r="Q87" s="2503"/>
      <c r="R87" s="2434"/>
      <c r="S87" s="2434"/>
      <c r="T87" s="2434"/>
      <c r="U87" s="2434"/>
      <c r="V87" s="2434"/>
      <c r="W87" s="2434"/>
      <c r="X87" s="2434"/>
      <c r="Y87" s="2434"/>
      <c r="Z87" s="2434"/>
      <c r="AA87" s="2434"/>
      <c r="AB87" s="2434"/>
      <c r="AC87" s="2434"/>
      <c r="AD87" s="2434"/>
      <c r="AE87" s="2434"/>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4"/>
      <c r="S88" s="2434"/>
      <c r="T88" s="2434"/>
      <c r="U88" s="2434"/>
      <c r="V88" s="2434"/>
      <c r="W88" s="2434"/>
      <c r="X88" s="2434"/>
      <c r="Y88" s="2434"/>
      <c r="Z88" s="2434"/>
      <c r="AA88" s="2434"/>
      <c r="AB88" s="2434"/>
      <c r="AC88" s="2434"/>
      <c r="AD88" s="2434"/>
      <c r="AE88" s="2434"/>
    </row>
    <row r="89" spans="1:31" s="102" customFormat="1" ht="27.75" thickTop="1">
      <c r="A89" s="370"/>
      <c r="B89" s="469" t="s">
        <v>1904</v>
      </c>
      <c r="C89" s="504" t="s">
        <v>1717</v>
      </c>
      <c r="D89" s="504" t="s">
        <v>1718</v>
      </c>
      <c r="E89" s="504" t="s">
        <v>1719</v>
      </c>
      <c r="F89" s="504" t="s">
        <v>1720</v>
      </c>
      <c r="G89" s="504" t="s">
        <v>1721</v>
      </c>
      <c r="H89" s="509"/>
      <c r="I89" s="509"/>
      <c r="J89" s="509"/>
      <c r="K89" s="509"/>
      <c r="L89" s="509"/>
      <c r="M89" s="547"/>
      <c r="N89" s="2515"/>
      <c r="O89" s="2515"/>
      <c r="P89" s="2515"/>
      <c r="Q89" s="2503"/>
      <c r="R89" s="2434"/>
      <c r="S89" s="2434"/>
      <c r="T89" s="2434"/>
      <c r="U89" s="2434"/>
      <c r="V89" s="2434"/>
      <c r="W89" s="2434"/>
      <c r="X89" s="2434"/>
      <c r="Y89" s="2434"/>
      <c r="Z89" s="2434"/>
      <c r="AA89" s="2434"/>
      <c r="AB89" s="2434"/>
      <c r="AC89" s="2434"/>
      <c r="AD89" s="2434"/>
      <c r="AE89" s="2434"/>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4"/>
      <c r="S90" s="2434"/>
      <c r="T90" s="2434"/>
      <c r="U90" s="2434"/>
      <c r="V90" s="2434"/>
      <c r="W90" s="2434"/>
      <c r="X90" s="2434"/>
      <c r="Y90" s="2434"/>
      <c r="Z90" s="2434"/>
      <c r="AA90" s="2434"/>
      <c r="AB90" s="2434"/>
      <c r="AC90" s="2434"/>
      <c r="AD90" s="2434"/>
      <c r="AE90" s="2434"/>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1921</v>
      </c>
      <c r="C93" s="581" t="s">
        <v>1795</v>
      </c>
      <c r="D93" s="581" t="s">
        <v>1796</v>
      </c>
      <c r="E93" s="581" t="s">
        <v>1797</v>
      </c>
      <c r="F93" s="581" t="s">
        <v>1798</v>
      </c>
      <c r="G93" s="581" t="s">
        <v>1799</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59"/>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1811</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1869</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1690</v>
      </c>
      <c r="B107" s="460" t="s">
        <v>1909</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0" t="str">
        <f t="shared" si="25"/>
        <v>(含)-</v>
      </c>
      <c r="L107" s="1240" t="str">
        <f t="shared" si="25"/>
        <v>(含)-</v>
      </c>
      <c r="M107" s="1241"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1910</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1912</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1913</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3" t="s">
        <v>2079</v>
      </c>
      <c r="C1" s="3559" t="s">
        <v>2080</v>
      </c>
      <c r="D1" s="3560"/>
      <c r="E1" s="3560"/>
      <c r="F1" s="3560"/>
      <c r="G1" s="3560"/>
      <c r="H1" s="3560"/>
      <c r="I1" s="3560"/>
      <c r="J1" s="3560"/>
      <c r="K1" s="3560"/>
      <c r="L1" s="3560"/>
      <c r="M1" s="3560"/>
      <c r="N1" s="3560"/>
      <c r="O1" s="3560"/>
      <c r="P1" s="3560"/>
      <c r="Q1" s="3560"/>
      <c r="R1" s="3560"/>
      <c r="S1" s="3561"/>
      <c r="T1" s="923" t="s">
        <v>2081</v>
      </c>
    </row>
    <row r="2" spans="1:45" s="625" customFormat="1" ht="38.25">
      <c r="A2" s="924"/>
      <c r="B2" s="622" t="s">
        <v>2082</v>
      </c>
      <c r="C2" s="14" t="str">
        <f t="shared" ref="C2:L2" si="0">C3&amp;"(含)"&amp;"-"&amp;D3</f>
        <v>0(含)-100</v>
      </c>
      <c r="D2" s="623" t="str">
        <f t="shared" si="0"/>
        <v>100(含)-200</v>
      </c>
      <c r="E2" s="623" t="str">
        <f t="shared" si="0"/>
        <v>200(含)-500</v>
      </c>
      <c r="F2" s="623" t="str">
        <f t="shared" si="0"/>
        <v>500(含)-1000</v>
      </c>
      <c r="G2" s="623" t="str">
        <f t="shared" si="0"/>
        <v>1000(含)-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5"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6"/>
      <c r="B3" s="626"/>
      <c r="C3" s="627">
        <v>0</v>
      </c>
      <c r="D3" s="628">
        <v>100</v>
      </c>
      <c r="E3" s="628">
        <v>200</v>
      </c>
      <c r="F3" s="1214">
        <v>500</v>
      </c>
      <c r="G3" s="1214">
        <v>1000</v>
      </c>
      <c r="H3" s="1214"/>
      <c r="I3" s="1214"/>
      <c r="J3" s="1214"/>
      <c r="K3" s="1214"/>
      <c r="L3" s="1215"/>
      <c r="M3" s="1216"/>
      <c r="N3" s="1216"/>
      <c r="O3" s="1214"/>
      <c r="P3" s="1214"/>
      <c r="Q3" s="1214"/>
      <c r="R3" s="1214"/>
      <c r="S3" s="1217"/>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27"/>
      <c r="B4" s="928"/>
      <c r="C4" s="929">
        <v>100</v>
      </c>
      <c r="D4" s="930">
        <v>98</v>
      </c>
      <c r="E4" s="930">
        <v>96</v>
      </c>
      <c r="F4" s="1218">
        <v>94</v>
      </c>
      <c r="G4" s="1218">
        <v>92</v>
      </c>
      <c r="H4" s="1218"/>
      <c r="I4" s="1218"/>
      <c r="J4" s="1218"/>
      <c r="K4" s="1218"/>
      <c r="L4" s="1218"/>
      <c r="M4" s="1219"/>
      <c r="N4" s="1219"/>
      <c r="O4" s="1218"/>
      <c r="P4" s="1218"/>
      <c r="Q4" s="1218"/>
      <c r="R4" s="1218"/>
      <c r="S4" s="1220"/>
      <c r="T4" s="933"/>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19"/>
      <c r="B5" s="3248" t="s">
        <v>3565</v>
      </c>
      <c r="C5" s="3249" t="s">
        <v>3566</v>
      </c>
      <c r="D5" s="3250" t="s">
        <v>3568</v>
      </c>
      <c r="E5" s="935"/>
      <c r="F5" s="1221"/>
      <c r="G5" s="1221"/>
      <c r="H5" s="1221"/>
      <c r="I5" s="1221"/>
      <c r="J5" s="1221"/>
      <c r="K5" s="1221"/>
      <c r="L5" s="1222"/>
      <c r="M5" s="1223"/>
      <c r="N5" s="1223"/>
      <c r="O5" s="1221"/>
      <c r="P5" s="1221"/>
      <c r="Q5" s="1221"/>
      <c r="R5" s="1221"/>
      <c r="S5" s="1224"/>
      <c r="T5" s="937">
        <v>10</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19"/>
      <c r="B6" s="840"/>
      <c r="C6" s="846">
        <v>100</v>
      </c>
      <c r="D6" s="843">
        <f>C6-$T5</f>
        <v>90</v>
      </c>
      <c r="E6" s="843">
        <f t="shared" ref="E6:S6" si="7">D6-$T5</f>
        <v>80</v>
      </c>
      <c r="F6" s="1225">
        <f t="shared" si="7"/>
        <v>70</v>
      </c>
      <c r="G6" s="1225">
        <f t="shared" si="7"/>
        <v>60</v>
      </c>
      <c r="H6" s="1225">
        <f t="shared" si="7"/>
        <v>50</v>
      </c>
      <c r="I6" s="1225">
        <f t="shared" si="7"/>
        <v>40</v>
      </c>
      <c r="J6" s="1225">
        <f t="shared" si="7"/>
        <v>30</v>
      </c>
      <c r="K6" s="1225">
        <f t="shared" si="7"/>
        <v>20</v>
      </c>
      <c r="L6" s="1225">
        <f t="shared" si="7"/>
        <v>10</v>
      </c>
      <c r="M6" s="1225">
        <f t="shared" si="7"/>
        <v>0</v>
      </c>
      <c r="N6" s="1225">
        <f t="shared" si="7"/>
        <v>-10</v>
      </c>
      <c r="O6" s="1225">
        <f t="shared" si="7"/>
        <v>-20</v>
      </c>
      <c r="P6" s="1225">
        <f t="shared" si="7"/>
        <v>-30</v>
      </c>
      <c r="Q6" s="1225">
        <f t="shared" si="7"/>
        <v>-40</v>
      </c>
      <c r="R6" s="1225">
        <f t="shared" si="7"/>
        <v>-50</v>
      </c>
      <c r="S6" s="1225">
        <f t="shared" si="7"/>
        <v>-60</v>
      </c>
      <c r="T6" s="842"/>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19"/>
      <c r="B7" s="3251" t="s">
        <v>3569</v>
      </c>
      <c r="C7" s="3252" t="s">
        <v>3570</v>
      </c>
      <c r="D7" s="3253" t="s">
        <v>3571</v>
      </c>
      <c r="E7" s="3253" t="s">
        <v>3572</v>
      </c>
      <c r="F7" s="3254" t="s">
        <v>3573</v>
      </c>
      <c r="G7" s="3254" t="s">
        <v>3574</v>
      </c>
      <c r="H7" s="1226"/>
      <c r="I7" s="1226"/>
      <c r="J7" s="1226"/>
      <c r="K7" s="1226"/>
      <c r="L7" s="1226"/>
      <c r="M7" s="1227"/>
      <c r="N7" s="1228"/>
      <c r="O7" s="1229"/>
      <c r="P7" s="1229"/>
      <c r="Q7" s="1230"/>
      <c r="R7" s="1231"/>
      <c r="S7" s="1232"/>
      <c r="T7" s="631">
        <v>5</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19"/>
      <c r="B8" s="840"/>
      <c r="C8" s="846">
        <v>100</v>
      </c>
      <c r="D8" s="843">
        <f>C8-$T7</f>
        <v>95</v>
      </c>
      <c r="E8" s="843">
        <f t="shared" ref="E8:S8" si="8">D8-$T7</f>
        <v>90</v>
      </c>
      <c r="F8" s="1225">
        <f t="shared" si="8"/>
        <v>85</v>
      </c>
      <c r="G8" s="1225">
        <f t="shared" si="8"/>
        <v>80</v>
      </c>
      <c r="H8" s="1225">
        <f t="shared" si="8"/>
        <v>75</v>
      </c>
      <c r="I8" s="1225">
        <f t="shared" si="8"/>
        <v>70</v>
      </c>
      <c r="J8" s="1225">
        <f t="shared" si="8"/>
        <v>65</v>
      </c>
      <c r="K8" s="1225">
        <f t="shared" si="8"/>
        <v>60</v>
      </c>
      <c r="L8" s="1225">
        <f t="shared" si="8"/>
        <v>55</v>
      </c>
      <c r="M8" s="1225">
        <f t="shared" si="8"/>
        <v>50</v>
      </c>
      <c r="N8" s="1225">
        <f t="shared" si="8"/>
        <v>45</v>
      </c>
      <c r="O8" s="1225">
        <f t="shared" si="8"/>
        <v>40</v>
      </c>
      <c r="P8" s="1225">
        <f t="shared" si="8"/>
        <v>35</v>
      </c>
      <c r="Q8" s="1225">
        <f t="shared" si="8"/>
        <v>30</v>
      </c>
      <c r="R8" s="1225">
        <f t="shared" si="8"/>
        <v>25</v>
      </c>
      <c r="S8" s="1225">
        <f t="shared" si="8"/>
        <v>20</v>
      </c>
      <c r="T8" s="842"/>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19"/>
      <c r="B9" s="1244" t="s">
        <v>2083</v>
      </c>
      <c r="C9" s="845"/>
      <c r="D9" s="839"/>
      <c r="E9" s="839"/>
      <c r="F9" s="1226"/>
      <c r="G9" s="1226"/>
      <c r="H9" s="1226"/>
      <c r="I9" s="1226"/>
      <c r="J9" s="1226"/>
      <c r="K9" s="1226"/>
      <c r="L9" s="1233"/>
      <c r="M9" s="1227"/>
      <c r="N9" s="1228"/>
      <c r="O9" s="1229"/>
      <c r="P9" s="1229"/>
      <c r="Q9" s="1230"/>
      <c r="R9" s="1231"/>
      <c r="S9" s="1232"/>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19"/>
      <c r="B10" s="928"/>
      <c r="C10" s="938">
        <v>100</v>
      </c>
      <c r="D10" s="709">
        <f>C10-$T9</f>
        <v>100</v>
      </c>
      <c r="E10" s="709">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3"/>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19"/>
      <c r="B11" s="1243" t="s">
        <v>2084</v>
      </c>
      <c r="C11" s="934"/>
      <c r="D11" s="935"/>
      <c r="E11" s="935"/>
      <c r="F11" s="935"/>
      <c r="G11" s="935"/>
      <c r="H11" s="935"/>
      <c r="I11" s="935"/>
      <c r="J11" s="935"/>
      <c r="K11" s="935"/>
      <c r="L11" s="935"/>
      <c r="M11" s="936"/>
      <c r="N11" s="939"/>
      <c r="O11" s="940"/>
      <c r="P11" s="940"/>
      <c r="Q11" s="941"/>
      <c r="R11" s="942"/>
      <c r="S11" s="943"/>
      <c r="T11" s="937"/>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19"/>
      <c r="B12" s="840"/>
      <c r="C12" s="846">
        <v>100</v>
      </c>
      <c r="D12" s="843">
        <f>C12-$T11</f>
        <v>100</v>
      </c>
      <c r="E12" s="843">
        <f t="shared" ref="E12:S12" si="10">D12-$T11</f>
        <v>100</v>
      </c>
      <c r="F12" s="843">
        <f t="shared" si="10"/>
        <v>100</v>
      </c>
      <c r="G12" s="843">
        <f t="shared" si="10"/>
        <v>100</v>
      </c>
      <c r="H12" s="843">
        <f t="shared" si="10"/>
        <v>100</v>
      </c>
      <c r="I12" s="843">
        <f t="shared" si="10"/>
        <v>100</v>
      </c>
      <c r="J12" s="843">
        <f t="shared" si="10"/>
        <v>100</v>
      </c>
      <c r="K12" s="843">
        <f t="shared" si="10"/>
        <v>100</v>
      </c>
      <c r="L12" s="843">
        <f t="shared" si="10"/>
        <v>100</v>
      </c>
      <c r="M12" s="843">
        <f t="shared" si="10"/>
        <v>100</v>
      </c>
      <c r="N12" s="843">
        <f t="shared" si="10"/>
        <v>100</v>
      </c>
      <c r="O12" s="843">
        <f t="shared" si="10"/>
        <v>100</v>
      </c>
      <c r="P12" s="843">
        <f t="shared" si="10"/>
        <v>100</v>
      </c>
      <c r="Q12" s="843">
        <f t="shared" si="10"/>
        <v>100</v>
      </c>
      <c r="R12" s="843">
        <f>Q12-$T11</f>
        <v>100</v>
      </c>
      <c r="S12" s="843">
        <f t="shared" si="10"/>
        <v>100</v>
      </c>
      <c r="T12" s="842"/>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19"/>
      <c r="B13" s="1243" t="s">
        <v>2085</v>
      </c>
      <c r="C13" s="934"/>
      <c r="D13" s="935"/>
      <c r="E13" s="935"/>
      <c r="F13" s="935"/>
      <c r="G13" s="935"/>
      <c r="H13" s="935"/>
      <c r="I13" s="935"/>
      <c r="J13" s="935"/>
      <c r="K13" s="935"/>
      <c r="L13" s="935"/>
      <c r="M13" s="936"/>
      <c r="N13" s="939"/>
      <c r="O13" s="940"/>
      <c r="P13" s="940"/>
      <c r="Q13" s="941"/>
      <c r="R13" s="942"/>
      <c r="S13" s="943"/>
      <c r="T13" s="944"/>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19"/>
      <c r="B14" s="840"/>
      <c r="C14" s="844"/>
      <c r="D14" s="841"/>
      <c r="E14" s="841"/>
      <c r="F14" s="841"/>
      <c r="G14" s="841"/>
      <c r="H14" s="841"/>
      <c r="I14" s="841"/>
      <c r="J14" s="841"/>
      <c r="K14" s="841"/>
      <c r="L14" s="841"/>
      <c r="M14" s="945"/>
      <c r="N14" s="945"/>
      <c r="O14" s="841"/>
      <c r="P14" s="841"/>
      <c r="Q14" s="841"/>
      <c r="R14" s="841"/>
      <c r="S14" s="946"/>
      <c r="T14" s="842"/>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19"/>
      <c r="B15" s="1243" t="s">
        <v>2086</v>
      </c>
      <c r="C15" s="934"/>
      <c r="D15" s="935"/>
      <c r="E15" s="935"/>
      <c r="F15" s="935"/>
      <c r="G15" s="935"/>
      <c r="H15" s="935"/>
      <c r="I15" s="935"/>
      <c r="J15" s="935"/>
      <c r="K15" s="935"/>
      <c r="L15" s="935"/>
      <c r="M15" s="936"/>
      <c r="N15" s="939"/>
      <c r="O15" s="940"/>
      <c r="P15" s="940"/>
      <c r="Q15" s="941"/>
      <c r="R15" s="942"/>
      <c r="S15" s="943"/>
      <c r="T15" s="944"/>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19"/>
      <c r="B16" s="928"/>
      <c r="C16" s="929"/>
      <c r="D16" s="930"/>
      <c r="E16" s="930"/>
      <c r="F16" s="930"/>
      <c r="G16" s="930"/>
      <c r="H16" s="930"/>
      <c r="I16" s="930"/>
      <c r="J16" s="930"/>
      <c r="K16" s="930"/>
      <c r="L16" s="930"/>
      <c r="M16" s="931"/>
      <c r="N16" s="931"/>
      <c r="O16" s="930"/>
      <c r="P16" s="930"/>
      <c r="Q16" s="930"/>
      <c r="R16" s="930"/>
      <c r="S16" s="932"/>
      <c r="T16" s="933"/>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0" t="s">
        <v>2087</v>
      </c>
      <c r="B17" s="1981" t="s">
        <v>2088</v>
      </c>
      <c r="C17" s="947" t="s">
        <v>3560</v>
      </c>
      <c r="D17" s="948" t="s">
        <v>3561</v>
      </c>
      <c r="E17" s="948" t="s">
        <v>3562</v>
      </c>
      <c r="F17" s="948"/>
      <c r="G17" s="948"/>
      <c r="H17" s="948"/>
      <c r="I17" s="948"/>
      <c r="J17" s="948"/>
      <c r="K17" s="948"/>
      <c r="L17" s="949"/>
      <c r="M17" s="950"/>
      <c r="N17" s="951"/>
      <c r="O17" s="952"/>
      <c r="P17" s="952"/>
      <c r="Q17" s="953"/>
      <c r="R17" s="954"/>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685"/>
      <c r="AS17" s="685"/>
    </row>
    <row r="18" spans="1:45" s="625" customFormat="1" ht="13.5" thickBot="1">
      <c r="A18" s="956"/>
      <c r="B18" s="957"/>
      <c r="C18" s="958">
        <v>100</v>
      </c>
      <c r="D18" s="959">
        <v>70</v>
      </c>
      <c r="E18" s="959">
        <v>60</v>
      </c>
      <c r="F18" s="959"/>
      <c r="G18" s="959"/>
      <c r="H18" s="959"/>
      <c r="I18" s="959"/>
      <c r="J18" s="959"/>
      <c r="K18" s="959"/>
      <c r="L18" s="959"/>
      <c r="M18" s="960"/>
      <c r="N18" s="960"/>
      <c r="O18" s="959"/>
      <c r="P18" s="959"/>
      <c r="Q18" s="959"/>
      <c r="R18" s="959"/>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685"/>
      <c r="AS18" s="685"/>
    </row>
    <row r="19" spans="1:45">
      <c r="A19" s="121"/>
      <c r="B19" s="151"/>
      <c r="C19" s="151"/>
      <c r="D19" s="1982" t="s">
        <v>2089</v>
      </c>
      <c r="E19" s="1247"/>
      <c r="F19" s="1247"/>
      <c r="G19" s="1247"/>
      <c r="H19" s="990"/>
      <c r="I19" s="151"/>
      <c r="J19" s="151"/>
      <c r="K19" s="151"/>
      <c r="L19" s="151"/>
      <c r="M19" s="151"/>
      <c r="N19" s="151"/>
      <c r="O19" s="151"/>
      <c r="P19" s="151"/>
      <c r="Q19" s="151"/>
      <c r="R19" s="151"/>
      <c r="S19" s="121"/>
    </row>
    <row r="20" spans="1:45" ht="16.5" thickBot="1">
      <c r="A20" s="632" t="s">
        <v>2090</v>
      </c>
      <c r="B20" s="286">
        <f ca="1">IF(D20="——",S22,S22-F20)</f>
        <v>3504</v>
      </c>
      <c r="C20" s="151"/>
      <c r="D20" s="1983" t="s">
        <v>43</v>
      </c>
      <c r="E20" s="1248"/>
      <c r="F20" s="923" t="e">
        <f ca="1">SUMIF(INDIRECT("'"&amp;H20&amp;"'"&amp;"!A:A"),"承租人权益价值",INDIRECT("'"&amp;H20&amp;"'"&amp;"!c:c"))</f>
        <v>#REF!</v>
      </c>
      <c r="G20" s="923" t="s">
        <v>2091</v>
      </c>
      <c r="H20" s="1984"/>
      <c r="I20" s="151"/>
      <c r="J20" s="151"/>
      <c r="K20" s="151"/>
      <c r="L20" s="151"/>
      <c r="M20" s="151"/>
      <c r="N20" s="151"/>
      <c r="O20" s="151"/>
      <c r="P20" s="151"/>
      <c r="Q20" s="151"/>
      <c r="R20" s="151"/>
      <c r="S20" s="121"/>
    </row>
    <row r="21" spans="1:45" ht="15.75">
      <c r="A21" s="632" t="s">
        <v>2092</v>
      </c>
      <c r="B21" s="286">
        <f ca="1">ROUND(B20*10000/B22,0)</f>
        <v>36405</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962.5</v>
      </c>
      <c r="C22" s="3556" t="s">
        <v>27</v>
      </c>
      <c r="D22" s="3557"/>
      <c r="E22" s="3557"/>
      <c r="F22" s="3557"/>
      <c r="G22" s="3557"/>
      <c r="H22" s="3557"/>
      <c r="I22" s="3557"/>
      <c r="J22" s="3557"/>
      <c r="K22" s="3557"/>
      <c r="L22" s="3557"/>
      <c r="M22" s="3557"/>
      <c r="N22" s="3557"/>
      <c r="O22" s="3557"/>
      <c r="P22" s="3557"/>
      <c r="Q22" s="3558"/>
      <c r="R22" s="21">
        <f ca="1">ROUND(S22*10000/B22,0)</f>
        <v>36405</v>
      </c>
      <c r="S22" s="21">
        <f ca="1">SUM(S24:S10000)</f>
        <v>3504</v>
      </c>
    </row>
    <row r="23" spans="1:45" s="9" customFormat="1" ht="24">
      <c r="A23" s="8" t="s">
        <v>2094</v>
      </c>
      <c r="B23" s="8" t="s">
        <v>2095</v>
      </c>
      <c r="C23" s="8" t="s">
        <v>2096</v>
      </c>
      <c r="D23" s="8" t="str">
        <f>B5</f>
        <v>临街状况</v>
      </c>
      <c r="E23" s="8" t="s">
        <v>2096</v>
      </c>
      <c r="F23" s="8" t="str">
        <f>B7</f>
        <v>可视性</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247" t="str">
        <f>面积位置!T3</f>
        <v>39-4</v>
      </c>
      <c r="B24" s="633">
        <f>面积位置!V3</f>
        <v>617.69000000000005</v>
      </c>
      <c r="C24" s="2565">
        <v>1</v>
      </c>
      <c r="D24" s="2566" t="s">
        <v>3564</v>
      </c>
      <c r="E24" s="2565">
        <v>1</v>
      </c>
      <c r="F24" s="2566" t="s">
        <v>3539</v>
      </c>
      <c r="G24" s="2565">
        <v>1</v>
      </c>
      <c r="H24" s="2566"/>
      <c r="I24" s="2565">
        <v>1</v>
      </c>
      <c r="J24" s="2566"/>
      <c r="K24" s="2565">
        <v>1</v>
      </c>
      <c r="L24" s="2566"/>
      <c r="M24" s="2565">
        <v>1</v>
      </c>
      <c r="N24" s="2566"/>
      <c r="O24" s="2565">
        <v>1</v>
      </c>
      <c r="P24" s="2566" t="s">
        <v>3563</v>
      </c>
      <c r="Q24" s="2565">
        <v>1</v>
      </c>
      <c r="R24" s="633">
        <f ca="1">'结果表-39-4'!G20</f>
        <v>38826</v>
      </c>
      <c r="S24" s="634">
        <f t="shared" ref="S24:S54" ca="1" si="11">ROUND(R24*B24/10000,0)</f>
        <v>2398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247" t="str">
        <f>面积位置!T4</f>
        <v>39-14</v>
      </c>
      <c r="B25" s="52">
        <f>面积位置!V4</f>
        <v>344.81</v>
      </c>
      <c r="C25" s="21">
        <f>IF(B25="",1,(LOOKUP(B25,$3:$3,$4:$4)-LOOKUP($B$24,$3:$3,$4:$4)+100)/100)</f>
        <v>1.02</v>
      </c>
      <c r="D25" s="635" t="s">
        <v>3567</v>
      </c>
      <c r="E25" s="21">
        <f>(SUMIF($5:$5,D25,$6:$6)-SUMIF($5:$5,$D$24,$6:$6)+100)/100</f>
        <v>0.9</v>
      </c>
      <c r="F25" s="635" t="s">
        <v>3541</v>
      </c>
      <c r="G25" s="21">
        <f>(SUMIF($7:$7,F25,$8:$8)-SUMIF($7:$7,$F$24,$8:$8)+100)/100</f>
        <v>0.9</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66" t="s">
        <v>3563</v>
      </c>
      <c r="Q25" s="21">
        <f>(SUMIF($17:$17,P25,$18:$18)-SUMIF($17:$17,$P$24,$18:$18)+100)/100</f>
        <v>1</v>
      </c>
      <c r="R25" s="21">
        <f ca="1">IF(B25="",0,ROUND($R$24*C25*E25*G25*I25*K25*M25*O25*Q25,0))</f>
        <v>32078</v>
      </c>
      <c r="S25" s="308">
        <f t="shared" ca="1" si="11"/>
        <v>1106</v>
      </c>
    </row>
    <row r="26" spans="1:45">
      <c r="A26" s="142"/>
      <c r="B26" s="52"/>
      <c r="C26" s="21">
        <f t="shared" ref="C26:C89" si="12">IF(B26="",1,(LOOKUP(B26,$3:$3,$4:$4)-LOOKUP($B$24,$3:$3,$4:$4)+100)/100)</f>
        <v>1</v>
      </c>
      <c r="D26" s="635"/>
      <c r="E26" s="21">
        <f t="shared" ref="E26:E89" si="13">(SUMIF($5:$5,D26,$6:$6)-SUMIF($5:$5,$D$24,$6:$6)+100)/100</f>
        <v>0</v>
      </c>
      <c r="F26" s="635"/>
      <c r="G26" s="21">
        <f t="shared" ref="G26:G89" si="14">(SUMIF($7:$7,F26,$8:$8)-SUMIF($7:$7,$F$24,$8:$8)+100)/100</f>
        <v>0.05</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0</v>
      </c>
      <c r="R26" s="21">
        <f t="shared" ref="R26:R89" si="20">IF(B26="",0,ROUND($R$24*C26*E26*G26*I26*K26*M26*O26*Q26,0))</f>
        <v>0</v>
      </c>
      <c r="S26" s="308">
        <f t="shared" si="11"/>
        <v>0</v>
      </c>
    </row>
    <row r="27" spans="1:45">
      <c r="A27" s="142"/>
      <c r="B27" s="52"/>
      <c r="C27" s="21">
        <f t="shared" si="12"/>
        <v>1</v>
      </c>
      <c r="D27" s="635"/>
      <c r="E27" s="21">
        <f t="shared" si="13"/>
        <v>0</v>
      </c>
      <c r="F27" s="635"/>
      <c r="G27" s="21">
        <f t="shared" si="14"/>
        <v>0.05</v>
      </c>
      <c r="H27" s="635"/>
      <c r="I27" s="21">
        <f t="shared" si="15"/>
        <v>1</v>
      </c>
      <c r="J27" s="635"/>
      <c r="K27" s="21">
        <f t="shared" si="16"/>
        <v>1</v>
      </c>
      <c r="L27" s="635"/>
      <c r="M27" s="21">
        <f t="shared" si="17"/>
        <v>1</v>
      </c>
      <c r="N27" s="635"/>
      <c r="O27" s="21">
        <f t="shared" si="18"/>
        <v>1</v>
      </c>
      <c r="P27" s="635"/>
      <c r="Q27" s="21">
        <f t="shared" si="19"/>
        <v>0</v>
      </c>
      <c r="R27" s="21">
        <f t="shared" si="20"/>
        <v>0</v>
      </c>
      <c r="S27" s="308">
        <f t="shared" si="11"/>
        <v>0</v>
      </c>
    </row>
    <row r="28" spans="1:45">
      <c r="A28" s="142"/>
      <c r="B28" s="52"/>
      <c r="C28" s="21">
        <f t="shared" si="12"/>
        <v>1</v>
      </c>
      <c r="D28" s="635"/>
      <c r="E28" s="21">
        <f t="shared" si="13"/>
        <v>0</v>
      </c>
      <c r="F28" s="635"/>
      <c r="G28" s="21">
        <f t="shared" si="14"/>
        <v>0.05</v>
      </c>
      <c r="H28" s="635"/>
      <c r="I28" s="21">
        <f t="shared" si="15"/>
        <v>1</v>
      </c>
      <c r="J28" s="635"/>
      <c r="K28" s="21">
        <f t="shared" si="16"/>
        <v>1</v>
      </c>
      <c r="L28" s="635"/>
      <c r="M28" s="21">
        <f t="shared" si="17"/>
        <v>1</v>
      </c>
      <c r="N28" s="635"/>
      <c r="O28" s="21">
        <f t="shared" si="18"/>
        <v>1</v>
      </c>
      <c r="P28" s="635"/>
      <c r="Q28" s="21">
        <f t="shared" si="19"/>
        <v>0</v>
      </c>
      <c r="R28" s="21">
        <f t="shared" si="20"/>
        <v>0</v>
      </c>
      <c r="S28" s="308">
        <f t="shared" si="11"/>
        <v>0</v>
      </c>
    </row>
    <row r="29" spans="1:45">
      <c r="A29" s="142"/>
      <c r="B29" s="52"/>
      <c r="C29" s="21">
        <f t="shared" si="12"/>
        <v>1</v>
      </c>
      <c r="D29" s="635"/>
      <c r="E29" s="21">
        <f t="shared" si="13"/>
        <v>0</v>
      </c>
      <c r="F29" s="635"/>
      <c r="G29" s="21">
        <f t="shared" si="14"/>
        <v>0.05</v>
      </c>
      <c r="H29" s="635"/>
      <c r="I29" s="21">
        <f t="shared" si="15"/>
        <v>1</v>
      </c>
      <c r="J29" s="635"/>
      <c r="K29" s="21">
        <f t="shared" si="16"/>
        <v>1</v>
      </c>
      <c r="L29" s="635"/>
      <c r="M29" s="21">
        <f t="shared" si="17"/>
        <v>1</v>
      </c>
      <c r="N29" s="635"/>
      <c r="O29" s="21">
        <f t="shared" si="18"/>
        <v>1</v>
      </c>
      <c r="P29" s="635"/>
      <c r="Q29" s="21">
        <f t="shared" si="19"/>
        <v>0</v>
      </c>
      <c r="R29" s="21">
        <f t="shared" si="20"/>
        <v>0</v>
      </c>
      <c r="S29" s="308">
        <f t="shared" si="11"/>
        <v>0</v>
      </c>
    </row>
    <row r="30" spans="1:45">
      <c r="A30" s="142"/>
      <c r="B30" s="52"/>
      <c r="C30" s="21">
        <f t="shared" si="12"/>
        <v>1</v>
      </c>
      <c r="D30" s="635"/>
      <c r="E30" s="21">
        <f t="shared" si="13"/>
        <v>0</v>
      </c>
      <c r="F30" s="635"/>
      <c r="G30" s="21">
        <f t="shared" si="14"/>
        <v>0.05</v>
      </c>
      <c r="H30" s="635"/>
      <c r="I30" s="21">
        <f t="shared" si="15"/>
        <v>1</v>
      </c>
      <c r="J30" s="635"/>
      <c r="K30" s="21">
        <f t="shared" si="16"/>
        <v>1</v>
      </c>
      <c r="L30" s="635"/>
      <c r="M30" s="21">
        <f t="shared" si="17"/>
        <v>1</v>
      </c>
      <c r="N30" s="635"/>
      <c r="O30" s="21">
        <f t="shared" si="18"/>
        <v>1</v>
      </c>
      <c r="P30" s="635"/>
      <c r="Q30" s="21">
        <f t="shared" si="19"/>
        <v>0</v>
      </c>
      <c r="R30" s="21">
        <f t="shared" si="20"/>
        <v>0</v>
      </c>
      <c r="S30" s="308">
        <f t="shared" si="11"/>
        <v>0</v>
      </c>
    </row>
    <row r="31" spans="1:45">
      <c r="A31" s="142"/>
      <c r="B31" s="52"/>
      <c r="C31" s="21">
        <f t="shared" si="12"/>
        <v>1</v>
      </c>
      <c r="D31" s="635"/>
      <c r="E31" s="21">
        <f t="shared" si="13"/>
        <v>0</v>
      </c>
      <c r="F31" s="635"/>
      <c r="G31" s="21">
        <f t="shared" si="14"/>
        <v>0.05</v>
      </c>
      <c r="H31" s="635"/>
      <c r="I31" s="21">
        <f t="shared" si="15"/>
        <v>1</v>
      </c>
      <c r="J31" s="635"/>
      <c r="K31" s="21">
        <f t="shared" si="16"/>
        <v>1</v>
      </c>
      <c r="L31" s="635"/>
      <c r="M31" s="21">
        <f t="shared" si="17"/>
        <v>1</v>
      </c>
      <c r="N31" s="635"/>
      <c r="O31" s="21">
        <f t="shared" si="18"/>
        <v>1</v>
      </c>
      <c r="P31" s="635"/>
      <c r="Q31" s="21">
        <f t="shared" si="19"/>
        <v>0</v>
      </c>
      <c r="R31" s="21">
        <f t="shared" si="20"/>
        <v>0</v>
      </c>
      <c r="S31" s="308">
        <f t="shared" si="11"/>
        <v>0</v>
      </c>
    </row>
    <row r="32" spans="1:45">
      <c r="A32" s="142"/>
      <c r="B32" s="52"/>
      <c r="C32" s="21">
        <f t="shared" si="12"/>
        <v>1</v>
      </c>
      <c r="D32" s="635"/>
      <c r="E32" s="21">
        <f t="shared" si="13"/>
        <v>0</v>
      </c>
      <c r="F32" s="635"/>
      <c r="G32" s="21">
        <f t="shared" si="14"/>
        <v>0.05</v>
      </c>
      <c r="H32" s="635"/>
      <c r="I32" s="21">
        <f t="shared" si="15"/>
        <v>1</v>
      </c>
      <c r="J32" s="635"/>
      <c r="K32" s="21">
        <f t="shared" si="16"/>
        <v>1</v>
      </c>
      <c r="L32" s="635"/>
      <c r="M32" s="21">
        <f t="shared" si="17"/>
        <v>1</v>
      </c>
      <c r="N32" s="635"/>
      <c r="O32" s="21">
        <f t="shared" si="18"/>
        <v>1</v>
      </c>
      <c r="P32" s="635"/>
      <c r="Q32" s="21">
        <f t="shared" si="19"/>
        <v>0</v>
      </c>
      <c r="R32" s="21">
        <f t="shared" si="20"/>
        <v>0</v>
      </c>
      <c r="S32" s="308">
        <f t="shared" si="11"/>
        <v>0</v>
      </c>
    </row>
    <row r="33" spans="1:19">
      <c r="A33" s="142"/>
      <c r="B33" s="52"/>
      <c r="C33" s="21">
        <f t="shared" si="12"/>
        <v>1</v>
      </c>
      <c r="D33" s="635"/>
      <c r="E33" s="21">
        <f t="shared" si="13"/>
        <v>0</v>
      </c>
      <c r="F33" s="635"/>
      <c r="G33" s="21">
        <f t="shared" si="14"/>
        <v>0.05</v>
      </c>
      <c r="H33" s="635"/>
      <c r="I33" s="21">
        <f t="shared" si="15"/>
        <v>1</v>
      </c>
      <c r="J33" s="635"/>
      <c r="K33" s="21">
        <f t="shared" si="16"/>
        <v>1</v>
      </c>
      <c r="L33" s="635"/>
      <c r="M33" s="21">
        <f t="shared" si="17"/>
        <v>1</v>
      </c>
      <c r="N33" s="635"/>
      <c r="O33" s="21">
        <f t="shared" si="18"/>
        <v>1</v>
      </c>
      <c r="P33" s="635"/>
      <c r="Q33" s="21">
        <f t="shared" si="19"/>
        <v>0</v>
      </c>
      <c r="R33" s="21">
        <f t="shared" si="20"/>
        <v>0</v>
      </c>
      <c r="S33" s="308">
        <f t="shared" si="11"/>
        <v>0</v>
      </c>
    </row>
    <row r="34" spans="1:19">
      <c r="A34" s="142"/>
      <c r="B34" s="52"/>
      <c r="C34" s="21">
        <f t="shared" si="12"/>
        <v>1</v>
      </c>
      <c r="D34" s="635"/>
      <c r="E34" s="21">
        <f t="shared" si="13"/>
        <v>0</v>
      </c>
      <c r="F34" s="635"/>
      <c r="G34" s="21">
        <f t="shared" si="14"/>
        <v>0.05</v>
      </c>
      <c r="H34" s="635"/>
      <c r="I34" s="21">
        <f t="shared" si="15"/>
        <v>1</v>
      </c>
      <c r="J34" s="635"/>
      <c r="K34" s="21">
        <f t="shared" si="16"/>
        <v>1</v>
      </c>
      <c r="L34" s="635"/>
      <c r="M34" s="21">
        <f t="shared" si="17"/>
        <v>1</v>
      </c>
      <c r="N34" s="635"/>
      <c r="O34" s="21">
        <f t="shared" si="18"/>
        <v>1</v>
      </c>
      <c r="P34" s="635"/>
      <c r="Q34" s="21">
        <f t="shared" si="19"/>
        <v>0</v>
      </c>
      <c r="R34" s="21">
        <f t="shared" si="20"/>
        <v>0</v>
      </c>
      <c r="S34" s="308">
        <f t="shared" si="11"/>
        <v>0</v>
      </c>
    </row>
    <row r="35" spans="1:19">
      <c r="A35" s="142"/>
      <c r="B35" s="52"/>
      <c r="C35" s="21">
        <f t="shared" si="12"/>
        <v>1</v>
      </c>
      <c r="D35" s="635"/>
      <c r="E35" s="21">
        <f t="shared" si="13"/>
        <v>0</v>
      </c>
      <c r="F35" s="635"/>
      <c r="G35" s="21">
        <f t="shared" si="14"/>
        <v>0.05</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52"/>
      <c r="C36" s="21">
        <f t="shared" si="12"/>
        <v>1</v>
      </c>
      <c r="D36" s="635"/>
      <c r="E36" s="21">
        <f t="shared" si="13"/>
        <v>0</v>
      </c>
      <c r="F36" s="635"/>
      <c r="G36" s="21">
        <f t="shared" si="14"/>
        <v>0.05</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52"/>
      <c r="C37" s="21">
        <f t="shared" si="12"/>
        <v>1</v>
      </c>
      <c r="D37" s="635"/>
      <c r="E37" s="21">
        <f t="shared" si="13"/>
        <v>0</v>
      </c>
      <c r="F37" s="635"/>
      <c r="G37" s="21">
        <f t="shared" si="14"/>
        <v>0.05</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0</v>
      </c>
      <c r="F38" s="635"/>
      <c r="G38" s="21">
        <f t="shared" si="14"/>
        <v>0.05</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0</v>
      </c>
      <c r="F39" s="635"/>
      <c r="G39" s="21">
        <f t="shared" si="14"/>
        <v>0.05</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0</v>
      </c>
      <c r="F40" s="635"/>
      <c r="G40" s="21">
        <f t="shared" si="14"/>
        <v>0.05</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0</v>
      </c>
      <c r="F41" s="635"/>
      <c r="G41" s="21">
        <f t="shared" si="14"/>
        <v>0.05</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0</v>
      </c>
      <c r="F42" s="635"/>
      <c r="G42" s="21">
        <f t="shared" si="14"/>
        <v>0.05</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0</v>
      </c>
      <c r="F43" s="635"/>
      <c r="G43" s="21">
        <f t="shared" si="14"/>
        <v>0.05</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0</v>
      </c>
      <c r="F44" s="635"/>
      <c r="G44" s="21">
        <f t="shared" si="14"/>
        <v>0.05</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0</v>
      </c>
      <c r="F45" s="635"/>
      <c r="G45" s="21">
        <f t="shared" si="14"/>
        <v>0.05</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0</v>
      </c>
      <c r="F46" s="635"/>
      <c r="G46" s="21">
        <f t="shared" si="14"/>
        <v>0.05</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0</v>
      </c>
      <c r="F47" s="635"/>
      <c r="G47" s="21">
        <f t="shared" si="14"/>
        <v>0.05</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0</v>
      </c>
      <c r="F48" s="635"/>
      <c r="G48" s="21">
        <f t="shared" si="14"/>
        <v>0.05</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0</v>
      </c>
      <c r="F49" s="635"/>
      <c r="G49" s="21">
        <f t="shared" si="14"/>
        <v>0.05</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0</v>
      </c>
      <c r="F50" s="635"/>
      <c r="G50" s="21">
        <f t="shared" si="14"/>
        <v>0.05</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0</v>
      </c>
      <c r="F51" s="635"/>
      <c r="G51" s="21">
        <f t="shared" si="14"/>
        <v>0.05</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0</v>
      </c>
      <c r="F52" s="635"/>
      <c r="G52" s="21">
        <f t="shared" si="14"/>
        <v>0.05</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0</v>
      </c>
      <c r="F53" s="635"/>
      <c r="G53" s="21">
        <f t="shared" si="14"/>
        <v>0.05</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0</v>
      </c>
      <c r="F54" s="635"/>
      <c r="G54" s="21">
        <f t="shared" si="14"/>
        <v>0.05</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0</v>
      </c>
      <c r="F55" s="635"/>
      <c r="G55" s="21">
        <f t="shared" si="14"/>
        <v>0.05</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0</v>
      </c>
      <c r="F56" s="635"/>
      <c r="G56" s="21">
        <f t="shared" si="14"/>
        <v>0.05</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0</v>
      </c>
      <c r="F57" s="635"/>
      <c r="G57" s="21">
        <f t="shared" si="14"/>
        <v>0.05</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0</v>
      </c>
      <c r="F58" s="635"/>
      <c r="G58" s="21">
        <f t="shared" si="14"/>
        <v>0.05</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0</v>
      </c>
      <c r="F59" s="635"/>
      <c r="G59" s="21">
        <f t="shared" si="14"/>
        <v>0.05</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0</v>
      </c>
      <c r="F60" s="635"/>
      <c r="G60" s="21">
        <f t="shared" si="14"/>
        <v>0.05</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0</v>
      </c>
      <c r="F61" s="635"/>
      <c r="G61" s="21">
        <f t="shared" si="14"/>
        <v>0.05</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0</v>
      </c>
      <c r="F62" s="635"/>
      <c r="G62" s="21">
        <f t="shared" si="14"/>
        <v>0.05</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0</v>
      </c>
      <c r="F63" s="635"/>
      <c r="G63" s="21">
        <f t="shared" si="14"/>
        <v>0.05</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0</v>
      </c>
      <c r="F64" s="635"/>
      <c r="G64" s="21">
        <f t="shared" si="14"/>
        <v>0.05</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0</v>
      </c>
      <c r="F65" s="635"/>
      <c r="G65" s="21">
        <f t="shared" si="14"/>
        <v>0.05</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0</v>
      </c>
      <c r="F66" s="635"/>
      <c r="G66" s="21">
        <f t="shared" si="14"/>
        <v>0.05</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0</v>
      </c>
      <c r="F67" s="635"/>
      <c r="G67" s="21">
        <f t="shared" si="14"/>
        <v>0.05</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0</v>
      </c>
      <c r="F68" s="635"/>
      <c r="G68" s="21">
        <f t="shared" si="14"/>
        <v>0.05</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0</v>
      </c>
      <c r="F69" s="635"/>
      <c r="G69" s="21">
        <f t="shared" si="14"/>
        <v>0.05</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0</v>
      </c>
      <c r="F70" s="635"/>
      <c r="G70" s="21">
        <f t="shared" si="14"/>
        <v>0.05</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0</v>
      </c>
      <c r="F71" s="635"/>
      <c r="G71" s="21">
        <f t="shared" si="14"/>
        <v>0.05</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0</v>
      </c>
      <c r="F72" s="635"/>
      <c r="G72" s="21">
        <f t="shared" si="14"/>
        <v>0.05</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0</v>
      </c>
      <c r="F73" s="635"/>
      <c r="G73" s="21">
        <f t="shared" si="14"/>
        <v>0.05</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0</v>
      </c>
      <c r="F74" s="635"/>
      <c r="G74" s="21">
        <f t="shared" si="14"/>
        <v>0.05</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0</v>
      </c>
      <c r="F75" s="635"/>
      <c r="G75" s="21">
        <f t="shared" si="14"/>
        <v>0.05</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0</v>
      </c>
      <c r="F76" s="635"/>
      <c r="G76" s="21">
        <f t="shared" si="14"/>
        <v>0.05</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0</v>
      </c>
      <c r="F77" s="635"/>
      <c r="G77" s="21">
        <f t="shared" si="14"/>
        <v>0.05</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0</v>
      </c>
      <c r="F78" s="635"/>
      <c r="G78" s="21">
        <f t="shared" si="14"/>
        <v>0.05</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0</v>
      </c>
      <c r="F79" s="635"/>
      <c r="G79" s="21">
        <f t="shared" si="14"/>
        <v>0.05</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0</v>
      </c>
      <c r="F80" s="635"/>
      <c r="G80" s="21">
        <f t="shared" si="14"/>
        <v>0.05</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0</v>
      </c>
      <c r="F81" s="635"/>
      <c r="G81" s="21">
        <f t="shared" si="14"/>
        <v>0.05</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0</v>
      </c>
      <c r="F82" s="635"/>
      <c r="G82" s="21">
        <f t="shared" si="14"/>
        <v>0.05</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0</v>
      </c>
      <c r="F83" s="635"/>
      <c r="G83" s="21">
        <f t="shared" si="14"/>
        <v>0.05</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0</v>
      </c>
      <c r="F84" s="635"/>
      <c r="G84" s="21">
        <f t="shared" si="14"/>
        <v>0.05</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0</v>
      </c>
      <c r="F85" s="635"/>
      <c r="G85" s="21">
        <f t="shared" si="14"/>
        <v>0.05</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0</v>
      </c>
      <c r="F86" s="635"/>
      <c r="G86" s="21">
        <f t="shared" si="14"/>
        <v>0.05</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0</v>
      </c>
      <c r="F87" s="635"/>
      <c r="G87" s="21">
        <f t="shared" si="14"/>
        <v>0.05</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0</v>
      </c>
      <c r="F88" s="635"/>
      <c r="G88" s="21">
        <f t="shared" si="14"/>
        <v>0.05</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0</v>
      </c>
      <c r="F89" s="635"/>
      <c r="G89" s="21">
        <f t="shared" si="14"/>
        <v>0.05</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0</v>
      </c>
      <c r="F90" s="635"/>
      <c r="G90" s="21">
        <f t="shared" ref="G90:G153" si="25">(SUMIF($7:$7,F90,$8:$8)-SUMIF($7:$7,$F$24,$8:$8)+100)/100</f>
        <v>0.05</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0</v>
      </c>
      <c r="F91" s="635"/>
      <c r="G91" s="21">
        <f t="shared" si="25"/>
        <v>0.05</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0</v>
      </c>
      <c r="F92" s="635"/>
      <c r="G92" s="21">
        <f t="shared" si="25"/>
        <v>0.05</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0</v>
      </c>
      <c r="F93" s="635"/>
      <c r="G93" s="21">
        <f t="shared" si="25"/>
        <v>0.05</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0</v>
      </c>
      <c r="F94" s="635"/>
      <c r="G94" s="21">
        <f t="shared" si="25"/>
        <v>0.05</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0</v>
      </c>
      <c r="F95" s="635"/>
      <c r="G95" s="21">
        <f t="shared" si="25"/>
        <v>0.05</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0</v>
      </c>
      <c r="F96" s="635"/>
      <c r="G96" s="21">
        <f t="shared" si="25"/>
        <v>0.05</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0</v>
      </c>
      <c r="F97" s="635"/>
      <c r="G97" s="21">
        <f t="shared" si="25"/>
        <v>0.05</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0</v>
      </c>
      <c r="F98" s="635"/>
      <c r="G98" s="21">
        <f t="shared" si="25"/>
        <v>0.05</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0</v>
      </c>
      <c r="F99" s="635"/>
      <c r="G99" s="21">
        <f t="shared" si="25"/>
        <v>0.05</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0</v>
      </c>
      <c r="F100" s="635"/>
      <c r="G100" s="21">
        <f t="shared" si="25"/>
        <v>0.05</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0</v>
      </c>
      <c r="F101" s="635"/>
      <c r="G101" s="21">
        <f t="shared" si="25"/>
        <v>0.05</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0</v>
      </c>
      <c r="F102" s="635"/>
      <c r="G102" s="21">
        <f t="shared" si="25"/>
        <v>0.05</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0</v>
      </c>
      <c r="F103" s="635"/>
      <c r="G103" s="21">
        <f t="shared" si="25"/>
        <v>0.05</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0</v>
      </c>
      <c r="F104" s="635"/>
      <c r="G104" s="21">
        <f t="shared" si="25"/>
        <v>0.05</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0</v>
      </c>
      <c r="F105" s="635"/>
      <c r="G105" s="21">
        <f t="shared" si="25"/>
        <v>0.05</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0</v>
      </c>
      <c r="F106" s="635"/>
      <c r="G106" s="21">
        <f t="shared" si="25"/>
        <v>0.05</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0</v>
      </c>
      <c r="F107" s="635"/>
      <c r="G107" s="21">
        <f t="shared" si="25"/>
        <v>0.05</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0</v>
      </c>
      <c r="F108" s="635"/>
      <c r="G108" s="21">
        <f t="shared" si="25"/>
        <v>0.05</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0</v>
      </c>
      <c r="F109" s="635"/>
      <c r="G109" s="21">
        <f t="shared" si="25"/>
        <v>0.05</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0</v>
      </c>
      <c r="F110" s="635"/>
      <c r="G110" s="21">
        <f t="shared" si="25"/>
        <v>0.05</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0</v>
      </c>
      <c r="F111" s="635"/>
      <c r="G111" s="21">
        <f t="shared" si="25"/>
        <v>0.05</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0</v>
      </c>
      <c r="F112" s="635"/>
      <c r="G112" s="21">
        <f t="shared" si="25"/>
        <v>0.05</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0</v>
      </c>
      <c r="F113" s="635"/>
      <c r="G113" s="21">
        <f t="shared" si="25"/>
        <v>0.05</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0</v>
      </c>
      <c r="F114" s="635"/>
      <c r="G114" s="21">
        <f t="shared" si="25"/>
        <v>0.05</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0</v>
      </c>
      <c r="F115" s="635"/>
      <c r="G115" s="21">
        <f t="shared" si="25"/>
        <v>0.05</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0</v>
      </c>
      <c r="F116" s="635"/>
      <c r="G116" s="21">
        <f t="shared" si="25"/>
        <v>0.05</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0</v>
      </c>
      <c r="F117" s="635"/>
      <c r="G117" s="21">
        <f t="shared" si="25"/>
        <v>0.05</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0</v>
      </c>
      <c r="F118" s="635"/>
      <c r="G118" s="21">
        <f t="shared" si="25"/>
        <v>0.05</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0</v>
      </c>
      <c r="F119" s="635"/>
      <c r="G119" s="21">
        <f t="shared" si="25"/>
        <v>0.05</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0</v>
      </c>
      <c r="F120" s="635"/>
      <c r="G120" s="21">
        <f t="shared" si="25"/>
        <v>0.05</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0</v>
      </c>
      <c r="F121" s="635"/>
      <c r="G121" s="21">
        <f t="shared" si="25"/>
        <v>0.05</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0</v>
      </c>
      <c r="F122" s="635"/>
      <c r="G122" s="21">
        <f t="shared" si="25"/>
        <v>0.05</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0</v>
      </c>
      <c r="F123" s="635"/>
      <c r="G123" s="21">
        <f t="shared" si="25"/>
        <v>0.05</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0</v>
      </c>
      <c r="F124" s="635"/>
      <c r="G124" s="21">
        <f t="shared" si="25"/>
        <v>0.05</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0</v>
      </c>
      <c r="F125" s="635"/>
      <c r="G125" s="21">
        <f t="shared" si="25"/>
        <v>0.05</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0</v>
      </c>
      <c r="F126" s="635"/>
      <c r="G126" s="21">
        <f t="shared" si="25"/>
        <v>0.05</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0</v>
      </c>
      <c r="F127" s="635"/>
      <c r="G127" s="21">
        <f t="shared" si="25"/>
        <v>0.05</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0</v>
      </c>
      <c r="F128" s="635"/>
      <c r="G128" s="21">
        <f t="shared" si="25"/>
        <v>0.05</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0</v>
      </c>
      <c r="F129" s="635"/>
      <c r="G129" s="21">
        <f t="shared" si="25"/>
        <v>0.05</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0</v>
      </c>
      <c r="F130" s="635"/>
      <c r="G130" s="21">
        <f t="shared" si="25"/>
        <v>0.05</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0</v>
      </c>
      <c r="F131" s="635"/>
      <c r="G131" s="21">
        <f t="shared" si="25"/>
        <v>0.05</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0</v>
      </c>
      <c r="F132" s="635"/>
      <c r="G132" s="21">
        <f t="shared" si="25"/>
        <v>0.05</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0</v>
      </c>
      <c r="F133" s="635"/>
      <c r="G133" s="21">
        <f t="shared" si="25"/>
        <v>0.05</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0</v>
      </c>
      <c r="F134" s="635"/>
      <c r="G134" s="21">
        <f t="shared" si="25"/>
        <v>0.05</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0</v>
      </c>
      <c r="F135" s="635"/>
      <c r="G135" s="21">
        <f t="shared" si="25"/>
        <v>0.05</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0</v>
      </c>
      <c r="F136" s="635"/>
      <c r="G136" s="21">
        <f t="shared" si="25"/>
        <v>0.05</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0</v>
      </c>
      <c r="F137" s="635"/>
      <c r="G137" s="21">
        <f t="shared" si="25"/>
        <v>0.05</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0</v>
      </c>
      <c r="F138" s="635"/>
      <c r="G138" s="21">
        <f t="shared" si="25"/>
        <v>0.05</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0</v>
      </c>
      <c r="F139" s="635"/>
      <c r="G139" s="21">
        <f t="shared" si="25"/>
        <v>0.05</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0</v>
      </c>
      <c r="F140" s="635"/>
      <c r="G140" s="21">
        <f t="shared" si="25"/>
        <v>0.05</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0</v>
      </c>
      <c r="F141" s="635"/>
      <c r="G141" s="21">
        <f t="shared" si="25"/>
        <v>0.05</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0</v>
      </c>
      <c r="F142" s="635"/>
      <c r="G142" s="21">
        <f t="shared" si="25"/>
        <v>0.05</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0</v>
      </c>
      <c r="F143" s="635"/>
      <c r="G143" s="21">
        <f t="shared" si="25"/>
        <v>0.05</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0</v>
      </c>
      <c r="F144" s="635"/>
      <c r="G144" s="21">
        <f t="shared" si="25"/>
        <v>0.05</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0</v>
      </c>
      <c r="F145" s="635"/>
      <c r="G145" s="21">
        <f t="shared" si="25"/>
        <v>0.05</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0</v>
      </c>
      <c r="F146" s="635"/>
      <c r="G146" s="21">
        <f t="shared" si="25"/>
        <v>0.05</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0</v>
      </c>
      <c r="F147" s="635"/>
      <c r="G147" s="21">
        <f t="shared" si="25"/>
        <v>0.05</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0</v>
      </c>
      <c r="F148" s="635"/>
      <c r="G148" s="21">
        <f t="shared" si="25"/>
        <v>0.05</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0</v>
      </c>
      <c r="F149" s="635"/>
      <c r="G149" s="21">
        <f t="shared" si="25"/>
        <v>0.05</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0</v>
      </c>
      <c r="F150" s="635"/>
      <c r="G150" s="21">
        <f t="shared" si="25"/>
        <v>0.05</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0</v>
      </c>
      <c r="F151" s="635"/>
      <c r="G151" s="21">
        <f t="shared" si="25"/>
        <v>0.05</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0</v>
      </c>
      <c r="F152" s="635"/>
      <c r="G152" s="21">
        <f t="shared" si="25"/>
        <v>0.05</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0</v>
      </c>
      <c r="F153" s="635"/>
      <c r="G153" s="21">
        <f t="shared" si="25"/>
        <v>0.05</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v>
      </c>
      <c r="F154" s="635"/>
      <c r="G154" s="21">
        <f t="shared" ref="G154:G217" si="35">(SUMIF($7:$7,F154,$8:$8)-SUMIF($7:$7,$F$24,$8:$8)+100)/100</f>
        <v>0.05</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0</v>
      </c>
      <c r="F155" s="635"/>
      <c r="G155" s="21">
        <f t="shared" si="35"/>
        <v>0.05</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0</v>
      </c>
      <c r="F156" s="635"/>
      <c r="G156" s="21">
        <f t="shared" si="35"/>
        <v>0.05</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0</v>
      </c>
      <c r="F157" s="635"/>
      <c r="G157" s="21">
        <f t="shared" si="35"/>
        <v>0.05</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0</v>
      </c>
      <c r="F158" s="635"/>
      <c r="G158" s="21">
        <f t="shared" si="35"/>
        <v>0.05</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0</v>
      </c>
      <c r="F159" s="635"/>
      <c r="G159" s="21">
        <f t="shared" si="35"/>
        <v>0.05</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0</v>
      </c>
      <c r="F160" s="635"/>
      <c r="G160" s="21">
        <f t="shared" si="35"/>
        <v>0.05</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0</v>
      </c>
      <c r="F161" s="635"/>
      <c r="G161" s="21">
        <f t="shared" si="35"/>
        <v>0.05</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0</v>
      </c>
      <c r="F162" s="635"/>
      <c r="G162" s="21">
        <f t="shared" si="35"/>
        <v>0.05</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0</v>
      </c>
      <c r="F163" s="635"/>
      <c r="G163" s="21">
        <f t="shared" si="35"/>
        <v>0.05</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0</v>
      </c>
      <c r="F164" s="635"/>
      <c r="G164" s="21">
        <f t="shared" si="35"/>
        <v>0.05</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0</v>
      </c>
      <c r="F165" s="635"/>
      <c r="G165" s="21">
        <f t="shared" si="35"/>
        <v>0.05</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0</v>
      </c>
      <c r="F166" s="635"/>
      <c r="G166" s="21">
        <f t="shared" si="35"/>
        <v>0.05</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0</v>
      </c>
      <c r="F167" s="635"/>
      <c r="G167" s="21">
        <f t="shared" si="35"/>
        <v>0.05</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0</v>
      </c>
      <c r="F168" s="635"/>
      <c r="G168" s="21">
        <f t="shared" si="35"/>
        <v>0.05</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0</v>
      </c>
      <c r="F169" s="635"/>
      <c r="G169" s="21">
        <f t="shared" si="35"/>
        <v>0.05</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0</v>
      </c>
      <c r="F170" s="635"/>
      <c r="G170" s="21">
        <f t="shared" si="35"/>
        <v>0.05</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0</v>
      </c>
      <c r="F171" s="635"/>
      <c r="G171" s="21">
        <f t="shared" si="35"/>
        <v>0.05</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0</v>
      </c>
      <c r="F172" s="635"/>
      <c r="G172" s="21">
        <f t="shared" si="35"/>
        <v>0.05</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0</v>
      </c>
      <c r="F173" s="635"/>
      <c r="G173" s="21">
        <f t="shared" si="35"/>
        <v>0.05</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0</v>
      </c>
      <c r="F174" s="635"/>
      <c r="G174" s="21">
        <f t="shared" si="35"/>
        <v>0.05</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0</v>
      </c>
      <c r="F175" s="635"/>
      <c r="G175" s="21">
        <f t="shared" si="35"/>
        <v>0.05</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0</v>
      </c>
      <c r="F176" s="635"/>
      <c r="G176" s="21">
        <f t="shared" si="35"/>
        <v>0.05</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0</v>
      </c>
      <c r="F177" s="635"/>
      <c r="G177" s="21">
        <f t="shared" si="35"/>
        <v>0.05</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0</v>
      </c>
      <c r="F178" s="635"/>
      <c r="G178" s="21">
        <f t="shared" si="35"/>
        <v>0.05</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0</v>
      </c>
      <c r="F179" s="635"/>
      <c r="G179" s="21">
        <f t="shared" si="35"/>
        <v>0.05</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0</v>
      </c>
      <c r="F180" s="635"/>
      <c r="G180" s="21">
        <f t="shared" si="35"/>
        <v>0.05</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0</v>
      </c>
      <c r="F181" s="635"/>
      <c r="G181" s="21">
        <f t="shared" si="35"/>
        <v>0.05</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0</v>
      </c>
      <c r="F182" s="635"/>
      <c r="G182" s="21">
        <f t="shared" si="35"/>
        <v>0.05</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0</v>
      </c>
      <c r="F183" s="635"/>
      <c r="G183" s="21">
        <f t="shared" si="35"/>
        <v>0.05</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0</v>
      </c>
      <c r="F184" s="635"/>
      <c r="G184" s="21">
        <f t="shared" si="35"/>
        <v>0.05</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0</v>
      </c>
      <c r="F185" s="635"/>
      <c r="G185" s="21">
        <f t="shared" si="35"/>
        <v>0.05</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0</v>
      </c>
      <c r="F186" s="635"/>
      <c r="G186" s="21">
        <f t="shared" si="35"/>
        <v>0.05</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0</v>
      </c>
      <c r="F187" s="635"/>
      <c r="G187" s="21">
        <f t="shared" si="35"/>
        <v>0.05</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0</v>
      </c>
      <c r="F188" s="635"/>
      <c r="G188" s="21">
        <f t="shared" si="35"/>
        <v>0.05</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0</v>
      </c>
      <c r="F189" s="635"/>
      <c r="G189" s="21">
        <f t="shared" si="35"/>
        <v>0.05</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0</v>
      </c>
      <c r="F190" s="635"/>
      <c r="G190" s="21">
        <f t="shared" si="35"/>
        <v>0.05</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0</v>
      </c>
      <c r="F191" s="635"/>
      <c r="G191" s="21">
        <f t="shared" si="35"/>
        <v>0.05</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0</v>
      </c>
      <c r="F192" s="635"/>
      <c r="G192" s="21">
        <f t="shared" si="35"/>
        <v>0.05</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0</v>
      </c>
      <c r="F193" s="635"/>
      <c r="G193" s="21">
        <f t="shared" si="35"/>
        <v>0.05</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0</v>
      </c>
      <c r="F194" s="635"/>
      <c r="G194" s="21">
        <f t="shared" si="35"/>
        <v>0.05</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0</v>
      </c>
      <c r="F195" s="635"/>
      <c r="G195" s="21">
        <f t="shared" si="35"/>
        <v>0.05</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0</v>
      </c>
      <c r="F196" s="635"/>
      <c r="G196" s="21">
        <f t="shared" si="35"/>
        <v>0.05</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0</v>
      </c>
      <c r="F197" s="635"/>
      <c r="G197" s="21">
        <f t="shared" si="35"/>
        <v>0.05</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0</v>
      </c>
      <c r="F198" s="635"/>
      <c r="G198" s="21">
        <f t="shared" si="35"/>
        <v>0.05</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0</v>
      </c>
      <c r="F199" s="635"/>
      <c r="G199" s="21">
        <f t="shared" si="35"/>
        <v>0.05</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0</v>
      </c>
      <c r="F200" s="635"/>
      <c r="G200" s="21">
        <f t="shared" si="35"/>
        <v>0.05</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0</v>
      </c>
      <c r="F201" s="635"/>
      <c r="G201" s="21">
        <f t="shared" si="35"/>
        <v>0.05</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0</v>
      </c>
      <c r="F202" s="635"/>
      <c r="G202" s="21">
        <f t="shared" si="35"/>
        <v>0.05</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0</v>
      </c>
      <c r="F203" s="635"/>
      <c r="G203" s="21">
        <f t="shared" si="35"/>
        <v>0.05</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0</v>
      </c>
      <c r="F204" s="635"/>
      <c r="G204" s="21">
        <f t="shared" si="35"/>
        <v>0.05</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0</v>
      </c>
      <c r="F205" s="635"/>
      <c r="G205" s="21">
        <f t="shared" si="35"/>
        <v>0.05</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0</v>
      </c>
      <c r="F206" s="635"/>
      <c r="G206" s="21">
        <f t="shared" si="35"/>
        <v>0.05</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0</v>
      </c>
      <c r="F207" s="635"/>
      <c r="G207" s="21">
        <f t="shared" si="35"/>
        <v>0.05</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0</v>
      </c>
      <c r="F208" s="635"/>
      <c r="G208" s="21">
        <f t="shared" si="35"/>
        <v>0.05</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0</v>
      </c>
      <c r="F209" s="635"/>
      <c r="G209" s="21">
        <f t="shared" si="35"/>
        <v>0.05</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0</v>
      </c>
      <c r="F210" s="635"/>
      <c r="G210" s="21">
        <f t="shared" si="35"/>
        <v>0.05</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0</v>
      </c>
      <c r="F211" s="635"/>
      <c r="G211" s="21">
        <f t="shared" si="35"/>
        <v>0.05</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0</v>
      </c>
      <c r="F212" s="635"/>
      <c r="G212" s="21">
        <f t="shared" si="35"/>
        <v>0.05</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0</v>
      </c>
      <c r="F213" s="635"/>
      <c r="G213" s="21">
        <f t="shared" si="35"/>
        <v>0.05</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0</v>
      </c>
      <c r="F214" s="635"/>
      <c r="G214" s="21">
        <f t="shared" si="35"/>
        <v>0.05</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0</v>
      </c>
      <c r="F215" s="635"/>
      <c r="G215" s="21">
        <f t="shared" si="35"/>
        <v>0.05</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0</v>
      </c>
      <c r="F216" s="635"/>
      <c r="G216" s="21">
        <f t="shared" si="35"/>
        <v>0.05</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0</v>
      </c>
      <c r="F217" s="635"/>
      <c r="G217" s="21">
        <f t="shared" si="35"/>
        <v>0.05</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v>
      </c>
      <c r="F218" s="635"/>
      <c r="G218" s="21">
        <f t="shared" ref="G218:G281" si="45">(SUMIF($7:$7,F218,$8:$8)-SUMIF($7:$7,$F$24,$8:$8)+100)/100</f>
        <v>0.05</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0</v>
      </c>
      <c r="F219" s="635"/>
      <c r="G219" s="21">
        <f t="shared" si="45"/>
        <v>0.05</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0</v>
      </c>
      <c r="F220" s="635"/>
      <c r="G220" s="21">
        <f t="shared" si="45"/>
        <v>0.05</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0</v>
      </c>
      <c r="F221" s="635"/>
      <c r="G221" s="21">
        <f t="shared" si="45"/>
        <v>0.05</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0</v>
      </c>
      <c r="F222" s="635"/>
      <c r="G222" s="21">
        <f t="shared" si="45"/>
        <v>0.05</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0</v>
      </c>
      <c r="F223" s="635"/>
      <c r="G223" s="21">
        <f t="shared" si="45"/>
        <v>0.05</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0</v>
      </c>
      <c r="F224" s="635"/>
      <c r="G224" s="21">
        <f t="shared" si="45"/>
        <v>0.05</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0</v>
      </c>
      <c r="F225" s="635"/>
      <c r="G225" s="21">
        <f t="shared" si="45"/>
        <v>0.05</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0</v>
      </c>
      <c r="F226" s="635"/>
      <c r="G226" s="21">
        <f t="shared" si="45"/>
        <v>0.05</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0</v>
      </c>
      <c r="F227" s="635"/>
      <c r="G227" s="21">
        <f t="shared" si="45"/>
        <v>0.05</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0</v>
      </c>
      <c r="F228" s="635"/>
      <c r="G228" s="21">
        <f t="shared" si="45"/>
        <v>0.05</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0</v>
      </c>
      <c r="F229" s="635"/>
      <c r="G229" s="21">
        <f t="shared" si="45"/>
        <v>0.05</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0</v>
      </c>
      <c r="F230" s="635"/>
      <c r="G230" s="21">
        <f t="shared" si="45"/>
        <v>0.05</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0</v>
      </c>
      <c r="F231" s="635"/>
      <c r="G231" s="21">
        <f t="shared" si="45"/>
        <v>0.05</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0</v>
      </c>
      <c r="F232" s="635"/>
      <c r="G232" s="21">
        <f t="shared" si="45"/>
        <v>0.05</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0</v>
      </c>
      <c r="F233" s="635"/>
      <c r="G233" s="21">
        <f t="shared" si="45"/>
        <v>0.05</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0</v>
      </c>
      <c r="F234" s="635"/>
      <c r="G234" s="21">
        <f t="shared" si="45"/>
        <v>0.05</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0</v>
      </c>
      <c r="F235" s="635"/>
      <c r="G235" s="21">
        <f t="shared" si="45"/>
        <v>0.05</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0</v>
      </c>
      <c r="F236" s="635"/>
      <c r="G236" s="21">
        <f t="shared" si="45"/>
        <v>0.05</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0</v>
      </c>
      <c r="F237" s="635"/>
      <c r="G237" s="21">
        <f t="shared" si="45"/>
        <v>0.05</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0</v>
      </c>
      <c r="F238" s="635"/>
      <c r="G238" s="21">
        <f t="shared" si="45"/>
        <v>0.05</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0</v>
      </c>
      <c r="F239" s="635"/>
      <c r="G239" s="21">
        <f t="shared" si="45"/>
        <v>0.05</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0</v>
      </c>
      <c r="F240" s="635"/>
      <c r="G240" s="21">
        <f t="shared" si="45"/>
        <v>0.05</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0</v>
      </c>
      <c r="F241" s="635"/>
      <c r="G241" s="21">
        <f t="shared" si="45"/>
        <v>0.05</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0</v>
      </c>
      <c r="F242" s="635"/>
      <c r="G242" s="21">
        <f t="shared" si="45"/>
        <v>0.05</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0</v>
      </c>
      <c r="F243" s="635"/>
      <c r="G243" s="21">
        <f t="shared" si="45"/>
        <v>0.05</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0</v>
      </c>
      <c r="F244" s="635"/>
      <c r="G244" s="21">
        <f t="shared" si="45"/>
        <v>0.05</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0</v>
      </c>
      <c r="F245" s="635"/>
      <c r="G245" s="21">
        <f t="shared" si="45"/>
        <v>0.05</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0</v>
      </c>
      <c r="F246" s="635"/>
      <c r="G246" s="21">
        <f t="shared" si="45"/>
        <v>0.05</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0</v>
      </c>
      <c r="F247" s="635"/>
      <c r="G247" s="21">
        <f t="shared" si="45"/>
        <v>0.05</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0</v>
      </c>
      <c r="F248" s="635"/>
      <c r="G248" s="21">
        <f t="shared" si="45"/>
        <v>0.05</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0</v>
      </c>
      <c r="F249" s="635"/>
      <c r="G249" s="21">
        <f t="shared" si="45"/>
        <v>0.05</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0</v>
      </c>
      <c r="F250" s="635"/>
      <c r="G250" s="21">
        <f t="shared" si="45"/>
        <v>0.05</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0</v>
      </c>
      <c r="F251" s="635"/>
      <c r="G251" s="21">
        <f t="shared" si="45"/>
        <v>0.05</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0</v>
      </c>
      <c r="F252" s="635"/>
      <c r="G252" s="21">
        <f t="shared" si="45"/>
        <v>0.05</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0</v>
      </c>
      <c r="F253" s="635"/>
      <c r="G253" s="21">
        <f t="shared" si="45"/>
        <v>0.05</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0</v>
      </c>
      <c r="F254" s="635"/>
      <c r="G254" s="21">
        <f t="shared" si="45"/>
        <v>0.05</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0</v>
      </c>
      <c r="F255" s="635"/>
      <c r="G255" s="21">
        <f t="shared" si="45"/>
        <v>0.05</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0</v>
      </c>
      <c r="F256" s="635"/>
      <c r="G256" s="21">
        <f t="shared" si="45"/>
        <v>0.05</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0</v>
      </c>
      <c r="F257" s="635"/>
      <c r="G257" s="21">
        <f t="shared" si="45"/>
        <v>0.05</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0</v>
      </c>
      <c r="F258" s="635"/>
      <c r="G258" s="21">
        <f t="shared" si="45"/>
        <v>0.05</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0</v>
      </c>
      <c r="F259" s="635"/>
      <c r="G259" s="21">
        <f t="shared" si="45"/>
        <v>0.05</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0</v>
      </c>
      <c r="F260" s="635"/>
      <c r="G260" s="21">
        <f t="shared" si="45"/>
        <v>0.05</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0</v>
      </c>
      <c r="F261" s="635"/>
      <c r="G261" s="21">
        <f t="shared" si="45"/>
        <v>0.05</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0</v>
      </c>
      <c r="F262" s="635"/>
      <c r="G262" s="21">
        <f t="shared" si="45"/>
        <v>0.05</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0</v>
      </c>
      <c r="F263" s="635"/>
      <c r="G263" s="21">
        <f t="shared" si="45"/>
        <v>0.05</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0</v>
      </c>
      <c r="F264" s="635"/>
      <c r="G264" s="21">
        <f t="shared" si="45"/>
        <v>0.05</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0</v>
      </c>
      <c r="F265" s="635"/>
      <c r="G265" s="21">
        <f t="shared" si="45"/>
        <v>0.05</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0</v>
      </c>
      <c r="F266" s="635"/>
      <c r="G266" s="21">
        <f t="shared" si="45"/>
        <v>0.05</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0</v>
      </c>
      <c r="F267" s="635"/>
      <c r="G267" s="21">
        <f t="shared" si="45"/>
        <v>0.05</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0</v>
      </c>
      <c r="F268" s="635"/>
      <c r="G268" s="21">
        <f t="shared" si="45"/>
        <v>0.05</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0</v>
      </c>
      <c r="F269" s="635"/>
      <c r="G269" s="21">
        <f t="shared" si="45"/>
        <v>0.05</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0</v>
      </c>
      <c r="F270" s="635"/>
      <c r="G270" s="21">
        <f t="shared" si="45"/>
        <v>0.05</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0</v>
      </c>
      <c r="F271" s="635"/>
      <c r="G271" s="21">
        <f t="shared" si="45"/>
        <v>0.05</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0</v>
      </c>
      <c r="F272" s="635"/>
      <c r="G272" s="21">
        <f t="shared" si="45"/>
        <v>0.05</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0</v>
      </c>
      <c r="F273" s="635"/>
      <c r="G273" s="21">
        <f t="shared" si="45"/>
        <v>0.05</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0</v>
      </c>
      <c r="F274" s="635"/>
      <c r="G274" s="21">
        <f t="shared" si="45"/>
        <v>0.05</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0</v>
      </c>
      <c r="F275" s="635"/>
      <c r="G275" s="21">
        <f t="shared" si="45"/>
        <v>0.05</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0</v>
      </c>
      <c r="F276" s="635"/>
      <c r="G276" s="21">
        <f t="shared" si="45"/>
        <v>0.05</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0</v>
      </c>
      <c r="F277" s="635"/>
      <c r="G277" s="21">
        <f t="shared" si="45"/>
        <v>0.05</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0</v>
      </c>
      <c r="F278" s="635"/>
      <c r="G278" s="21">
        <f t="shared" si="45"/>
        <v>0.05</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0</v>
      </c>
      <c r="F279" s="635"/>
      <c r="G279" s="21">
        <f t="shared" si="45"/>
        <v>0.05</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0</v>
      </c>
      <c r="F280" s="635"/>
      <c r="G280" s="21">
        <f t="shared" si="45"/>
        <v>0.05</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0</v>
      </c>
      <c r="F281" s="635"/>
      <c r="G281" s="21">
        <f t="shared" si="45"/>
        <v>0.05</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v>
      </c>
      <c r="F282" s="635"/>
      <c r="G282" s="21">
        <f t="shared" ref="G282:G345" si="55">(SUMIF($7:$7,F282,$8:$8)-SUMIF($7:$7,$F$24,$8:$8)+100)/100</f>
        <v>0.05</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0</v>
      </c>
      <c r="F283" s="635"/>
      <c r="G283" s="21">
        <f t="shared" si="55"/>
        <v>0.05</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0</v>
      </c>
      <c r="F284" s="635"/>
      <c r="G284" s="21">
        <f t="shared" si="55"/>
        <v>0.05</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0</v>
      </c>
      <c r="F285" s="635"/>
      <c r="G285" s="21">
        <f t="shared" si="55"/>
        <v>0.05</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0</v>
      </c>
      <c r="F286" s="635"/>
      <c r="G286" s="21">
        <f t="shared" si="55"/>
        <v>0.05</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0</v>
      </c>
      <c r="F287" s="635"/>
      <c r="G287" s="21">
        <f t="shared" si="55"/>
        <v>0.05</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0</v>
      </c>
      <c r="F288" s="635"/>
      <c r="G288" s="21">
        <f t="shared" si="55"/>
        <v>0.05</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0</v>
      </c>
      <c r="F289" s="635"/>
      <c r="G289" s="21">
        <f t="shared" si="55"/>
        <v>0.05</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0</v>
      </c>
      <c r="F290" s="635"/>
      <c r="G290" s="21">
        <f t="shared" si="55"/>
        <v>0.05</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0</v>
      </c>
      <c r="F291" s="635"/>
      <c r="G291" s="21">
        <f t="shared" si="55"/>
        <v>0.05</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0</v>
      </c>
      <c r="F292" s="635"/>
      <c r="G292" s="21">
        <f t="shared" si="55"/>
        <v>0.05</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0</v>
      </c>
      <c r="F293" s="635"/>
      <c r="G293" s="21">
        <f t="shared" si="55"/>
        <v>0.05</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0</v>
      </c>
      <c r="F294" s="635"/>
      <c r="G294" s="21">
        <f t="shared" si="55"/>
        <v>0.05</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0</v>
      </c>
      <c r="F295" s="635"/>
      <c r="G295" s="21">
        <f t="shared" si="55"/>
        <v>0.05</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0</v>
      </c>
      <c r="F296" s="635"/>
      <c r="G296" s="21">
        <f t="shared" si="55"/>
        <v>0.05</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0</v>
      </c>
      <c r="F297" s="635"/>
      <c r="G297" s="21">
        <f t="shared" si="55"/>
        <v>0.05</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0</v>
      </c>
      <c r="F298" s="635"/>
      <c r="G298" s="21">
        <f t="shared" si="55"/>
        <v>0.05</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0</v>
      </c>
      <c r="F299" s="635"/>
      <c r="G299" s="21">
        <f t="shared" si="55"/>
        <v>0.05</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0</v>
      </c>
      <c r="F300" s="635"/>
      <c r="G300" s="21">
        <f t="shared" si="55"/>
        <v>0.05</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0</v>
      </c>
      <c r="F301" s="635"/>
      <c r="G301" s="21">
        <f t="shared" si="55"/>
        <v>0.05</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0</v>
      </c>
      <c r="F302" s="635"/>
      <c r="G302" s="21">
        <f t="shared" si="55"/>
        <v>0.05</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0</v>
      </c>
      <c r="F303" s="635"/>
      <c r="G303" s="21">
        <f t="shared" si="55"/>
        <v>0.05</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0</v>
      </c>
      <c r="F304" s="635"/>
      <c r="G304" s="21">
        <f t="shared" si="55"/>
        <v>0.05</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0</v>
      </c>
      <c r="F305" s="635"/>
      <c r="G305" s="21">
        <f t="shared" si="55"/>
        <v>0.05</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0</v>
      </c>
      <c r="F306" s="635"/>
      <c r="G306" s="21">
        <f t="shared" si="55"/>
        <v>0.05</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0</v>
      </c>
      <c r="F307" s="635"/>
      <c r="G307" s="21">
        <f t="shared" si="55"/>
        <v>0.05</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0</v>
      </c>
      <c r="F308" s="635"/>
      <c r="G308" s="21">
        <f t="shared" si="55"/>
        <v>0.05</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0</v>
      </c>
      <c r="F309" s="635"/>
      <c r="G309" s="21">
        <f t="shared" si="55"/>
        <v>0.05</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0</v>
      </c>
      <c r="F310" s="635"/>
      <c r="G310" s="21">
        <f t="shared" si="55"/>
        <v>0.05</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0</v>
      </c>
      <c r="F311" s="635"/>
      <c r="G311" s="21">
        <f t="shared" si="55"/>
        <v>0.05</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0</v>
      </c>
      <c r="F312" s="635"/>
      <c r="G312" s="21">
        <f t="shared" si="55"/>
        <v>0.05</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0</v>
      </c>
      <c r="F313" s="635"/>
      <c r="G313" s="21">
        <f t="shared" si="55"/>
        <v>0.05</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0</v>
      </c>
      <c r="F314" s="635"/>
      <c r="G314" s="21">
        <f t="shared" si="55"/>
        <v>0.05</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0</v>
      </c>
      <c r="F315" s="635"/>
      <c r="G315" s="21">
        <f t="shared" si="55"/>
        <v>0.05</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0</v>
      </c>
      <c r="F316" s="635"/>
      <c r="G316" s="21">
        <f t="shared" si="55"/>
        <v>0.05</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0</v>
      </c>
      <c r="F317" s="635"/>
      <c r="G317" s="21">
        <f t="shared" si="55"/>
        <v>0.05</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0</v>
      </c>
      <c r="F318" s="635"/>
      <c r="G318" s="21">
        <f t="shared" si="55"/>
        <v>0.05</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0</v>
      </c>
      <c r="F319" s="635"/>
      <c r="G319" s="21">
        <f t="shared" si="55"/>
        <v>0.05</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0</v>
      </c>
      <c r="F320" s="635"/>
      <c r="G320" s="21">
        <f t="shared" si="55"/>
        <v>0.05</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0</v>
      </c>
      <c r="F321" s="635"/>
      <c r="G321" s="21">
        <f t="shared" si="55"/>
        <v>0.05</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0</v>
      </c>
      <c r="F322" s="635"/>
      <c r="G322" s="21">
        <f t="shared" si="55"/>
        <v>0.05</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0</v>
      </c>
      <c r="F323" s="635"/>
      <c r="G323" s="21">
        <f t="shared" si="55"/>
        <v>0.05</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0</v>
      </c>
      <c r="F324" s="635"/>
      <c r="G324" s="21">
        <f t="shared" si="55"/>
        <v>0.05</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0</v>
      </c>
      <c r="F325" s="635"/>
      <c r="G325" s="21">
        <f t="shared" si="55"/>
        <v>0.05</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0</v>
      </c>
      <c r="F326" s="635"/>
      <c r="G326" s="21">
        <f t="shared" si="55"/>
        <v>0.05</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0</v>
      </c>
      <c r="F327" s="635"/>
      <c r="G327" s="21">
        <f t="shared" si="55"/>
        <v>0.05</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0</v>
      </c>
      <c r="F328" s="635"/>
      <c r="G328" s="21">
        <f t="shared" si="55"/>
        <v>0.05</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0</v>
      </c>
      <c r="F329" s="635"/>
      <c r="G329" s="21">
        <f t="shared" si="55"/>
        <v>0.05</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0</v>
      </c>
      <c r="F330" s="635"/>
      <c r="G330" s="21">
        <f t="shared" si="55"/>
        <v>0.05</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0</v>
      </c>
      <c r="F331" s="635"/>
      <c r="G331" s="21">
        <f t="shared" si="55"/>
        <v>0.05</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0</v>
      </c>
      <c r="F332" s="635"/>
      <c r="G332" s="21">
        <f t="shared" si="55"/>
        <v>0.05</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0</v>
      </c>
      <c r="F333" s="635"/>
      <c r="G333" s="21">
        <f t="shared" si="55"/>
        <v>0.05</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0</v>
      </c>
      <c r="F334" s="635"/>
      <c r="G334" s="21">
        <f t="shared" si="55"/>
        <v>0.05</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0</v>
      </c>
      <c r="F335" s="635"/>
      <c r="G335" s="21">
        <f t="shared" si="55"/>
        <v>0.05</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0</v>
      </c>
      <c r="F336" s="635"/>
      <c r="G336" s="21">
        <f t="shared" si="55"/>
        <v>0.05</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0</v>
      </c>
      <c r="F337" s="635"/>
      <c r="G337" s="21">
        <f t="shared" si="55"/>
        <v>0.05</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0</v>
      </c>
      <c r="F338" s="635"/>
      <c r="G338" s="21">
        <f t="shared" si="55"/>
        <v>0.05</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0</v>
      </c>
      <c r="F339" s="635"/>
      <c r="G339" s="21">
        <f t="shared" si="55"/>
        <v>0.05</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0</v>
      </c>
      <c r="F340" s="635"/>
      <c r="G340" s="21">
        <f t="shared" si="55"/>
        <v>0.05</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0</v>
      </c>
      <c r="F341" s="635"/>
      <c r="G341" s="21">
        <f t="shared" si="55"/>
        <v>0.05</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0</v>
      </c>
      <c r="F342" s="635"/>
      <c r="G342" s="21">
        <f t="shared" si="55"/>
        <v>0.05</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0</v>
      </c>
      <c r="F343" s="635"/>
      <c r="G343" s="21">
        <f t="shared" si="55"/>
        <v>0.05</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0</v>
      </c>
      <c r="F344" s="635"/>
      <c r="G344" s="21">
        <f t="shared" si="55"/>
        <v>0.05</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0</v>
      </c>
      <c r="F345" s="635"/>
      <c r="G345" s="21">
        <f t="shared" si="55"/>
        <v>0.05</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v>
      </c>
      <c r="F346" s="635"/>
      <c r="G346" s="21">
        <f t="shared" ref="G346:G409" si="66">(SUMIF($7:$7,F346,$8:$8)-SUMIF($7:$7,$F$24,$8:$8)+100)/100</f>
        <v>0.05</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0</v>
      </c>
      <c r="F347" s="635"/>
      <c r="G347" s="21">
        <f t="shared" si="66"/>
        <v>0.05</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0</v>
      </c>
      <c r="F348" s="635"/>
      <c r="G348" s="21">
        <f t="shared" si="66"/>
        <v>0.05</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0</v>
      </c>
      <c r="F349" s="635"/>
      <c r="G349" s="21">
        <f t="shared" si="66"/>
        <v>0.05</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0</v>
      </c>
      <c r="F350" s="635"/>
      <c r="G350" s="21">
        <f t="shared" si="66"/>
        <v>0.05</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0</v>
      </c>
      <c r="F351" s="635"/>
      <c r="G351" s="21">
        <f t="shared" si="66"/>
        <v>0.05</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0</v>
      </c>
      <c r="F352" s="635"/>
      <c r="G352" s="21">
        <f t="shared" si="66"/>
        <v>0.05</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0</v>
      </c>
      <c r="F353" s="635"/>
      <c r="G353" s="21">
        <f t="shared" si="66"/>
        <v>0.05</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0</v>
      </c>
      <c r="F354" s="635"/>
      <c r="G354" s="21">
        <f t="shared" si="66"/>
        <v>0.05</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0</v>
      </c>
      <c r="F355" s="635"/>
      <c r="G355" s="21">
        <f t="shared" si="66"/>
        <v>0.05</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0</v>
      </c>
      <c r="F356" s="635"/>
      <c r="G356" s="21">
        <f t="shared" si="66"/>
        <v>0.05</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0</v>
      </c>
      <c r="F357" s="635"/>
      <c r="G357" s="21">
        <f t="shared" si="66"/>
        <v>0.05</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0</v>
      </c>
      <c r="F358" s="635"/>
      <c r="G358" s="21">
        <f t="shared" si="66"/>
        <v>0.05</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0</v>
      </c>
      <c r="F359" s="635"/>
      <c r="G359" s="21">
        <f t="shared" si="66"/>
        <v>0.05</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0</v>
      </c>
      <c r="F360" s="635"/>
      <c r="G360" s="21">
        <f t="shared" si="66"/>
        <v>0.05</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0</v>
      </c>
      <c r="F361" s="635"/>
      <c r="G361" s="21">
        <f t="shared" si="66"/>
        <v>0.05</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0</v>
      </c>
      <c r="F362" s="635"/>
      <c r="G362" s="21">
        <f t="shared" si="66"/>
        <v>0.05</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0</v>
      </c>
      <c r="F363" s="635"/>
      <c r="G363" s="21">
        <f t="shared" si="66"/>
        <v>0.05</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0</v>
      </c>
      <c r="F364" s="635"/>
      <c r="G364" s="21">
        <f t="shared" si="66"/>
        <v>0.05</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0</v>
      </c>
      <c r="F365" s="635"/>
      <c r="G365" s="21">
        <f t="shared" si="66"/>
        <v>0.05</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0</v>
      </c>
      <c r="F366" s="635"/>
      <c r="G366" s="21">
        <f t="shared" si="66"/>
        <v>0.05</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0</v>
      </c>
      <c r="F367" s="635"/>
      <c r="G367" s="21">
        <f t="shared" si="66"/>
        <v>0.05</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0</v>
      </c>
      <c r="F368" s="635"/>
      <c r="G368" s="21">
        <f t="shared" si="66"/>
        <v>0.05</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0</v>
      </c>
      <c r="F369" s="635"/>
      <c r="G369" s="21">
        <f t="shared" si="66"/>
        <v>0.05</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0</v>
      </c>
      <c r="F370" s="635"/>
      <c r="G370" s="21">
        <f t="shared" si="66"/>
        <v>0.05</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0</v>
      </c>
      <c r="F371" s="635"/>
      <c r="G371" s="21">
        <f t="shared" si="66"/>
        <v>0.05</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0</v>
      </c>
      <c r="F372" s="635"/>
      <c r="G372" s="21">
        <f t="shared" si="66"/>
        <v>0.05</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0</v>
      </c>
      <c r="F373" s="635"/>
      <c r="G373" s="21">
        <f t="shared" si="66"/>
        <v>0.05</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0</v>
      </c>
      <c r="F374" s="635"/>
      <c r="G374" s="21">
        <f t="shared" si="66"/>
        <v>0.05</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0</v>
      </c>
      <c r="F375" s="635"/>
      <c r="G375" s="21">
        <f t="shared" si="66"/>
        <v>0.05</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0</v>
      </c>
      <c r="F376" s="635"/>
      <c r="G376" s="21">
        <f t="shared" si="66"/>
        <v>0.05</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0</v>
      </c>
      <c r="F377" s="635"/>
      <c r="G377" s="21">
        <f t="shared" si="66"/>
        <v>0.05</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0</v>
      </c>
      <c r="F378" s="635"/>
      <c r="G378" s="21">
        <f t="shared" si="66"/>
        <v>0.05</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0</v>
      </c>
      <c r="F379" s="635"/>
      <c r="G379" s="21">
        <f t="shared" si="66"/>
        <v>0.05</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0</v>
      </c>
      <c r="F380" s="635"/>
      <c r="G380" s="21">
        <f t="shared" si="66"/>
        <v>0.05</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0</v>
      </c>
      <c r="F381" s="635"/>
      <c r="G381" s="21">
        <f t="shared" si="66"/>
        <v>0.05</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0</v>
      </c>
      <c r="F382" s="635"/>
      <c r="G382" s="21">
        <f t="shared" si="66"/>
        <v>0.05</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0</v>
      </c>
      <c r="F383" s="635"/>
      <c r="G383" s="21">
        <f t="shared" si="66"/>
        <v>0.05</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0</v>
      </c>
      <c r="F384" s="635"/>
      <c r="G384" s="21">
        <f t="shared" si="66"/>
        <v>0.05</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0</v>
      </c>
      <c r="F385" s="635"/>
      <c r="G385" s="21">
        <f t="shared" si="66"/>
        <v>0.05</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0</v>
      </c>
      <c r="F386" s="635"/>
      <c r="G386" s="21">
        <f t="shared" si="66"/>
        <v>0.05</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0</v>
      </c>
      <c r="F387" s="635"/>
      <c r="G387" s="21">
        <f t="shared" si="66"/>
        <v>0.05</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0</v>
      </c>
      <c r="F388" s="635"/>
      <c r="G388" s="21">
        <f t="shared" si="66"/>
        <v>0.05</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0</v>
      </c>
      <c r="F389" s="635"/>
      <c r="G389" s="21">
        <f t="shared" si="66"/>
        <v>0.05</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0</v>
      </c>
      <c r="F390" s="635"/>
      <c r="G390" s="21">
        <f t="shared" si="66"/>
        <v>0.05</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0</v>
      </c>
      <c r="F391" s="635"/>
      <c r="G391" s="21">
        <f t="shared" si="66"/>
        <v>0.05</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0</v>
      </c>
      <c r="F392" s="635"/>
      <c r="G392" s="21">
        <f t="shared" si="66"/>
        <v>0.05</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0</v>
      </c>
      <c r="F393" s="635"/>
      <c r="G393" s="21">
        <f t="shared" si="66"/>
        <v>0.05</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0</v>
      </c>
      <c r="F394" s="635"/>
      <c r="G394" s="21">
        <f t="shared" si="66"/>
        <v>0.05</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0</v>
      </c>
      <c r="F395" s="635"/>
      <c r="G395" s="21">
        <f t="shared" si="66"/>
        <v>0.05</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0</v>
      </c>
      <c r="F396" s="635"/>
      <c r="G396" s="21">
        <f t="shared" si="66"/>
        <v>0.05</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0</v>
      </c>
      <c r="F397" s="635"/>
      <c r="G397" s="21">
        <f t="shared" si="66"/>
        <v>0.05</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0</v>
      </c>
      <c r="F398" s="635"/>
      <c r="G398" s="21">
        <f t="shared" si="66"/>
        <v>0.05</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0</v>
      </c>
      <c r="F399" s="635"/>
      <c r="G399" s="21">
        <f t="shared" si="66"/>
        <v>0.05</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0</v>
      </c>
      <c r="F400" s="635"/>
      <c r="G400" s="21">
        <f t="shared" si="66"/>
        <v>0.05</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0</v>
      </c>
      <c r="F401" s="635"/>
      <c r="G401" s="21">
        <f t="shared" si="66"/>
        <v>0.05</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0</v>
      </c>
      <c r="F402" s="635"/>
      <c r="G402" s="21">
        <f t="shared" si="66"/>
        <v>0.05</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0</v>
      </c>
      <c r="F403" s="635"/>
      <c r="G403" s="21">
        <f t="shared" si="66"/>
        <v>0.05</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0</v>
      </c>
      <c r="F404" s="635"/>
      <c r="G404" s="21">
        <f t="shared" si="66"/>
        <v>0.05</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0</v>
      </c>
      <c r="F405" s="635"/>
      <c r="G405" s="21">
        <f t="shared" si="66"/>
        <v>0.05</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0</v>
      </c>
      <c r="F406" s="635"/>
      <c r="G406" s="21">
        <f t="shared" si="66"/>
        <v>0.05</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0</v>
      </c>
      <c r="F407" s="635"/>
      <c r="G407" s="21">
        <f t="shared" si="66"/>
        <v>0.05</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0</v>
      </c>
      <c r="F408" s="635"/>
      <c r="G408" s="21">
        <f t="shared" si="66"/>
        <v>0.05</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0</v>
      </c>
      <c r="F409" s="635"/>
      <c r="G409" s="21">
        <f t="shared" si="66"/>
        <v>0.05</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v>
      </c>
      <c r="F410" s="635"/>
      <c r="G410" s="21">
        <f t="shared" ref="G410:G473" si="76">(SUMIF($7:$7,F410,$8:$8)-SUMIF($7:$7,$F$24,$8:$8)+100)/100</f>
        <v>0.05</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0</v>
      </c>
      <c r="F411" s="635"/>
      <c r="G411" s="21">
        <f t="shared" si="76"/>
        <v>0.05</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0</v>
      </c>
      <c r="F412" s="635"/>
      <c r="G412" s="21">
        <f t="shared" si="76"/>
        <v>0.05</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0</v>
      </c>
      <c r="F413" s="635"/>
      <c r="G413" s="21">
        <f t="shared" si="76"/>
        <v>0.05</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0</v>
      </c>
      <c r="F414" s="635"/>
      <c r="G414" s="21">
        <f t="shared" si="76"/>
        <v>0.05</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0</v>
      </c>
      <c r="F415" s="635"/>
      <c r="G415" s="21">
        <f t="shared" si="76"/>
        <v>0.05</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0</v>
      </c>
      <c r="F416" s="635"/>
      <c r="G416" s="21">
        <f t="shared" si="76"/>
        <v>0.05</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0</v>
      </c>
      <c r="F417" s="635"/>
      <c r="G417" s="21">
        <f t="shared" si="76"/>
        <v>0.05</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0</v>
      </c>
      <c r="F418" s="635"/>
      <c r="G418" s="21">
        <f t="shared" si="76"/>
        <v>0.05</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0</v>
      </c>
      <c r="F419" s="635"/>
      <c r="G419" s="21">
        <f t="shared" si="76"/>
        <v>0.05</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0</v>
      </c>
      <c r="F420" s="635"/>
      <c r="G420" s="21">
        <f t="shared" si="76"/>
        <v>0.05</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0</v>
      </c>
      <c r="F421" s="635"/>
      <c r="G421" s="21">
        <f t="shared" si="76"/>
        <v>0.05</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0</v>
      </c>
      <c r="F422" s="635"/>
      <c r="G422" s="21">
        <f t="shared" si="76"/>
        <v>0.05</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0</v>
      </c>
      <c r="F423" s="635"/>
      <c r="G423" s="21">
        <f t="shared" si="76"/>
        <v>0.05</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0</v>
      </c>
      <c r="F424" s="635"/>
      <c r="G424" s="21">
        <f t="shared" si="76"/>
        <v>0.05</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0</v>
      </c>
      <c r="F425" s="635"/>
      <c r="G425" s="21">
        <f t="shared" si="76"/>
        <v>0.05</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0</v>
      </c>
      <c r="F426" s="635"/>
      <c r="G426" s="21">
        <f t="shared" si="76"/>
        <v>0.05</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0</v>
      </c>
      <c r="F427" s="635"/>
      <c r="G427" s="21">
        <f t="shared" si="76"/>
        <v>0.05</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0</v>
      </c>
      <c r="F428" s="635"/>
      <c r="G428" s="21">
        <f t="shared" si="76"/>
        <v>0.05</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0</v>
      </c>
      <c r="F429" s="635"/>
      <c r="G429" s="21">
        <f t="shared" si="76"/>
        <v>0.05</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0</v>
      </c>
      <c r="F430" s="635"/>
      <c r="G430" s="21">
        <f t="shared" si="76"/>
        <v>0.05</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0</v>
      </c>
      <c r="F431" s="635"/>
      <c r="G431" s="21">
        <f t="shared" si="76"/>
        <v>0.05</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0</v>
      </c>
      <c r="F432" s="635"/>
      <c r="G432" s="21">
        <f t="shared" si="76"/>
        <v>0.05</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0</v>
      </c>
      <c r="F433" s="635"/>
      <c r="G433" s="21">
        <f t="shared" si="76"/>
        <v>0.05</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0</v>
      </c>
      <c r="F434" s="635"/>
      <c r="G434" s="21">
        <f t="shared" si="76"/>
        <v>0.05</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0</v>
      </c>
      <c r="F435" s="635"/>
      <c r="G435" s="21">
        <f t="shared" si="76"/>
        <v>0.05</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0</v>
      </c>
      <c r="F436" s="635"/>
      <c r="G436" s="21">
        <f t="shared" si="76"/>
        <v>0.05</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0</v>
      </c>
      <c r="F437" s="635"/>
      <c r="G437" s="21">
        <f t="shared" si="76"/>
        <v>0.05</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0</v>
      </c>
      <c r="F438" s="635"/>
      <c r="G438" s="21">
        <f t="shared" si="76"/>
        <v>0.05</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0</v>
      </c>
      <c r="F439" s="635"/>
      <c r="G439" s="21">
        <f t="shared" si="76"/>
        <v>0.05</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0</v>
      </c>
      <c r="F440" s="635"/>
      <c r="G440" s="21">
        <f t="shared" si="76"/>
        <v>0.05</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0</v>
      </c>
      <c r="F441" s="635"/>
      <c r="G441" s="21">
        <f t="shared" si="76"/>
        <v>0.05</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0</v>
      </c>
      <c r="F442" s="635"/>
      <c r="G442" s="21">
        <f t="shared" si="76"/>
        <v>0.05</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0</v>
      </c>
      <c r="F443" s="635"/>
      <c r="G443" s="21">
        <f t="shared" si="76"/>
        <v>0.05</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0</v>
      </c>
      <c r="F444" s="635"/>
      <c r="G444" s="21">
        <f t="shared" si="76"/>
        <v>0.05</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0</v>
      </c>
      <c r="F445" s="635"/>
      <c r="G445" s="21">
        <f t="shared" si="76"/>
        <v>0.05</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0</v>
      </c>
      <c r="F446" s="635"/>
      <c r="G446" s="21">
        <f t="shared" si="76"/>
        <v>0.05</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0</v>
      </c>
      <c r="F447" s="635"/>
      <c r="G447" s="21">
        <f t="shared" si="76"/>
        <v>0.05</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0</v>
      </c>
      <c r="F448" s="635"/>
      <c r="G448" s="21">
        <f t="shared" si="76"/>
        <v>0.05</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0</v>
      </c>
      <c r="F449" s="635"/>
      <c r="G449" s="21">
        <f t="shared" si="76"/>
        <v>0.05</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0</v>
      </c>
      <c r="F450" s="635"/>
      <c r="G450" s="21">
        <f t="shared" si="76"/>
        <v>0.05</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0</v>
      </c>
      <c r="F451" s="635"/>
      <c r="G451" s="21">
        <f t="shared" si="76"/>
        <v>0.05</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0</v>
      </c>
      <c r="F452" s="635"/>
      <c r="G452" s="21">
        <f t="shared" si="76"/>
        <v>0.05</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0</v>
      </c>
      <c r="F453" s="635"/>
      <c r="G453" s="21">
        <f t="shared" si="76"/>
        <v>0.05</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0</v>
      </c>
      <c r="F454" s="635"/>
      <c r="G454" s="21">
        <f t="shared" si="76"/>
        <v>0.05</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0</v>
      </c>
      <c r="F455" s="635"/>
      <c r="G455" s="21">
        <f t="shared" si="76"/>
        <v>0.05</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0</v>
      </c>
      <c r="F456" s="635"/>
      <c r="G456" s="21">
        <f t="shared" si="76"/>
        <v>0.05</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0</v>
      </c>
      <c r="F457" s="635"/>
      <c r="G457" s="21">
        <f t="shared" si="76"/>
        <v>0.05</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0</v>
      </c>
      <c r="F458" s="635"/>
      <c r="G458" s="21">
        <f t="shared" si="76"/>
        <v>0.05</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0</v>
      </c>
      <c r="F459" s="635"/>
      <c r="G459" s="21">
        <f t="shared" si="76"/>
        <v>0.05</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0</v>
      </c>
      <c r="F460" s="635"/>
      <c r="G460" s="21">
        <f t="shared" si="76"/>
        <v>0.05</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0</v>
      </c>
      <c r="F461" s="635"/>
      <c r="G461" s="21">
        <f t="shared" si="76"/>
        <v>0.05</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0</v>
      </c>
      <c r="F462" s="635"/>
      <c r="G462" s="21">
        <f t="shared" si="76"/>
        <v>0.05</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0</v>
      </c>
      <c r="F463" s="635"/>
      <c r="G463" s="21">
        <f t="shared" si="76"/>
        <v>0.05</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0</v>
      </c>
      <c r="F464" s="635"/>
      <c r="G464" s="21">
        <f t="shared" si="76"/>
        <v>0.05</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0</v>
      </c>
      <c r="F465" s="635"/>
      <c r="G465" s="21">
        <f t="shared" si="76"/>
        <v>0.05</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0</v>
      </c>
      <c r="F466" s="635"/>
      <c r="G466" s="21">
        <f t="shared" si="76"/>
        <v>0.05</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0</v>
      </c>
      <c r="F467" s="635"/>
      <c r="G467" s="21">
        <f t="shared" si="76"/>
        <v>0.05</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0</v>
      </c>
      <c r="F468" s="635"/>
      <c r="G468" s="21">
        <f t="shared" si="76"/>
        <v>0.05</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0</v>
      </c>
      <c r="F469" s="635"/>
      <c r="G469" s="21">
        <f t="shared" si="76"/>
        <v>0.05</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0</v>
      </c>
      <c r="F470" s="635"/>
      <c r="G470" s="21">
        <f t="shared" si="76"/>
        <v>0.05</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0</v>
      </c>
      <c r="F471" s="635"/>
      <c r="G471" s="21">
        <f t="shared" si="76"/>
        <v>0.05</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0</v>
      </c>
      <c r="F472" s="635"/>
      <c r="G472" s="21">
        <f t="shared" si="76"/>
        <v>0.05</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0</v>
      </c>
      <c r="F473" s="635"/>
      <c r="G473" s="21">
        <f t="shared" si="76"/>
        <v>0.05</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v>
      </c>
      <c r="F474" s="635"/>
      <c r="G474" s="21">
        <f t="shared" ref="G474:G524" si="87">(SUMIF($7:$7,F474,$8:$8)-SUMIF($7:$7,$F$24,$8:$8)+100)/100</f>
        <v>0.05</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0</v>
      </c>
      <c r="F475" s="635"/>
      <c r="G475" s="21">
        <f t="shared" si="87"/>
        <v>0.05</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0</v>
      </c>
      <c r="F476" s="635"/>
      <c r="G476" s="21">
        <f t="shared" si="87"/>
        <v>0.05</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0</v>
      </c>
      <c r="F477" s="635"/>
      <c r="G477" s="21">
        <f t="shared" si="87"/>
        <v>0.05</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0</v>
      </c>
      <c r="F478" s="635"/>
      <c r="G478" s="21">
        <f t="shared" si="87"/>
        <v>0.05</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0</v>
      </c>
      <c r="F479" s="635"/>
      <c r="G479" s="21">
        <f t="shared" si="87"/>
        <v>0.05</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0</v>
      </c>
      <c r="F480" s="635"/>
      <c r="G480" s="21">
        <f t="shared" si="87"/>
        <v>0.05</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0</v>
      </c>
      <c r="F481" s="635"/>
      <c r="G481" s="21">
        <f t="shared" si="87"/>
        <v>0.05</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0</v>
      </c>
      <c r="F482" s="635"/>
      <c r="G482" s="21">
        <f t="shared" si="87"/>
        <v>0.05</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0</v>
      </c>
      <c r="F483" s="635"/>
      <c r="G483" s="21">
        <f t="shared" si="87"/>
        <v>0.05</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0</v>
      </c>
      <c r="F484" s="635"/>
      <c r="G484" s="21">
        <f t="shared" si="87"/>
        <v>0.05</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0</v>
      </c>
      <c r="F485" s="635"/>
      <c r="G485" s="21">
        <f t="shared" si="87"/>
        <v>0.05</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0</v>
      </c>
      <c r="F486" s="635"/>
      <c r="G486" s="21">
        <f t="shared" si="87"/>
        <v>0.05</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0</v>
      </c>
      <c r="F487" s="635"/>
      <c r="G487" s="21">
        <f t="shared" si="87"/>
        <v>0.05</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0</v>
      </c>
      <c r="F488" s="635"/>
      <c r="G488" s="21">
        <f t="shared" si="87"/>
        <v>0.05</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0</v>
      </c>
      <c r="F489" s="635"/>
      <c r="G489" s="21">
        <f t="shared" si="87"/>
        <v>0.05</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0</v>
      </c>
      <c r="F490" s="635"/>
      <c r="G490" s="21">
        <f t="shared" si="87"/>
        <v>0.05</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0</v>
      </c>
      <c r="F491" s="635"/>
      <c r="G491" s="21">
        <f t="shared" si="87"/>
        <v>0.05</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0</v>
      </c>
      <c r="F492" s="635"/>
      <c r="G492" s="21">
        <f t="shared" si="87"/>
        <v>0.05</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0</v>
      </c>
      <c r="F493" s="635"/>
      <c r="G493" s="21">
        <f t="shared" si="87"/>
        <v>0.05</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0</v>
      </c>
      <c r="F494" s="635"/>
      <c r="G494" s="21">
        <f t="shared" si="87"/>
        <v>0.05</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0</v>
      </c>
      <c r="F495" s="635"/>
      <c r="G495" s="21">
        <f t="shared" si="87"/>
        <v>0.05</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0</v>
      </c>
      <c r="F496" s="635"/>
      <c r="G496" s="21">
        <f t="shared" si="87"/>
        <v>0.05</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0</v>
      </c>
      <c r="F497" s="635"/>
      <c r="G497" s="21">
        <f t="shared" si="87"/>
        <v>0.05</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0</v>
      </c>
      <c r="F498" s="635"/>
      <c r="G498" s="21">
        <f t="shared" si="87"/>
        <v>0.05</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0</v>
      </c>
      <c r="F499" s="635"/>
      <c r="G499" s="21">
        <f t="shared" si="87"/>
        <v>0.05</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0</v>
      </c>
      <c r="F500" s="635"/>
      <c r="G500" s="21">
        <f t="shared" si="87"/>
        <v>0.05</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0</v>
      </c>
      <c r="F501" s="635"/>
      <c r="G501" s="21">
        <f t="shared" si="87"/>
        <v>0.05</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0</v>
      </c>
      <c r="F502" s="635"/>
      <c r="G502" s="21">
        <f t="shared" si="87"/>
        <v>0.05</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0</v>
      </c>
      <c r="F503" s="635"/>
      <c r="G503" s="21">
        <f t="shared" si="87"/>
        <v>0.05</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0</v>
      </c>
      <c r="F504" s="635"/>
      <c r="G504" s="21">
        <f t="shared" si="87"/>
        <v>0.05</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0</v>
      </c>
      <c r="F505" s="635"/>
      <c r="G505" s="21">
        <f t="shared" si="87"/>
        <v>0.05</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0</v>
      </c>
      <c r="F506" s="635"/>
      <c r="G506" s="21">
        <f t="shared" si="87"/>
        <v>0.05</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0</v>
      </c>
      <c r="F507" s="635"/>
      <c r="G507" s="21">
        <f t="shared" si="87"/>
        <v>0.05</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0</v>
      </c>
      <c r="F508" s="635"/>
      <c r="G508" s="21">
        <f t="shared" si="87"/>
        <v>0.05</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0</v>
      </c>
      <c r="F509" s="635"/>
      <c r="G509" s="21">
        <f t="shared" si="87"/>
        <v>0.05</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0</v>
      </c>
      <c r="F510" s="635"/>
      <c r="G510" s="21">
        <f t="shared" si="87"/>
        <v>0.05</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0</v>
      </c>
      <c r="F511" s="635"/>
      <c r="G511" s="21">
        <f t="shared" si="87"/>
        <v>0.05</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0</v>
      </c>
      <c r="F512" s="635"/>
      <c r="G512" s="21">
        <f t="shared" si="87"/>
        <v>0.05</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0</v>
      </c>
      <c r="F513" s="635"/>
      <c r="G513" s="21">
        <f t="shared" si="87"/>
        <v>0.05</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0</v>
      </c>
      <c r="F514" s="635"/>
      <c r="G514" s="21">
        <f t="shared" si="87"/>
        <v>0.05</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0</v>
      </c>
      <c r="F515" s="635"/>
      <c r="G515" s="21">
        <f t="shared" si="87"/>
        <v>0.05</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0</v>
      </c>
      <c r="F516" s="635"/>
      <c r="G516" s="21">
        <f t="shared" si="87"/>
        <v>0.05</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0</v>
      </c>
      <c r="F517" s="635"/>
      <c r="G517" s="21">
        <f t="shared" si="87"/>
        <v>0.05</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0</v>
      </c>
      <c r="F518" s="635"/>
      <c r="G518" s="21">
        <f t="shared" si="87"/>
        <v>0.05</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0</v>
      </c>
      <c r="F519" s="635"/>
      <c r="G519" s="21">
        <f t="shared" si="87"/>
        <v>0.05</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0</v>
      </c>
      <c r="F520" s="635"/>
      <c r="G520" s="21">
        <f t="shared" si="87"/>
        <v>0.05</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0</v>
      </c>
      <c r="F521" s="635"/>
      <c r="G521" s="21">
        <f t="shared" si="87"/>
        <v>0.05</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0</v>
      </c>
      <c r="F522" s="635"/>
      <c r="G522" s="21">
        <f t="shared" si="87"/>
        <v>0.05</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0</v>
      </c>
      <c r="F523" s="635"/>
      <c r="G523" s="21">
        <f t="shared" si="87"/>
        <v>0.05</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0</v>
      </c>
      <c r="F524" s="635"/>
      <c r="G524" s="21">
        <f t="shared" si="87"/>
        <v>0.05</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38052-F405-420B-A944-5A99FE086D00}">
  <sheetPr>
    <pageSetUpPr fitToPage="1"/>
  </sheetPr>
  <dimension ref="A1:AD58"/>
  <sheetViews>
    <sheetView topLeftCell="C17" zoomScale="115" zoomScaleNormal="115" workbookViewId="0">
      <selection activeCell="O44" sqref="O44"/>
    </sheetView>
  </sheetViews>
  <sheetFormatPr defaultColWidth="8.625" defaultRowHeight="13.5" outlineLevelRow="1"/>
  <cols>
    <col min="1" max="2" width="8.625" style="3178"/>
    <col min="3" max="3" width="14.25" style="3178" customWidth="1"/>
    <col min="4" max="4" width="23.375" style="3178" bestFit="1" customWidth="1"/>
    <col min="5" max="5" width="12.25" style="3178" customWidth="1"/>
    <col min="6" max="6" width="8.625" style="3178"/>
    <col min="7" max="7" width="7.375" style="3178" bestFit="1" customWidth="1"/>
    <col min="8" max="8" width="11.5" style="3178" customWidth="1"/>
    <col min="9" max="10" width="11.875" style="3178" bestFit="1" customWidth="1"/>
    <col min="11" max="11" width="6.625" style="3178" bestFit="1" customWidth="1"/>
    <col min="12" max="12" width="8.625" style="3178"/>
    <col min="13" max="13" width="6.25" style="3178" customWidth="1"/>
    <col min="14" max="15" width="8.375" style="3178" customWidth="1"/>
    <col min="16" max="16" width="5.625" style="3178" bestFit="1" customWidth="1"/>
    <col min="17" max="17" width="6.25" style="3178" bestFit="1" customWidth="1"/>
    <col min="18" max="18" width="6.625" style="3178" bestFit="1" customWidth="1"/>
    <col min="19" max="19" width="8.75" style="3178" bestFit="1" customWidth="1"/>
    <col min="20" max="20" width="6.625" style="3178" bestFit="1" customWidth="1"/>
    <col min="21" max="22" width="11.25" style="3178" bestFit="1" customWidth="1"/>
    <col min="23" max="23" width="11.875" style="3178" bestFit="1" customWidth="1"/>
    <col min="24" max="24" width="8.625" style="3178" bestFit="1" customWidth="1"/>
    <col min="25" max="26" width="11.25" style="3178" bestFit="1" customWidth="1"/>
    <col min="27" max="16384" width="8.625" style="3178"/>
  </cols>
  <sheetData>
    <row r="1" spans="2:24" s="3163" customFormat="1" hidden="1" outlineLevel="1">
      <c r="B1" s="3163" t="s">
        <v>3410</v>
      </c>
      <c r="C1" s="3164">
        <f>SUMIF($F$25:$F$35,B1,$H$25:$H$35)</f>
        <v>3216.52</v>
      </c>
      <c r="D1" s="3165" t="s">
        <v>3411</v>
      </c>
      <c r="E1" s="3166">
        <f t="array" ref="E1">SUMPRODUCT(IF(I25:I35&gt;0,1,0),IF(H25:H35&lt;500,1,0),H25:H35)</f>
        <v>962.5</v>
      </c>
      <c r="F1" s="3167" t="s">
        <v>3412</v>
      </c>
      <c r="G1" s="3164">
        <f>SUMIF($E$25:$E$35,F1,$H$25:$H$35)</f>
        <v>962.5</v>
      </c>
      <c r="H1" s="3163" t="s">
        <v>3413</v>
      </c>
      <c r="I1" s="3164">
        <f>SUMIF($J$25:$J$34,"&lt;"&amp;DATE(2026,1,1),$H$25:$H$34)</f>
        <v>84</v>
      </c>
      <c r="J1" s="3168">
        <f>I1/$E$42</f>
        <v>2.0100406315356228E-2</v>
      </c>
      <c r="K1" s="3163" t="s">
        <v>3414</v>
      </c>
      <c r="L1" s="3169">
        <f>COUNTA(F25:F35)</f>
        <v>7</v>
      </c>
      <c r="M1" s="3165" t="s">
        <v>3415</v>
      </c>
      <c r="N1" s="3170">
        <f>EOMONTH($C$20,3)</f>
        <v>45930</v>
      </c>
      <c r="O1" s="3171">
        <f t="array" ref="O1">SUMPRODUCT(IF($J$25:$J$35&lt;=N1,1,0),$H$25:$H$35)</f>
        <v>84</v>
      </c>
      <c r="P1" s="3163" t="s">
        <v>3416</v>
      </c>
      <c r="Q1" s="3172">
        <v>26038.780000000013</v>
      </c>
      <c r="X1" s="3173"/>
    </row>
    <row r="2" spans="2:24" s="3163" customFormat="1" hidden="1" outlineLevel="1">
      <c r="B2" s="3163" t="s">
        <v>3417</v>
      </c>
      <c r="C2" s="3164">
        <f t="shared" ref="C2:C4" si="0">SUMIF($F$25:$F$35,B2,$H$25:$H$35)</f>
        <v>962.5</v>
      </c>
      <c r="D2" s="3165" t="s">
        <v>3418</v>
      </c>
      <c r="E2" s="3174">
        <f t="array" ref="E2">SUMPRODUCT(IF(I25:I35&gt;0,1,0),IF(H25:H35&lt;1000,1,0),H25:H35)-E1</f>
        <v>0</v>
      </c>
      <c r="F2" s="3167" t="s">
        <v>3419</v>
      </c>
      <c r="G2" s="3164">
        <f t="shared" ref="G2:G14" si="1">SUMIF($E$25:$E$35,F2,$H$25:$H$35)</f>
        <v>0</v>
      </c>
      <c r="H2" s="3163" t="s">
        <v>3420</v>
      </c>
      <c r="I2" s="3164">
        <f>SUMIF($J$25:$J$34,"&lt;"&amp;DATE(2027,1,1),$H$25:$H$34)-SUMIF($J$25:$J$34,"&lt;"&amp;DATE(2026,1,1),$H$25:$H$34)</f>
        <v>3330.22</v>
      </c>
      <c r="J2" s="3168">
        <f>I2/$E$42</f>
        <v>0.79689017999435263</v>
      </c>
      <c r="K2" s="3163" t="s">
        <v>3421</v>
      </c>
      <c r="L2" s="3175">
        <f>E49</f>
        <v>1</v>
      </c>
      <c r="M2" s="3165" t="s">
        <v>3422</v>
      </c>
      <c r="N2" s="3170">
        <f>EOMONTH($C$20,6)</f>
        <v>46022</v>
      </c>
      <c r="O2" s="3171">
        <f t="array" ref="O2">SUMPRODUCT(IF($J$25:$J$35&lt;=N2,1,0),$H$25:$H$35)-O1</f>
        <v>0</v>
      </c>
      <c r="X2" s="3173"/>
    </row>
    <row r="3" spans="2:24" s="3163" customFormat="1" hidden="1" outlineLevel="1">
      <c r="B3" s="3163" t="s">
        <v>3423</v>
      </c>
      <c r="C3" s="3164">
        <f t="shared" si="0"/>
        <v>0</v>
      </c>
      <c r="D3" s="3165" t="s">
        <v>3424</v>
      </c>
      <c r="E3" s="3174">
        <f t="array" ref="E3">SUMPRODUCT(IF(I25:I35&gt;0,1,0),IF(H25:H35&lt;3000,1,0),H25:H35)-E1-E2</f>
        <v>0</v>
      </c>
      <c r="F3" s="3167" t="s">
        <v>3425</v>
      </c>
      <c r="G3" s="3164">
        <f t="shared" si="1"/>
        <v>3216.52</v>
      </c>
      <c r="H3" s="3163" t="s">
        <v>3426</v>
      </c>
      <c r="I3" s="3164">
        <f>SUMIF($J$25:$J$34,"&lt;"&amp;DATE(2028,1,1),$H$25:$H$34)-SUMIF($J$25:$J$34,"&lt;"&amp;DATE(2027,1,1),$H$25:$H$34)</f>
        <v>112</v>
      </c>
      <c r="J3" s="3168">
        <f t="shared" ref="J3:J5" si="2">I3/$E$42</f>
        <v>2.6800541753808305E-2</v>
      </c>
      <c r="K3" s="3163" t="s">
        <v>3427</v>
      </c>
      <c r="L3" s="3175">
        <f>E52</f>
        <v>1</v>
      </c>
      <c r="M3" s="3165" t="s">
        <v>3428</v>
      </c>
      <c r="N3" s="3170">
        <f>EOMONTH($C$20,12)</f>
        <v>46203</v>
      </c>
      <c r="O3" s="3171">
        <f t="array" ref="O3">SUMPRODUCT(IF($J$25:$J$35&lt;=N3,1,0),$H$25:$H$35)-O1-O2</f>
        <v>3330.22</v>
      </c>
      <c r="X3" s="3173"/>
    </row>
    <row r="4" spans="2:24" s="3163" customFormat="1" hidden="1" outlineLevel="1">
      <c r="B4" s="3163" t="s">
        <v>3429</v>
      </c>
      <c r="C4" s="3164">
        <f t="shared" si="0"/>
        <v>0</v>
      </c>
      <c r="D4" s="3165" t="s">
        <v>3430</v>
      </c>
      <c r="E4" s="3166">
        <f t="array" ref="E4">SUMPRODUCT(IF(I25:I35&gt;0,1,0),IF(H25:H35&gt;=3000,1,0),H25:H35)</f>
        <v>3216.52</v>
      </c>
      <c r="F4" s="3167" t="s">
        <v>3431</v>
      </c>
      <c r="G4" s="3164">
        <f t="shared" si="1"/>
        <v>0</v>
      </c>
      <c r="H4" s="3163" t="s">
        <v>3432</v>
      </c>
      <c r="I4" s="3164">
        <f>SUMIF($J$25:$J$34,"&lt;"&amp;DATE(2029,1,1),$H$25:$H$34)-SUMIF($J$25:$J$34,"&lt;"&amp;DATE(2028,1,1),$H$25:$H$34)</f>
        <v>467.91000000000031</v>
      </c>
      <c r="J4" s="3168">
        <f t="shared" si="2"/>
        <v>0.11196644189307547</v>
      </c>
      <c r="K4" s="3163" t="s">
        <v>3433</v>
      </c>
      <c r="L4" s="3171">
        <f>E55</f>
        <v>5.7710364906675773</v>
      </c>
      <c r="X4" s="3173"/>
    </row>
    <row r="5" spans="2:24" s="3163" customFormat="1" hidden="1" outlineLevel="1">
      <c r="E5" s="3176"/>
      <c r="F5" s="3167" t="s">
        <v>3434</v>
      </c>
      <c r="G5" s="3164">
        <f t="shared" si="1"/>
        <v>0</v>
      </c>
      <c r="H5" s="3163" t="s">
        <v>3435</v>
      </c>
      <c r="I5" s="3164">
        <f>SUMIF($J$25:$J$34,"&gt;"&amp;DATE(2028,12,31),$H$25:$H$34)</f>
        <v>184.89</v>
      </c>
      <c r="J5" s="3168">
        <f t="shared" si="2"/>
        <v>4.4242430043407298E-2</v>
      </c>
      <c r="X5" s="3173"/>
    </row>
    <row r="6" spans="2:24" s="3163" customFormat="1" hidden="1" outlineLevel="1">
      <c r="E6" s="3176"/>
      <c r="F6" s="3167" t="s">
        <v>3436</v>
      </c>
      <c r="G6" s="3164">
        <f t="shared" si="1"/>
        <v>0</v>
      </c>
      <c r="J6" s="3168"/>
      <c r="X6" s="3173"/>
    </row>
    <row r="7" spans="2:24" s="3163" customFormat="1" hidden="1" outlineLevel="1">
      <c r="E7" s="3176"/>
      <c r="F7" s="3167" t="s">
        <v>3437</v>
      </c>
      <c r="G7" s="3164">
        <f t="shared" si="1"/>
        <v>0</v>
      </c>
      <c r="J7" s="3168"/>
      <c r="X7" s="3173"/>
    </row>
    <row r="8" spans="2:24" s="3163" customFormat="1" hidden="1" outlineLevel="1">
      <c r="F8" s="3167" t="s">
        <v>3438</v>
      </c>
      <c r="G8" s="3164">
        <f t="shared" si="1"/>
        <v>0</v>
      </c>
      <c r="J8" s="3168"/>
      <c r="X8" s="3173"/>
    </row>
    <row r="9" spans="2:24" s="3163" customFormat="1" hidden="1" outlineLevel="1">
      <c r="F9" s="3167" t="s">
        <v>3439</v>
      </c>
      <c r="G9" s="3164">
        <f t="shared" si="1"/>
        <v>0</v>
      </c>
      <c r="J9" s="3168"/>
      <c r="X9" s="3173"/>
    </row>
    <row r="10" spans="2:24" s="3163" customFormat="1" hidden="1" outlineLevel="1">
      <c r="F10" s="3167" t="s">
        <v>3440</v>
      </c>
      <c r="G10" s="3164">
        <f t="shared" si="1"/>
        <v>0</v>
      </c>
      <c r="J10" s="3168"/>
      <c r="X10" s="3173"/>
    </row>
    <row r="11" spans="2:24" s="3163" customFormat="1" hidden="1" outlineLevel="1">
      <c r="F11" s="3167" t="s">
        <v>3441</v>
      </c>
      <c r="G11" s="3164">
        <f t="shared" si="1"/>
        <v>0</v>
      </c>
      <c r="J11" s="3168"/>
      <c r="X11" s="3173"/>
    </row>
    <row r="12" spans="2:24" s="3163" customFormat="1" hidden="1" outlineLevel="1">
      <c r="F12" s="3167" t="s">
        <v>3442</v>
      </c>
      <c r="G12" s="3164">
        <f t="shared" si="1"/>
        <v>0</v>
      </c>
      <c r="J12" s="3168"/>
      <c r="X12" s="3173"/>
    </row>
    <row r="13" spans="2:24" s="3163" customFormat="1" hidden="1" outlineLevel="1">
      <c r="F13" s="3167" t="s">
        <v>3443</v>
      </c>
      <c r="G13" s="3164">
        <f t="shared" si="1"/>
        <v>0</v>
      </c>
      <c r="J13" s="3168"/>
      <c r="X13" s="3173"/>
    </row>
    <row r="14" spans="2:24" s="3163" customFormat="1" hidden="1" outlineLevel="1">
      <c r="F14" s="3167" t="s">
        <v>3444</v>
      </c>
      <c r="G14" s="3164">
        <f t="shared" si="1"/>
        <v>0</v>
      </c>
      <c r="J14" s="3168"/>
      <c r="X14" s="3173"/>
    </row>
    <row r="15" spans="2:24" s="3163" customFormat="1" hidden="1" outlineLevel="1">
      <c r="F15" s="3167"/>
      <c r="G15" s="3176"/>
      <c r="J15" s="3168"/>
      <c r="X15" s="3173"/>
    </row>
    <row r="16" spans="2:24" s="3163" customFormat="1" hidden="1" outlineLevel="1">
      <c r="C16" s="3164">
        <f>SUM(C1:C15)</f>
        <v>4179.0200000000004</v>
      </c>
      <c r="E16" s="3164">
        <f>SUM(E1:E15)</f>
        <v>4179.0200000000004</v>
      </c>
      <c r="F16" s="3167"/>
      <c r="G16" s="3164">
        <f>SUM(G1:G15)</f>
        <v>4179.0200000000004</v>
      </c>
      <c r="I16" s="3164">
        <f>SUM(I1:I15)</f>
        <v>4179.0200000000004</v>
      </c>
      <c r="J16" s="3168"/>
      <c r="L16" s="3177"/>
      <c r="X16" s="3173"/>
    </row>
    <row r="17" spans="1:30" collapsed="1"/>
    <row r="18" spans="1:30" s="3179" customFormat="1">
      <c r="A18" s="3179" t="s">
        <v>3445</v>
      </c>
    </row>
    <row r="19" spans="1:30" ht="9" customHeight="1"/>
    <row r="20" spans="1:30" s="3179" customFormat="1">
      <c r="A20" s="3179" t="s">
        <v>3446</v>
      </c>
      <c r="C20" s="3180">
        <v>45838</v>
      </c>
      <c r="D20" s="3180"/>
    </row>
    <row r="21" spans="1:30" ht="9" customHeight="1" thickBot="1"/>
    <row r="22" spans="1:30" ht="15.6" customHeight="1">
      <c r="A22" s="3562" t="s">
        <v>3447</v>
      </c>
      <c r="B22" s="3563"/>
      <c r="C22" s="3563"/>
      <c r="D22" s="3563"/>
      <c r="E22" s="3563"/>
      <c r="F22" s="3563"/>
      <c r="G22" s="3563"/>
      <c r="H22" s="3564"/>
      <c r="I22" s="3562" t="s">
        <v>3448</v>
      </c>
      <c r="J22" s="3563"/>
      <c r="K22" s="3564"/>
      <c r="L22" s="3181" t="s">
        <v>3449</v>
      </c>
      <c r="M22" s="3562" t="s">
        <v>3450</v>
      </c>
      <c r="N22" s="3563"/>
      <c r="O22" s="3564"/>
      <c r="P22" s="3562" t="s">
        <v>3451</v>
      </c>
      <c r="Q22" s="3563"/>
      <c r="R22" s="3564"/>
      <c r="S22" s="3565" t="s">
        <v>3452</v>
      </c>
      <c r="T22" s="3566"/>
      <c r="U22" s="3566"/>
      <c r="V22" s="3566"/>
      <c r="W22" s="3566"/>
      <c r="X22" s="3566"/>
      <c r="Y22" s="3566"/>
      <c r="Z22" s="3566"/>
      <c r="AA22" s="3566"/>
      <c r="AB22" s="3566"/>
      <c r="AC22" s="3566"/>
      <c r="AD22" s="3566"/>
    </row>
    <row r="23" spans="1:30">
      <c r="A23" s="3182" t="s">
        <v>3402</v>
      </c>
      <c r="B23" s="3183" t="s">
        <v>3453</v>
      </c>
      <c r="C23" s="3183" t="s">
        <v>3454</v>
      </c>
      <c r="D23" s="3183" t="s">
        <v>3455</v>
      </c>
      <c r="E23" s="3183" t="s">
        <v>3456</v>
      </c>
      <c r="F23" s="3183" t="s">
        <v>3457</v>
      </c>
      <c r="G23" s="3183" t="s">
        <v>3458</v>
      </c>
      <c r="H23" s="3184" t="s">
        <v>3408</v>
      </c>
      <c r="I23" s="3182" t="s">
        <v>3459</v>
      </c>
      <c r="J23" s="3183" t="s">
        <v>3460</v>
      </c>
      <c r="K23" s="3184" t="s">
        <v>3461</v>
      </c>
      <c r="L23" s="3185" t="s">
        <v>3462</v>
      </c>
      <c r="M23" s="3182" t="s">
        <v>3463</v>
      </c>
      <c r="N23" s="3183" t="s">
        <v>3464</v>
      </c>
      <c r="O23" s="3184" t="s">
        <v>3465</v>
      </c>
      <c r="P23" s="3182" t="s">
        <v>3462</v>
      </c>
      <c r="Q23" s="3183" t="s">
        <v>3466</v>
      </c>
      <c r="R23" s="3184" t="s">
        <v>3467</v>
      </c>
      <c r="S23" s="3182" t="s">
        <v>3468</v>
      </c>
      <c r="T23" s="3183" t="s">
        <v>3469</v>
      </c>
      <c r="U23" s="3183" t="s">
        <v>3470</v>
      </c>
      <c r="V23" s="3183" t="s">
        <v>3471</v>
      </c>
      <c r="W23" s="3183" t="s">
        <v>3472</v>
      </c>
      <c r="X23" s="3183" t="s">
        <v>3469</v>
      </c>
      <c r="Y23" s="3183" t="s">
        <v>3470</v>
      </c>
      <c r="Z23" s="3184" t="s">
        <v>3471</v>
      </c>
      <c r="AA23" s="3183" t="s">
        <v>3473</v>
      </c>
      <c r="AB23" s="3183" t="s">
        <v>3469</v>
      </c>
      <c r="AC23" s="3183" t="s">
        <v>3470</v>
      </c>
      <c r="AD23" s="3184" t="s">
        <v>3471</v>
      </c>
    </row>
    <row r="24" spans="1:30">
      <c r="A24" s="3186" t="s">
        <v>3474</v>
      </c>
      <c r="B24" s="3187" t="s">
        <v>3475</v>
      </c>
      <c r="C24" s="3187" t="s">
        <v>3475</v>
      </c>
      <c r="D24" s="3188" t="s">
        <v>3475</v>
      </c>
      <c r="E24" s="3188" t="s">
        <v>3475</v>
      </c>
      <c r="F24" s="3187" t="s">
        <v>3475</v>
      </c>
      <c r="G24" s="3187" t="s">
        <v>3475</v>
      </c>
      <c r="H24" s="3189" t="s">
        <v>3475</v>
      </c>
      <c r="I24" s="3190" t="s">
        <v>3475</v>
      </c>
      <c r="J24" s="3191" t="s">
        <v>3475</v>
      </c>
      <c r="K24" s="3189" t="s">
        <v>3475</v>
      </c>
      <c r="L24" s="3192" t="s">
        <v>3475</v>
      </c>
      <c r="M24" s="3193" t="s">
        <v>3475</v>
      </c>
      <c r="N24" s="3187" t="s">
        <v>3475</v>
      </c>
      <c r="O24" s="3194" t="s">
        <v>3475</v>
      </c>
      <c r="P24" s="3193" t="s">
        <v>3475</v>
      </c>
      <c r="Q24" s="3195" t="s">
        <v>3475</v>
      </c>
      <c r="R24" s="3189" t="s">
        <v>3475</v>
      </c>
      <c r="S24" s="3190" t="s">
        <v>3475</v>
      </c>
      <c r="T24" s="3195" t="s">
        <v>3475</v>
      </c>
      <c r="U24" s="3195" t="s">
        <v>3475</v>
      </c>
      <c r="V24" s="3195" t="s">
        <v>3475</v>
      </c>
      <c r="W24" s="3191" t="s">
        <v>3475</v>
      </c>
      <c r="X24" s="3195" t="s">
        <v>3475</v>
      </c>
      <c r="Y24" s="3195" t="s">
        <v>3475</v>
      </c>
      <c r="Z24" s="3189" t="s">
        <v>3475</v>
      </c>
      <c r="AA24" s="3191" t="s">
        <v>3475</v>
      </c>
      <c r="AB24" s="3195" t="s">
        <v>3475</v>
      </c>
      <c r="AC24" s="3195" t="s">
        <v>3475</v>
      </c>
      <c r="AD24" s="3189" t="s">
        <v>3475</v>
      </c>
    </row>
    <row r="25" spans="1:30">
      <c r="A25" s="3186" t="s">
        <v>3476</v>
      </c>
      <c r="B25" s="3187">
        <v>1</v>
      </c>
      <c r="C25" s="3187" t="s">
        <v>3477</v>
      </c>
      <c r="D25" s="3188" t="s">
        <v>3478</v>
      </c>
      <c r="E25" s="3188" t="s">
        <v>3479</v>
      </c>
      <c r="F25" s="3187" t="s">
        <v>669</v>
      </c>
      <c r="G25" s="3187"/>
      <c r="H25" s="3196">
        <v>84</v>
      </c>
      <c r="I25" s="3190">
        <v>44059</v>
      </c>
      <c r="J25" s="3191">
        <v>45884</v>
      </c>
      <c r="K25" s="3197">
        <f t="shared" ref="K25:K31" si="3">+J25-I25+1</f>
        <v>1826</v>
      </c>
      <c r="L25" s="3198">
        <f>IF($C$20&lt;I25,0,IF($C$20&lt;S25,P25,IF($C$20&lt;W25,U25,IF($C$20&lt;AA25,Y25,IF($C$20&lt;AE25,AC25,AH25)))))</f>
        <v>12.68</v>
      </c>
      <c r="M25" s="3199">
        <v>2</v>
      </c>
      <c r="N25" s="3200">
        <v>44059</v>
      </c>
      <c r="O25" s="3200">
        <v>44119</v>
      </c>
      <c r="P25" s="3201">
        <f>11-(15.5*12/365+45/365)</f>
        <v>10.367123287671234</v>
      </c>
      <c r="Q25" s="3202">
        <f t="shared" ref="Q25:Q31" si="4">P25*365/12</f>
        <v>315.33333333333337</v>
      </c>
      <c r="R25" s="3196">
        <v>15.5</v>
      </c>
      <c r="S25" s="3190">
        <v>44789</v>
      </c>
      <c r="T25" s="3203">
        <v>0.1</v>
      </c>
      <c r="U25" s="3202">
        <f t="shared" ref="U25:U29" si="5">P25*(1+T25)</f>
        <v>11.403835616438359</v>
      </c>
      <c r="V25" s="3202">
        <f>U25*365/12</f>
        <v>346.86666666666679</v>
      </c>
      <c r="W25" s="3191">
        <v>45520</v>
      </c>
      <c r="X25" s="3203">
        <v>0.1</v>
      </c>
      <c r="Y25" s="3202">
        <v>12.68</v>
      </c>
      <c r="Z25" s="3196">
        <f>Y25*365/12</f>
        <v>385.68333333333334</v>
      </c>
      <c r="AA25" s="3191" t="s">
        <v>3480</v>
      </c>
      <c r="AB25" s="3203"/>
      <c r="AC25" s="3202">
        <v>0</v>
      </c>
      <c r="AD25" s="3196"/>
    </row>
    <row r="26" spans="1:30">
      <c r="A26" s="3186" t="s">
        <v>3481</v>
      </c>
      <c r="B26" s="3187">
        <v>1</v>
      </c>
      <c r="C26" s="3187" t="s">
        <v>3482</v>
      </c>
      <c r="D26" s="3188" t="s">
        <v>3483</v>
      </c>
      <c r="E26" s="3188" t="s">
        <v>3479</v>
      </c>
      <c r="F26" s="3187" t="s">
        <v>669</v>
      </c>
      <c r="G26" s="3187"/>
      <c r="H26" s="3196">
        <v>113.7</v>
      </c>
      <c r="I26" s="3190">
        <v>44305</v>
      </c>
      <c r="J26" s="3191">
        <v>46130</v>
      </c>
      <c r="K26" s="3197">
        <f t="shared" si="3"/>
        <v>1826</v>
      </c>
      <c r="L26" s="3204">
        <f t="shared" ref="L26:L31" si="6">IF($C$20&lt;I26,0,IF($C$20&lt;S26,P26,IF($C$20&lt;W26,U26,IF($C$20&lt;AA26,Y26,IF($C$20&lt;AE26,AC26,AH26)))))</f>
        <v>13.082786586301371</v>
      </c>
      <c r="M26" s="3205">
        <v>2</v>
      </c>
      <c r="N26" s="3200">
        <v>44305</v>
      </c>
      <c r="O26" s="3200">
        <v>44365</v>
      </c>
      <c r="P26" s="3201">
        <f>12.2-(15.5*12/365+45/365)</f>
        <v>11.567123287671233</v>
      </c>
      <c r="Q26" s="3202">
        <f t="shared" si="4"/>
        <v>351.83333333333331</v>
      </c>
      <c r="R26" s="3196">
        <v>15.5</v>
      </c>
      <c r="S26" s="3190">
        <v>45035</v>
      </c>
      <c r="T26" s="3203">
        <v>6.3E-2</v>
      </c>
      <c r="U26" s="3202">
        <f t="shared" si="5"/>
        <v>12.295852054794521</v>
      </c>
      <c r="V26" s="3202">
        <f>U26*365/12</f>
        <v>373.99883333333332</v>
      </c>
      <c r="W26" s="3191">
        <v>45766</v>
      </c>
      <c r="X26" s="3203">
        <v>6.4000000000000001E-2</v>
      </c>
      <c r="Y26" s="3202">
        <f>U26*(1+X26)</f>
        <v>13.082786586301371</v>
      </c>
      <c r="Z26" s="3196">
        <f>Y26*365/12</f>
        <v>397.93475866666671</v>
      </c>
      <c r="AA26" s="3191" t="s">
        <v>3480</v>
      </c>
      <c r="AB26" s="3203"/>
      <c r="AC26" s="3202">
        <v>0</v>
      </c>
      <c r="AD26" s="3196"/>
    </row>
    <row r="27" spans="1:30" ht="67.5">
      <c r="A27" s="3186" t="s">
        <v>3484</v>
      </c>
      <c r="B27" s="3187">
        <v>1</v>
      </c>
      <c r="C27" s="3187" t="s">
        <v>3485</v>
      </c>
      <c r="D27" s="3188" t="s">
        <v>3486</v>
      </c>
      <c r="E27" s="3188" t="s">
        <v>3479</v>
      </c>
      <c r="F27" s="3187" t="s">
        <v>669</v>
      </c>
      <c r="G27" s="3187"/>
      <c r="H27" s="3196">
        <v>115.33</v>
      </c>
      <c r="I27" s="3190">
        <v>44160</v>
      </c>
      <c r="J27" s="3191">
        <v>47081</v>
      </c>
      <c r="K27" s="3197">
        <f t="shared" si="3"/>
        <v>2922</v>
      </c>
      <c r="L27" s="3204">
        <f t="shared" si="6"/>
        <v>13.00361434630137</v>
      </c>
      <c r="M27" s="3205">
        <v>1.2163050624589085</v>
      </c>
      <c r="N27" s="3200" t="s">
        <v>3487</v>
      </c>
      <c r="O27" s="3200" t="s">
        <v>3488</v>
      </c>
      <c r="P27" s="3201">
        <f>12.13-(15.5*12/365+45/365)</f>
        <v>11.497123287671233</v>
      </c>
      <c r="Q27" s="3202">
        <f t="shared" si="4"/>
        <v>349.70416666666665</v>
      </c>
      <c r="R27" s="3196">
        <v>15.5</v>
      </c>
      <c r="S27" s="3190">
        <v>44890</v>
      </c>
      <c r="T27" s="3203">
        <v>6.4000000000000001E-2</v>
      </c>
      <c r="U27" s="3202">
        <f t="shared" si="5"/>
        <v>12.232939178082193</v>
      </c>
      <c r="V27" s="3202">
        <f>425040/12/H27</f>
        <v>307.11870285268361</v>
      </c>
      <c r="W27" s="3191">
        <v>45621</v>
      </c>
      <c r="X27" s="3203">
        <v>6.3E-2</v>
      </c>
      <c r="Y27" s="3202">
        <f>U27*(1+X27)</f>
        <v>13.00361434630137</v>
      </c>
      <c r="Z27" s="3196">
        <f>Y27*365/12</f>
        <v>395.5266030333334</v>
      </c>
      <c r="AA27" s="3191">
        <v>45986</v>
      </c>
      <c r="AB27" s="3195"/>
      <c r="AC27" s="3202">
        <f>9.5-(15.5*12/365+45/365)</f>
        <v>8.8671232876712338</v>
      </c>
      <c r="AD27" s="3196">
        <f t="shared" ref="AD27" si="7">Y27*(1+AB27)</f>
        <v>13.00361434630137</v>
      </c>
    </row>
    <row r="28" spans="1:30">
      <c r="A28" s="3186" t="s">
        <v>3489</v>
      </c>
      <c r="B28" s="3187">
        <v>1</v>
      </c>
      <c r="C28" s="3187" t="s">
        <v>3490</v>
      </c>
      <c r="D28" s="3188" t="s">
        <v>3491</v>
      </c>
      <c r="E28" s="3188" t="s">
        <v>3479</v>
      </c>
      <c r="F28" s="3187" t="s">
        <v>669</v>
      </c>
      <c r="G28" s="3187"/>
      <c r="H28" s="3196">
        <v>112</v>
      </c>
      <c r="I28" s="3190">
        <v>45413</v>
      </c>
      <c r="J28" s="3191">
        <v>46507</v>
      </c>
      <c r="K28" s="3197">
        <f t="shared" si="3"/>
        <v>1095</v>
      </c>
      <c r="L28" s="3206">
        <f t="shared" si="6"/>
        <v>10.367123287671232</v>
      </c>
      <c r="M28" s="3199"/>
      <c r="N28" s="3200"/>
      <c r="O28" s="3200"/>
      <c r="P28" s="3201">
        <f>11-(15.5*12/365)-(45/365)</f>
        <v>10.367123287671232</v>
      </c>
      <c r="Q28" s="3202">
        <f t="shared" si="4"/>
        <v>315.33333333333331</v>
      </c>
      <c r="R28" s="3196">
        <v>15.5</v>
      </c>
      <c r="S28" s="3190" t="s">
        <v>3480</v>
      </c>
      <c r="T28" s="3203">
        <v>0</v>
      </c>
      <c r="U28" s="3202">
        <v>0</v>
      </c>
      <c r="V28" s="3202">
        <v>0</v>
      </c>
      <c r="W28" s="3191" t="s">
        <v>3480</v>
      </c>
      <c r="X28" s="3203">
        <v>0</v>
      </c>
      <c r="Y28" s="3202">
        <v>0</v>
      </c>
      <c r="Z28" s="3196">
        <v>0</v>
      </c>
      <c r="AA28" s="3191" t="s">
        <v>3480</v>
      </c>
      <c r="AB28" s="3195">
        <v>0</v>
      </c>
      <c r="AC28" s="3202">
        <v>0</v>
      </c>
      <c r="AD28" s="3196"/>
    </row>
    <row r="29" spans="1:30">
      <c r="A29" s="3186" t="s">
        <v>3492</v>
      </c>
      <c r="B29" s="3187">
        <v>1</v>
      </c>
      <c r="C29" s="3187" t="s">
        <v>3493</v>
      </c>
      <c r="D29" s="3188" t="s">
        <v>3494</v>
      </c>
      <c r="E29" s="3188" t="s">
        <v>3479</v>
      </c>
      <c r="F29" s="3187" t="s">
        <v>669</v>
      </c>
      <c r="G29" s="3187"/>
      <c r="H29" s="3196">
        <v>184.89</v>
      </c>
      <c r="I29" s="3190">
        <v>45398</v>
      </c>
      <c r="J29" s="3191">
        <v>47223</v>
      </c>
      <c r="K29" s="3197">
        <f t="shared" si="3"/>
        <v>1826</v>
      </c>
      <c r="L29" s="3204">
        <f t="shared" si="6"/>
        <v>7.37</v>
      </c>
      <c r="M29" s="3205"/>
      <c r="N29" s="3200"/>
      <c r="O29" s="3200"/>
      <c r="P29" s="3201">
        <f>8-0.63</f>
        <v>7.37</v>
      </c>
      <c r="Q29" s="3202">
        <f t="shared" si="4"/>
        <v>224.17083333333335</v>
      </c>
      <c r="R29" s="3196">
        <v>15.5</v>
      </c>
      <c r="S29" s="3190">
        <v>46128</v>
      </c>
      <c r="T29" s="3203">
        <v>6.5000000000000002E-2</v>
      </c>
      <c r="U29" s="3202">
        <f t="shared" si="5"/>
        <v>7.8490500000000001</v>
      </c>
      <c r="V29" s="3202">
        <f>595087/12/H29</f>
        <v>268.21668739971517</v>
      </c>
      <c r="W29" s="3191">
        <v>46859</v>
      </c>
      <c r="X29" s="3203">
        <v>6.5000000000000002E-2</v>
      </c>
      <c r="Y29" s="3202">
        <f>U29*(1+X29)</f>
        <v>8.3592382499999989</v>
      </c>
      <c r="Z29" s="3196">
        <v>0</v>
      </c>
      <c r="AA29" s="3191" t="s">
        <v>3480</v>
      </c>
      <c r="AB29" s="3195">
        <v>6.5000000000000002E-2</v>
      </c>
      <c r="AC29" s="3202">
        <v>0</v>
      </c>
      <c r="AD29" s="3196"/>
    </row>
    <row r="30" spans="1:30">
      <c r="A30" s="3186" t="s">
        <v>3495</v>
      </c>
      <c r="B30" s="3187">
        <v>1</v>
      </c>
      <c r="C30" s="3187" t="s">
        <v>3496</v>
      </c>
      <c r="D30" s="3188" t="s">
        <v>3497</v>
      </c>
      <c r="E30" s="3188" t="s">
        <v>3479</v>
      </c>
      <c r="F30" s="3187" t="s">
        <v>669</v>
      </c>
      <c r="G30" s="3187"/>
      <c r="H30" s="3196">
        <v>352.58</v>
      </c>
      <c r="I30" s="3190">
        <v>45078</v>
      </c>
      <c r="J30" s="3191">
        <v>46904</v>
      </c>
      <c r="K30" s="3197">
        <f t="shared" si="3"/>
        <v>1827</v>
      </c>
      <c r="L30" s="3204">
        <f t="shared" si="6"/>
        <v>7.8459863013698623</v>
      </c>
      <c r="M30" s="3205">
        <v>2</v>
      </c>
      <c r="N30" s="3200">
        <v>45078</v>
      </c>
      <c r="O30" s="3200">
        <v>45138</v>
      </c>
      <c r="P30" s="3201">
        <f>8-(15.5*12/365+45/365)</f>
        <v>7.3671232876712329</v>
      </c>
      <c r="Q30" s="3202">
        <f t="shared" si="4"/>
        <v>224.08333333333334</v>
      </c>
      <c r="R30" s="3196">
        <v>15.5</v>
      </c>
      <c r="S30" s="3190">
        <v>45809</v>
      </c>
      <c r="T30" s="3195">
        <v>6.5000000000000002E-2</v>
      </c>
      <c r="U30" s="3202">
        <f>P30*(1+T30)</f>
        <v>7.8459863013698623</v>
      </c>
      <c r="V30" s="3202">
        <f>U30*365/12</f>
        <v>238.64874999999998</v>
      </c>
      <c r="W30" s="3191">
        <v>46539</v>
      </c>
      <c r="X30" s="3203">
        <v>6.5000000000000002E-2</v>
      </c>
      <c r="Y30" s="3202">
        <f>IF(W30&lt;&gt;"N/A",ROUND(U30*(1+X30),2),0)</f>
        <v>8.36</v>
      </c>
      <c r="Z30" s="3196">
        <f>Y30*365/12</f>
        <v>254.2833333333333</v>
      </c>
      <c r="AA30" s="3191" t="s">
        <v>3480</v>
      </c>
      <c r="AB30" s="3195">
        <v>6.5000000000000002E-2</v>
      </c>
      <c r="AC30" s="3202">
        <v>0</v>
      </c>
      <c r="AD30" s="3196"/>
    </row>
    <row r="31" spans="1:30">
      <c r="A31" s="3186" t="s">
        <v>3498</v>
      </c>
      <c r="B31" s="3187" t="s">
        <v>3499</v>
      </c>
      <c r="C31" s="3187" t="s">
        <v>3499</v>
      </c>
      <c r="D31" s="3188" t="s">
        <v>3500</v>
      </c>
      <c r="E31" s="3188" t="s">
        <v>3501</v>
      </c>
      <c r="F31" s="3187" t="s">
        <v>21</v>
      </c>
      <c r="G31" s="3187"/>
      <c r="H31" s="3196">
        <v>3216.52</v>
      </c>
      <c r="I31" s="3190">
        <v>45413</v>
      </c>
      <c r="J31" s="3191">
        <v>46142</v>
      </c>
      <c r="K31" s="3197">
        <f t="shared" si="3"/>
        <v>730</v>
      </c>
      <c r="L31" s="3204">
        <f t="shared" si="6"/>
        <v>4.5934246575342463</v>
      </c>
      <c r="M31" s="3205"/>
      <c r="N31" s="3200"/>
      <c r="O31" s="3200"/>
      <c r="P31" s="3201">
        <f>5.14-(12.5*12/365+49.5/365)</f>
        <v>4.5934246575342463</v>
      </c>
      <c r="Q31" s="3202">
        <f t="shared" si="4"/>
        <v>139.71666666666667</v>
      </c>
      <c r="R31" s="3196">
        <v>12.5</v>
      </c>
      <c r="S31" s="3190" t="s">
        <v>3480</v>
      </c>
      <c r="T31" s="3195">
        <v>0</v>
      </c>
      <c r="U31" s="3202">
        <v>0</v>
      </c>
      <c r="V31" s="3202">
        <v>0</v>
      </c>
      <c r="W31" s="3191" t="s">
        <v>3480</v>
      </c>
      <c r="X31" s="3203">
        <v>0</v>
      </c>
      <c r="Y31" s="3202">
        <v>0</v>
      </c>
      <c r="Z31" s="3196">
        <v>0</v>
      </c>
      <c r="AA31" s="3191" t="s">
        <v>3480</v>
      </c>
      <c r="AB31" s="3195">
        <v>0</v>
      </c>
      <c r="AC31" s="3202">
        <v>0</v>
      </c>
      <c r="AD31" s="3196"/>
    </row>
    <row r="32" spans="1:30">
      <c r="A32" s="3186"/>
      <c r="B32" s="3187"/>
      <c r="C32" s="3187"/>
      <c r="D32" s="3188"/>
      <c r="E32" s="3188"/>
      <c r="F32" s="3187"/>
      <c r="G32" s="3187"/>
      <c r="H32" s="3196"/>
      <c r="I32" s="3190"/>
      <c r="J32" s="3191"/>
      <c r="K32" s="3197"/>
      <c r="L32" s="3204"/>
      <c r="M32" s="3205"/>
      <c r="N32" s="3200"/>
      <c r="O32" s="3200"/>
      <c r="P32" s="3201"/>
      <c r="Q32" s="3202"/>
      <c r="R32" s="3196"/>
      <c r="S32" s="3190"/>
      <c r="T32" s="3195"/>
      <c r="U32" s="3202"/>
      <c r="V32" s="3202"/>
      <c r="W32" s="3191"/>
      <c r="X32" s="3195"/>
      <c r="Y32" s="3202"/>
      <c r="Z32" s="3196"/>
      <c r="AA32" s="3191"/>
      <c r="AB32" s="3195"/>
      <c r="AC32" s="3202"/>
      <c r="AD32" s="3196"/>
    </row>
    <row r="33" spans="1:30">
      <c r="A33" s="3186"/>
      <c r="B33" s="3187"/>
      <c r="C33" s="3187"/>
      <c r="D33" s="3188"/>
      <c r="E33" s="3188"/>
      <c r="F33" s="3187"/>
      <c r="G33" s="3187"/>
      <c r="H33" s="3196"/>
      <c r="I33" s="3190"/>
      <c r="J33" s="3191"/>
      <c r="K33" s="3197"/>
      <c r="L33" s="3204"/>
      <c r="M33" s="3205"/>
      <c r="N33" s="3200"/>
      <c r="O33" s="3200"/>
      <c r="P33" s="3201"/>
      <c r="Q33" s="3202"/>
      <c r="R33" s="3196"/>
      <c r="S33" s="3190"/>
      <c r="T33" s="3203"/>
      <c r="U33" s="3202"/>
      <c r="V33" s="3202"/>
      <c r="W33" s="3191"/>
      <c r="X33" s="3203"/>
      <c r="Y33" s="3202"/>
      <c r="Z33" s="3196"/>
      <c r="AA33" s="3191"/>
      <c r="AB33" s="3203"/>
      <c r="AC33" s="3202"/>
      <c r="AD33" s="3196"/>
    </row>
    <row r="34" spans="1:30">
      <c r="A34" s="3186"/>
      <c r="B34" s="3187"/>
      <c r="C34" s="3187"/>
      <c r="D34" s="3188"/>
      <c r="E34" s="3188"/>
      <c r="F34" s="3187"/>
      <c r="G34" s="3187"/>
      <c r="H34" s="3196"/>
      <c r="I34" s="3190"/>
      <c r="J34" s="3191"/>
      <c r="K34" s="3197"/>
      <c r="L34" s="3204"/>
      <c r="M34" s="3199"/>
      <c r="N34" s="3200"/>
      <c r="O34" s="3200"/>
      <c r="P34" s="3201"/>
      <c r="Q34" s="3202"/>
      <c r="R34" s="3196"/>
      <c r="S34" s="3190"/>
      <c r="T34" s="3203"/>
      <c r="U34" s="3202"/>
      <c r="V34" s="3202"/>
      <c r="W34" s="3191"/>
      <c r="X34" s="3203"/>
      <c r="Y34" s="3202"/>
      <c r="Z34" s="3196"/>
      <c r="AA34" s="3191"/>
      <c r="AB34" s="3203"/>
      <c r="AC34" s="3202"/>
      <c r="AD34" s="3196"/>
    </row>
    <row r="35" spans="1:30">
      <c r="A35" s="3207" t="s">
        <v>3502</v>
      </c>
      <c r="B35" s="3208"/>
      <c r="C35" s="3187"/>
      <c r="D35" s="3188"/>
      <c r="E35" s="3188"/>
      <c r="F35" s="3187"/>
      <c r="G35" s="3187"/>
      <c r="H35" s="3196"/>
      <c r="I35" s="3190"/>
      <c r="J35" s="3191"/>
      <c r="K35" s="3197"/>
      <c r="L35" s="3204"/>
      <c r="M35" s="3193"/>
      <c r="N35" s="3187"/>
      <c r="O35" s="3194"/>
      <c r="P35" s="3201"/>
      <c r="Q35" s="3202"/>
      <c r="R35" s="3196"/>
      <c r="S35" s="3190"/>
      <c r="T35" s="3203"/>
      <c r="U35" s="3202"/>
      <c r="V35" s="3202"/>
      <c r="W35" s="3191"/>
      <c r="X35" s="3203"/>
      <c r="Y35" s="3202"/>
      <c r="Z35" s="3196"/>
      <c r="AA35" s="3191"/>
      <c r="AB35" s="3203"/>
      <c r="AC35" s="3202"/>
      <c r="AD35" s="3196"/>
    </row>
    <row r="36" spans="1:30">
      <c r="A36" s="3186" t="s">
        <v>3503</v>
      </c>
      <c r="B36" s="3187">
        <v>1</v>
      </c>
      <c r="C36" s="3187" t="s">
        <v>3477</v>
      </c>
      <c r="D36" s="3188" t="s">
        <v>3478</v>
      </c>
      <c r="E36" s="3188" t="s">
        <v>3479</v>
      </c>
      <c r="F36" s="3187" t="s">
        <v>669</v>
      </c>
      <c r="G36" s="3187" t="s">
        <v>3475</v>
      </c>
      <c r="H36" s="3196" t="s">
        <v>3475</v>
      </c>
      <c r="I36" s="3190">
        <v>45885</v>
      </c>
      <c r="J36" s="3191">
        <v>46980</v>
      </c>
      <c r="K36" s="3197">
        <f t="shared" ref="K36" si="8">+J36-I36+1</f>
        <v>1096</v>
      </c>
      <c r="L36" s="3204">
        <f t="shared" ref="L36" si="9">IF($C$20&lt;I36,0,IF($C$20&lt;S36,P36,IF($C$20&lt;W36,U36,IF($C$20&lt;AA36,Y36,IF($C$20&lt;AE36,AC36,AH36)))))</f>
        <v>0</v>
      </c>
      <c r="M36" s="3193" t="s">
        <v>3475</v>
      </c>
      <c r="N36" s="3187" t="s">
        <v>3475</v>
      </c>
      <c r="O36" s="3194" t="s">
        <v>3475</v>
      </c>
      <c r="P36" s="3201">
        <f>11-(15.5*12/365+45/365)</f>
        <v>10.367123287671234</v>
      </c>
      <c r="Q36" s="3202">
        <f t="shared" ref="Q36" si="10">P36*365/12</f>
        <v>315.33333333333337</v>
      </c>
      <c r="R36" s="3196">
        <v>15.5</v>
      </c>
      <c r="S36" s="3190" t="s">
        <v>3480</v>
      </c>
      <c r="T36" s="3195">
        <v>0</v>
      </c>
      <c r="U36" s="3202" t="s">
        <v>3475</v>
      </c>
      <c r="V36" s="3202" t="s">
        <v>3475</v>
      </c>
      <c r="W36" s="3191" t="s">
        <v>3480</v>
      </c>
      <c r="X36" s="3195" t="s">
        <v>3475</v>
      </c>
      <c r="Y36" s="3202" t="s">
        <v>3475</v>
      </c>
      <c r="Z36" s="3196" t="s">
        <v>3475</v>
      </c>
      <c r="AA36" s="3191" t="s">
        <v>3480</v>
      </c>
      <c r="AB36" s="3195" t="s">
        <v>3475</v>
      </c>
      <c r="AC36" s="3202" t="s">
        <v>3475</v>
      </c>
      <c r="AD36" s="3196" t="s">
        <v>3475</v>
      </c>
    </row>
    <row r="37" spans="1:30">
      <c r="A37" s="3209"/>
      <c r="B37" s="3210"/>
      <c r="C37" s="3210"/>
      <c r="D37" s="3211"/>
      <c r="E37" s="3188"/>
      <c r="F37" s="3210"/>
      <c r="G37" s="3210"/>
      <c r="H37" s="3212"/>
      <c r="I37" s="3213"/>
      <c r="J37" s="3214"/>
      <c r="K37" s="3215"/>
      <c r="L37" s="3216"/>
      <c r="M37" s="3217"/>
      <c r="N37" s="3218"/>
      <c r="O37" s="3219"/>
      <c r="P37" s="3220"/>
      <c r="Q37" s="3221"/>
      <c r="R37" s="3212"/>
      <c r="S37" s="3213"/>
      <c r="T37" s="3222"/>
      <c r="U37" s="3221"/>
      <c r="V37" s="3221"/>
      <c r="W37" s="3214"/>
      <c r="X37" s="3222"/>
      <c r="Y37" s="3221"/>
      <c r="Z37" s="3212"/>
      <c r="AA37" s="3214"/>
      <c r="AB37" s="3222"/>
      <c r="AC37" s="3221"/>
      <c r="AD37" s="3212"/>
    </row>
    <row r="38" spans="1:30" ht="14.25" thickBot="1">
      <c r="A38" s="3223" t="s">
        <v>3502</v>
      </c>
      <c r="B38" s="3224"/>
      <c r="C38" s="3225"/>
      <c r="D38" s="3226"/>
      <c r="E38" s="3226"/>
      <c r="F38" s="3225"/>
      <c r="G38" s="3225"/>
      <c r="H38" s="3227"/>
      <c r="I38" s="3228"/>
      <c r="J38" s="3229"/>
      <c r="K38" s="3230"/>
      <c r="L38" s="3231"/>
      <c r="M38" s="3232"/>
      <c r="N38" s="3225"/>
      <c r="O38" s="3233"/>
      <c r="P38" s="3234"/>
      <c r="Q38" s="3235"/>
      <c r="R38" s="3227"/>
      <c r="S38" s="3228"/>
      <c r="T38" s="3236"/>
      <c r="U38" s="3235"/>
      <c r="V38" s="3235"/>
      <c r="W38" s="3229"/>
      <c r="X38" s="3236"/>
      <c r="Y38" s="3235"/>
      <c r="Z38" s="3227"/>
      <c r="AA38" s="3229"/>
      <c r="AB38" s="3236"/>
      <c r="AC38" s="3235"/>
      <c r="AD38" s="3227"/>
    </row>
    <row r="40" spans="1:30">
      <c r="D40" s="3237" t="s">
        <v>3504</v>
      </c>
      <c r="E40" s="3178">
        <v>3216.52</v>
      </c>
      <c r="F40" s="3238"/>
      <c r="G40" s="3164"/>
      <c r="L40" s="3178">
        <f>'数据-汇总表'!F19</f>
        <v>617.69000000000005</v>
      </c>
    </row>
    <row r="41" spans="1:30">
      <c r="D41" s="3237" t="s">
        <v>3505</v>
      </c>
      <c r="E41" s="3178">
        <v>962.5</v>
      </c>
      <c r="G41" s="3164"/>
      <c r="L41" s="3255">
        <f>SUM(H25:H28)</f>
        <v>425.03</v>
      </c>
      <c r="M41" s="3178">
        <f>H29+H30</f>
        <v>537.47</v>
      </c>
      <c r="N41" s="3178">
        <f>L25*H25+L26*H26+L27*H27+L28*H28</f>
        <v>5213.4574856405807</v>
      </c>
      <c r="O41" s="3178">
        <f>N41/L41</f>
        <v>12.266092947887399</v>
      </c>
    </row>
    <row r="42" spans="1:30">
      <c r="D42" s="3237" t="s">
        <v>3506</v>
      </c>
      <c r="E42" s="3178">
        <f>E40+E41</f>
        <v>4179.0200000000004</v>
      </c>
      <c r="G42" s="3164"/>
      <c r="L42" s="3178">
        <f>L40-L41</f>
        <v>192.66000000000008</v>
      </c>
      <c r="M42" s="3178">
        <f>M41-L42</f>
        <v>344.80999999999995</v>
      </c>
    </row>
    <row r="43" spans="1:30">
      <c r="D43" s="3237" t="s">
        <v>3507</v>
      </c>
      <c r="E43" s="3178">
        <f>+SUMIF(F25:F35,"办公",H25:H35)</f>
        <v>3216.52</v>
      </c>
      <c r="F43" s="3238"/>
      <c r="G43" s="3164"/>
    </row>
    <row r="44" spans="1:30">
      <c r="D44" s="3237" t="s">
        <v>3508</v>
      </c>
      <c r="E44" s="3178">
        <f>SUMIF(F25:F35,"商业",H25:H35)</f>
        <v>962.5</v>
      </c>
      <c r="G44" s="3164"/>
    </row>
    <row r="45" spans="1:30">
      <c r="D45" s="3237" t="s">
        <v>3509</v>
      </c>
      <c r="E45" s="3178">
        <f>+SUMIF(F25:F38,"办公",H25:H38)</f>
        <v>3216.52</v>
      </c>
      <c r="F45" s="3238"/>
      <c r="G45" s="3164"/>
    </row>
    <row r="46" spans="1:30">
      <c r="D46" s="3237" t="s">
        <v>3510</v>
      </c>
      <c r="E46" s="3178">
        <f>SUMIF(F25:F38,"商业",H25:H38)</f>
        <v>962.5</v>
      </c>
      <c r="G46" s="3164"/>
    </row>
    <row r="47" spans="1:30">
      <c r="D47" s="3237" t="s">
        <v>3511</v>
      </c>
      <c r="E47" s="3239">
        <f>E43/E40</f>
        <v>1</v>
      </c>
      <c r="F47" s="3240"/>
      <c r="G47" s="3164"/>
    </row>
    <row r="48" spans="1:30">
      <c r="D48" s="3237" t="s">
        <v>3512</v>
      </c>
      <c r="E48" s="3240">
        <f>IF(E41&lt;&gt;0,E44/E41,0)</f>
        <v>1</v>
      </c>
      <c r="F48" s="3240"/>
      <c r="G48" s="3164"/>
    </row>
    <row r="49" spans="1:7">
      <c r="D49" s="3237" t="s">
        <v>3513</v>
      </c>
      <c r="E49" s="3240">
        <f>(E43+E44)/E42</f>
        <v>1</v>
      </c>
      <c r="F49" s="3240"/>
      <c r="G49" s="3164"/>
    </row>
    <row r="50" spans="1:7">
      <c r="D50" s="3237" t="s">
        <v>3514</v>
      </c>
      <c r="E50" s="3239">
        <f>E45/E40</f>
        <v>1</v>
      </c>
      <c r="F50" s="3240"/>
      <c r="G50" s="3164"/>
    </row>
    <row r="51" spans="1:7">
      <c r="D51" s="3237" t="s">
        <v>3515</v>
      </c>
      <c r="E51" s="3239">
        <f>IF(E41&lt;&gt;0,E46/E41,0)</f>
        <v>1</v>
      </c>
      <c r="F51" s="3240"/>
      <c r="G51" s="3164"/>
    </row>
    <row r="52" spans="1:7">
      <c r="D52" s="3237" t="s">
        <v>3516</v>
      </c>
      <c r="E52" s="3239">
        <f>(E45+E46)/E42</f>
        <v>1</v>
      </c>
      <c r="F52" s="3240"/>
      <c r="G52" s="3164"/>
    </row>
    <row r="53" spans="1:7">
      <c r="D53" s="3237" t="s">
        <v>3517</v>
      </c>
      <c r="E53" s="3241">
        <f>SUMPRODUCT((F25:F35="办公")*H25:H35*L25:L35)/SUMIF(F25:F35,"=办公",H25:H35)</f>
        <v>4.5934246575342463</v>
      </c>
      <c r="F53" s="3241"/>
      <c r="G53" s="3164"/>
    </row>
    <row r="54" spans="1:7">
      <c r="D54" s="3237" t="s">
        <v>3518</v>
      </c>
      <c r="E54" s="3241">
        <f>SUMPRODUCT((F25:F35="商业")*H25:H35*L25:L35)/SUMIF(F25:F35,"=商业",H25:H35)</f>
        <v>9.706425595613057</v>
      </c>
      <c r="F54" s="3241"/>
      <c r="G54" s="3164"/>
    </row>
    <row r="55" spans="1:7">
      <c r="D55" s="3237" t="s">
        <v>3519</v>
      </c>
      <c r="E55" s="3241">
        <f>SUMPRODUCT(H25:H35,L25:L35)/SUM(H25:H35)</f>
        <v>5.7710364906675773</v>
      </c>
      <c r="F55" s="3241"/>
      <c r="G55" s="3164"/>
    </row>
    <row r="56" spans="1:7">
      <c r="D56" s="3237" t="s">
        <v>3520</v>
      </c>
      <c r="E56" s="3241">
        <f>ROUND(SUMPRODUCT($H$25:$H$35,($J$25:$J$35-$C$20))/SUM($H$25:$H$35)/365,2)</f>
        <v>1.22</v>
      </c>
      <c r="F56" s="3241"/>
      <c r="G56" s="3164"/>
    </row>
    <row r="57" spans="1:7">
      <c r="A57" s="3237"/>
    </row>
    <row r="58" spans="1:7">
      <c r="A58" s="3237"/>
      <c r="E58" s="3242" t="s">
        <v>3521</v>
      </c>
      <c r="F58" s="3242"/>
      <c r="G58" s="3242"/>
    </row>
  </sheetData>
  <mergeCells count="5">
    <mergeCell ref="A22:H22"/>
    <mergeCell ref="I22:K22"/>
    <mergeCell ref="M22:O22"/>
    <mergeCell ref="P22:R22"/>
    <mergeCell ref="S22:AD22"/>
  </mergeCells>
  <phoneticPr fontId="134" type="noConversion"/>
  <pageMargins left="0.70866141732283472" right="0.70866141732283472" top="0.74803149606299213" bottom="0.74803149606299213" header="0.31496062992125984" footer="0.31496062992125984"/>
  <pageSetup paperSize="9" scale="7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DF461-5875-4B74-96A3-52E5FC9B899E}">
  <dimension ref="A1"/>
  <sheetViews>
    <sheetView topLeftCell="A58" workbookViewId="0">
      <selection activeCell="J84" sqref="J84"/>
    </sheetView>
  </sheetViews>
  <sheetFormatPr defaultRowHeight="13.5"/>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71F1B-815D-4C00-A26C-3462908262AC}">
  <sheetPr>
    <tabColor rgb="FFFF0000"/>
  </sheetPr>
  <dimension ref="A1:AJ512"/>
  <sheetViews>
    <sheetView view="pageBreakPreview" topLeftCell="A37" zoomScaleNormal="100" zoomScaleSheetLayoutView="100" zoomScalePageLayoutView="80" workbookViewId="0">
      <selection activeCell="L81" sqref="L81"/>
    </sheetView>
  </sheetViews>
  <sheetFormatPr defaultColWidth="12.625" defaultRowHeight="21.75" customHeight="1"/>
  <cols>
    <col min="1" max="2" width="12.625" style="1555"/>
    <col min="3" max="4" width="12.625" style="1555" customWidth="1"/>
    <col min="5" max="9" width="12.625" style="1555"/>
    <col min="10" max="11" width="12.625" style="684" customWidth="1"/>
    <col min="12" max="12" width="12.625" style="684"/>
    <col min="13" max="13" width="14.125" style="684" bestFit="1" customWidth="1"/>
    <col min="14" max="26" width="12.625" style="684"/>
    <col min="27" max="35" width="12.625" style="1617"/>
    <col min="36" max="16384" width="12.625" style="1555"/>
  </cols>
  <sheetData>
    <row r="1" spans="1:12" ht="21.75" customHeight="1" thickBot="1">
      <c r="A1" s="1515" t="s">
        <v>1258</v>
      </c>
      <c r="B1" s="646"/>
      <c r="C1" s="1614" t="s">
        <v>3584</v>
      </c>
      <c r="D1" s="646"/>
      <c r="E1" s="646"/>
      <c r="F1" s="1615" t="s">
        <v>1259</v>
      </c>
      <c r="G1" s="1447" t="s">
        <v>3552</v>
      </c>
      <c r="H1" s="1615" t="str">
        <f>IF(G1="现房","——","估价对象范围")</f>
        <v>——</v>
      </c>
      <c r="I1" s="1616" t="s">
        <v>3553</v>
      </c>
    </row>
    <row r="2" spans="1:12" ht="21.75" customHeight="1" thickBot="1">
      <c r="A2" s="3379" t="str">
        <f>项目基本情况!S2</f>
        <v>北京市房地产</v>
      </c>
      <c r="B2" s="3380"/>
      <c r="C2" s="3380"/>
      <c r="D2" s="3380"/>
      <c r="E2" s="3380"/>
      <c r="F2" s="3380"/>
      <c r="G2" s="3380"/>
      <c r="H2" s="3380"/>
      <c r="I2" s="3381"/>
    </row>
    <row r="3" spans="1:12" ht="12.75">
      <c r="A3" s="3383" t="s">
        <v>1260</v>
      </c>
      <c r="B3" s="3384"/>
      <c r="C3" s="3384"/>
      <c r="D3" s="3384"/>
      <c r="E3" s="3384"/>
      <c r="F3" s="3384"/>
      <c r="G3" s="3384"/>
      <c r="H3" s="3384"/>
      <c r="I3" s="3384"/>
    </row>
    <row r="4" spans="1:12" ht="14.25">
      <c r="A4" s="1618" t="s">
        <v>1261</v>
      </c>
      <c r="B4" s="1619" t="s">
        <v>1262</v>
      </c>
      <c r="C4" s="1620" t="s">
        <v>3583</v>
      </c>
      <c r="D4" s="1620" t="s">
        <v>3583</v>
      </c>
      <c r="E4" s="3385" t="s">
        <v>1263</v>
      </c>
      <c r="F4" s="3386"/>
      <c r="G4" s="3386"/>
      <c r="H4" s="3386"/>
      <c r="I4" s="3387"/>
      <c r="K4" s="138" t="str">
        <f>IF(ISNUMBER(FIND("比较法",'结果表-39-14'!C4)),"比较法",IF(ISNUMBER(FIND("成本法",'结果表-39-14'!C4)),"成本法",IF(ISNUMBER(FIND("假设开发法",'结果表-39-14'!C4)),"假设开发法",IF(ISNUMBER(FIND("收益法",'结果表-39-14'!C4)),"收益法","基准地价系数修正法"))))</f>
        <v>比较法</v>
      </c>
      <c r="L4" s="138" t="str">
        <f>IF(ISNUMBER(FIND("比较法",'结果表-39-14'!D4)),"比较法",IF(ISNUMBER(FIND("成本法",'结果表-39-14'!D4)),"成本法",IF(ISNUMBER(FIND("假设开发法",'结果表-39-14'!D4)),"假设开发法",IF(ISNUMBER(FIND("收益法",'结果表-39-14'!D4)),"收益法","基准地价系数修正法"))))</f>
        <v>比较法</v>
      </c>
    </row>
    <row r="5" spans="1:12" ht="12.75">
      <c r="A5" s="3359" t="s">
        <v>1264</v>
      </c>
      <c r="B5" s="3346">
        <v>25</v>
      </c>
      <c r="C5" s="3362"/>
      <c r="D5" s="3382"/>
      <c r="E5" s="123" t="s">
        <v>1265</v>
      </c>
      <c r="F5" s="1621"/>
      <c r="G5" s="1621"/>
      <c r="H5" s="1621"/>
      <c r="I5" s="1275"/>
    </row>
    <row r="6" spans="1:12" ht="12.75">
      <c r="A6" s="3359"/>
      <c r="B6" s="3346"/>
      <c r="C6" s="3363"/>
      <c r="D6" s="3382"/>
      <c r="E6" s="123" t="s">
        <v>1266</v>
      </c>
      <c r="F6" s="1621"/>
      <c r="G6" s="1621"/>
      <c r="H6" s="1621"/>
      <c r="I6" s="1275"/>
    </row>
    <row r="7" spans="1:12" ht="12.75">
      <c r="A7" s="3359"/>
      <c r="B7" s="3346"/>
      <c r="C7" s="3364"/>
      <c r="D7" s="3382"/>
      <c r="E7" s="123" t="s">
        <v>1267</v>
      </c>
      <c r="F7" s="1621"/>
      <c r="G7" s="1621"/>
      <c r="H7" s="1621"/>
      <c r="I7" s="1275"/>
    </row>
    <row r="8" spans="1:12" ht="12.75">
      <c r="A8" s="3359" t="s">
        <v>1268</v>
      </c>
      <c r="B8" s="3346">
        <v>15</v>
      </c>
      <c r="C8" s="3362"/>
      <c r="D8" s="3382"/>
      <c r="E8" s="123" t="s">
        <v>1269</v>
      </c>
      <c r="F8" s="1621"/>
      <c r="G8" s="1621"/>
      <c r="H8" s="1621"/>
      <c r="I8" s="1275"/>
    </row>
    <row r="9" spans="1:12" ht="12.75">
      <c r="A9" s="3359"/>
      <c r="B9" s="3346"/>
      <c r="C9" s="3364"/>
      <c r="D9" s="3382"/>
      <c r="E9" s="123" t="s">
        <v>1270</v>
      </c>
      <c r="F9" s="1621"/>
      <c r="G9" s="1621"/>
      <c r="H9" s="1621"/>
      <c r="I9" s="1275"/>
    </row>
    <row r="10" spans="1:12" ht="12.75">
      <c r="A10" s="3359" t="s">
        <v>1271</v>
      </c>
      <c r="B10" s="3346">
        <v>15</v>
      </c>
      <c r="C10" s="3362"/>
      <c r="D10" s="3382"/>
      <c r="E10" s="123" t="s">
        <v>1272</v>
      </c>
      <c r="F10" s="1621"/>
      <c r="G10" s="1621"/>
      <c r="H10" s="1621"/>
      <c r="I10" s="1275"/>
    </row>
    <row r="11" spans="1:12" ht="12.75">
      <c r="A11" s="3359"/>
      <c r="B11" s="3346"/>
      <c r="C11" s="3364"/>
      <c r="D11" s="3382"/>
      <c r="E11" s="123" t="s">
        <v>1273</v>
      </c>
      <c r="F11" s="1621"/>
      <c r="G11" s="1621"/>
      <c r="H11" s="1621"/>
      <c r="I11" s="1275"/>
    </row>
    <row r="12" spans="1:12" ht="12.75">
      <c r="A12" s="3359" t="s">
        <v>1274</v>
      </c>
      <c r="B12" s="3346">
        <v>15</v>
      </c>
      <c r="C12" s="3362"/>
      <c r="D12" s="3382"/>
      <c r="E12" s="123" t="s">
        <v>1275</v>
      </c>
      <c r="F12" s="1621"/>
      <c r="G12" s="1621"/>
      <c r="H12" s="1621"/>
      <c r="I12" s="1275"/>
    </row>
    <row r="13" spans="1:12" ht="12.75">
      <c r="A13" s="3359"/>
      <c r="B13" s="3346"/>
      <c r="C13" s="3364"/>
      <c r="D13" s="3382"/>
      <c r="E13" s="123" t="s">
        <v>1276</v>
      </c>
      <c r="F13" s="1621"/>
      <c r="G13" s="1621"/>
      <c r="H13" s="1621"/>
      <c r="I13" s="1275"/>
    </row>
    <row r="14" spans="1:12" ht="12.75">
      <c r="A14" s="3359" t="s">
        <v>1277</v>
      </c>
      <c r="B14" s="3346">
        <v>30</v>
      </c>
      <c r="C14" s="3362">
        <v>3</v>
      </c>
      <c r="D14" s="3382">
        <v>7</v>
      </c>
      <c r="E14" s="123" t="s">
        <v>1278</v>
      </c>
      <c r="F14" s="1621"/>
      <c r="G14" s="1621"/>
      <c r="H14" s="1621"/>
      <c r="I14" s="1275"/>
    </row>
    <row r="15" spans="1:12" ht="12.75">
      <c r="A15" s="3359"/>
      <c r="B15" s="3346"/>
      <c r="C15" s="3363"/>
      <c r="D15" s="3382"/>
      <c r="E15" s="123" t="s">
        <v>1279</v>
      </c>
      <c r="F15" s="1621"/>
      <c r="G15" s="1621"/>
      <c r="H15" s="1621"/>
      <c r="I15" s="1275"/>
    </row>
    <row r="16" spans="1:12" ht="12.75">
      <c r="A16" s="3359"/>
      <c r="B16" s="3346"/>
      <c r="C16" s="3364"/>
      <c r="D16" s="3382"/>
      <c r="E16" s="123" t="s">
        <v>1280</v>
      </c>
      <c r="F16" s="1621"/>
      <c r="G16" s="1621"/>
      <c r="H16" s="1621"/>
      <c r="I16" s="1275"/>
    </row>
    <row r="17" spans="1:36" ht="15">
      <c r="A17" s="1622" t="s">
        <v>1281</v>
      </c>
      <c r="B17" s="54"/>
      <c r="C17" s="124">
        <f>SUM(C5:C16)</f>
        <v>3</v>
      </c>
      <c r="D17" s="124">
        <f>SUM(D5:D16)</f>
        <v>7</v>
      </c>
      <c r="E17" s="121"/>
      <c r="F17" s="121"/>
      <c r="G17" s="121"/>
      <c r="H17" s="121"/>
      <c r="I17" s="121"/>
      <c r="K17" s="294"/>
      <c r="L17" s="294" t="s">
        <v>1282</v>
      </c>
      <c r="M17" s="294" t="s">
        <v>1283</v>
      </c>
    </row>
    <row r="18" spans="1:36" ht="31.9" customHeight="1" thickBot="1">
      <c r="A18" s="1623" t="s">
        <v>1284</v>
      </c>
      <c r="B18" s="1536"/>
      <c r="C18" s="125">
        <f>ROUND(C17/SUM(C17:D17),2)</f>
        <v>0.3</v>
      </c>
      <c r="D18" s="125">
        <f>1-C18</f>
        <v>0.7</v>
      </c>
      <c r="E18" s="3369" t="s">
        <v>2124</v>
      </c>
      <c r="F18" s="3370"/>
      <c r="G18" s="3370"/>
      <c r="H18" s="3370"/>
      <c r="I18" s="3370"/>
      <c r="K18" s="294" t="s">
        <v>1285</v>
      </c>
      <c r="L18" s="294">
        <f>IF(C1="",'数据-汇总表'!E3,SUMIF(项目类型,C1,'数据-汇总表'!E17:E26)+SUMIF(项目类型,C1,'数据-汇总表'!I17:I26))</f>
        <v>344.81</v>
      </c>
      <c r="M18" s="294">
        <f>IF(C1="",'数据-汇总表'!E3,SUMIF(项目类型,C1,'数据-汇总表'!E17:E26))</f>
        <v>344.81</v>
      </c>
    </row>
    <row r="19" spans="1:36" ht="15">
      <c r="A19" s="1624" t="s">
        <v>1286</v>
      </c>
      <c r="B19" s="1625" t="s">
        <v>1287</v>
      </c>
      <c r="C19" s="126">
        <f ca="1">SUMIF(INDIRECT("'"&amp;C4&amp;"'"&amp;"!A:A"),'结果表-39-14'!B19,INDIRECT("'"&amp;C4&amp;"'"&amp;"!B:B"))</f>
        <v>1106</v>
      </c>
      <c r="D19" s="127">
        <f ca="1">SUMIF(INDIRECT("'"&amp;D4&amp;"'"&amp;"!A:A"),'结果表-39-14'!B19,INDIRECT("'"&amp;D4&amp;"'"&amp;"!B:B"))</f>
        <v>1106</v>
      </c>
      <c r="E19" s="1624" t="s">
        <v>1288</v>
      </c>
      <c r="F19" s="1625" t="s">
        <v>1287</v>
      </c>
      <c r="G19" s="128">
        <f ca="1">ROUND(C19*$C$18+D19*$D$18,0)</f>
        <v>1106</v>
      </c>
      <c r="H19" s="1626"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27"/>
      <c r="B20" s="43" t="s">
        <v>1291</v>
      </c>
      <c r="C20" s="129">
        <f ca="1">SUMIF(INDIRECT("'"&amp;C4&amp;"'"&amp;"!A:A"),'结果表-39-14'!B20,INDIRECT("'"&amp;C4&amp;"'"&amp;"!B:B"))</f>
        <v>32078</v>
      </c>
      <c r="D20" s="130">
        <f ca="1">SUMIF(INDIRECT("'"&amp;D4&amp;"'"&amp;"!A:A"),'结果表-39-14'!B20,INDIRECT("'"&amp;D4&amp;"'"&amp;"!B:B"))</f>
        <v>32078</v>
      </c>
      <c r="E20" s="1627"/>
      <c r="F20" s="43" t="s">
        <v>1291</v>
      </c>
      <c r="G20" s="131">
        <f ca="1">ROUND(C20*$C$18+D20*$D$18,0)</f>
        <v>32078</v>
      </c>
      <c r="H20" s="754"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28" t="s">
        <v>1292</v>
      </c>
      <c r="I21" s="121"/>
    </row>
    <row r="22" spans="1:36" ht="15" thickBot="1">
      <c r="A22" s="1558" t="s">
        <v>1294</v>
      </c>
      <c r="B22" s="1629"/>
      <c r="C22" s="1630"/>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353" t="s">
        <v>1295</v>
      </c>
      <c r="B24" s="1625" t="s">
        <v>1287</v>
      </c>
      <c r="C24" s="128">
        <f>IF(B30=0,0,D30)</f>
        <v>0</v>
      </c>
      <c r="D24" s="1631"/>
      <c r="E24" s="121"/>
      <c r="F24" s="121"/>
      <c r="G24" s="121"/>
      <c r="H24" s="121"/>
      <c r="I24" s="121"/>
    </row>
    <row r="25" spans="1:36" ht="14.25">
      <c r="A25" s="3354"/>
      <c r="B25" s="43" t="s">
        <v>1291</v>
      </c>
      <c r="C25" s="133">
        <f>IF(B30=0,0,C30)</f>
        <v>0</v>
      </c>
      <c r="D25" s="1632"/>
      <c r="E25" s="121"/>
      <c r="F25" s="121"/>
      <c r="G25" s="121"/>
      <c r="H25" s="121"/>
      <c r="I25" s="121"/>
    </row>
    <row r="26" spans="1:36" ht="13.5" customHeight="1">
      <c r="A26" s="1633" t="s">
        <v>1296</v>
      </c>
      <c r="B26" s="134" t="s">
        <v>1297</v>
      </c>
      <c r="C26" s="134" t="s">
        <v>1298</v>
      </c>
      <c r="D26" s="135" t="s">
        <v>1299</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1300</v>
      </c>
      <c r="B30" s="134"/>
      <c r="C30" s="134"/>
      <c r="D30" s="134"/>
      <c r="E30" s="2121" t="s">
        <v>2125</v>
      </c>
      <c r="F30" s="121"/>
      <c r="G30" s="121"/>
      <c r="H30" s="121"/>
      <c r="I30" s="121"/>
    </row>
    <row r="31" spans="1:36" s="2127" customFormat="1" ht="26.45" customHeight="1" thickTop="1" thickBot="1">
      <c r="A31" s="2122"/>
      <c r="B31" s="2123"/>
      <c r="C31" s="2123"/>
      <c r="D31" s="2123"/>
      <c r="E31" s="2123"/>
      <c r="F31" s="2123"/>
      <c r="G31" s="2123"/>
      <c r="H31" s="2123"/>
      <c r="I31" s="2124" t="s">
        <v>2126</v>
      </c>
      <c r="J31" s="2458"/>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4" t="s">
        <v>1301</v>
      </c>
      <c r="B32" s="1529"/>
      <c r="C32" s="136">
        <f ca="1">IF(D32="总价",G19-C24,G20-C25)</f>
        <v>1106</v>
      </c>
      <c r="D32" s="1635" t="s">
        <v>3556</v>
      </c>
      <c r="E32" s="121"/>
      <c r="F32" s="121"/>
      <c r="G32" s="121"/>
      <c r="H32" s="121"/>
      <c r="I32" s="121"/>
    </row>
    <row r="33" spans="1:15" ht="15">
      <c r="A33" s="734" t="s">
        <v>1302</v>
      </c>
      <c r="B33" s="123"/>
      <c r="C33" s="1636" t="s">
        <v>3557</v>
      </c>
      <c r="D33" s="1637" t="s">
        <v>3547</v>
      </c>
      <c r="E33" s="1638" t="s">
        <v>1303</v>
      </c>
      <c r="F33" s="1639" t="str">
        <f>IF(D32="楼面单价","取值（单价）","取值（总价）")</f>
        <v>取值（总价）</v>
      </c>
      <c r="G33" s="121"/>
      <c r="H33" s="121"/>
      <c r="I33" s="121"/>
    </row>
    <row r="34" spans="1:15" ht="15">
      <c r="A34" s="1640"/>
      <c r="B34" s="1641" t="s">
        <v>1304</v>
      </c>
      <c r="C34" s="140">
        <f ca="1">IF(C33="自定义",F34,C32-C35)</f>
        <v>954</v>
      </c>
      <c r="D34" s="802">
        <f ca="1">IF(C33="自定义",ROUND(C34/C32,3),IF(C33="收益比率",SUMIF(INDIRECT("'"&amp;D33&amp;"'"&amp;"!b:b"),"土地收益比率",INDIRECT("'"&amp;D33&amp;"'"&amp;"!c:c")),SUMIF(INDIRECT("'"&amp;D33&amp;"'"&amp;"!b:b"),"土地成本比率",INDIRECT("'"&amp;D33&amp;"'"&amp;"!c:c"))))</f>
        <v>0.86299999999999999</v>
      </c>
      <c r="E34" s="1642" t="s">
        <v>1305</v>
      </c>
      <c r="F34" s="1237"/>
      <c r="G34" s="121"/>
      <c r="H34" s="121"/>
      <c r="I34" s="121"/>
    </row>
    <row r="35" spans="1:15" ht="15.75" thickBot="1">
      <c r="A35" s="1643"/>
      <c r="B35" s="1644" t="s">
        <v>1306</v>
      </c>
      <c r="C35" s="1084">
        <f ca="1">IF(C33="自定义",F35,ROUND(C32*D35,0))</f>
        <v>152</v>
      </c>
      <c r="D35" s="1085">
        <f ca="1">IF(C33="自定义",ROUND(C35/C32,3),IF(C33="收益比率",SUMIF(INDIRECT("'"&amp;D33&amp;"'"&amp;"!b:b"),"建筑物收益比率",INDIRECT("'"&amp;D33&amp;"'"&amp;"!c:c")),SUMIF(INDIRECT("'"&amp;D33&amp;"'"&amp;"!b:b"),"建筑物成本比率",INDIRECT("'"&amp;D33&amp;"'"&amp;"!c:c"))))</f>
        <v>0.13700000000000001</v>
      </c>
      <c r="E35" s="1645" t="s">
        <v>1307</v>
      </c>
      <c r="F35" s="146"/>
      <c r="G35" s="121"/>
      <c r="H35" s="121"/>
      <c r="I35" s="121"/>
    </row>
    <row r="36" spans="1:15" ht="15.75" thickBot="1">
      <c r="A36" s="3373" t="s">
        <v>1308</v>
      </c>
      <c r="B36" s="1646" t="s">
        <v>1309</v>
      </c>
      <c r="C36" s="137"/>
      <c r="D36" s="1647"/>
      <c r="E36" s="1561"/>
      <c r="F36" s="1648"/>
      <c r="G36" s="121"/>
      <c r="H36" s="121"/>
      <c r="I36" s="121"/>
    </row>
    <row r="37" spans="1:15" ht="15.75" thickBot="1">
      <c r="A37" s="3374"/>
      <c r="B37" s="1549" t="s">
        <v>1310</v>
      </c>
      <c r="C37" s="139"/>
      <c r="D37" s="1065"/>
      <c r="E37" s="1065"/>
      <c r="F37" s="1648"/>
      <c r="G37" s="121"/>
      <c r="H37" s="121"/>
      <c r="I37" s="121"/>
    </row>
    <row r="38" spans="1:15" ht="15.75" thickBot="1">
      <c r="A38" s="3375"/>
      <c r="B38" s="1649" t="s">
        <v>1311</v>
      </c>
      <c r="C38" s="641"/>
      <c r="D38" s="1650" t="s">
        <v>1312</v>
      </c>
      <c r="E38" s="1065"/>
      <c r="F38" s="1648"/>
      <c r="G38" s="121"/>
      <c r="H38" s="121"/>
      <c r="I38" s="121"/>
    </row>
    <row r="39" spans="1:15" ht="15">
      <c r="A39" s="1627" t="s">
        <v>1313</v>
      </c>
      <c r="B39" s="1651" t="s">
        <v>1297</v>
      </c>
      <c r="C39" s="1652" t="s">
        <v>1298</v>
      </c>
      <c r="D39" s="1652" t="s">
        <v>1316</v>
      </c>
      <c r="E39" s="1653" t="s">
        <v>1299</v>
      </c>
      <c r="F39" s="1648"/>
      <c r="G39" s="121"/>
      <c r="H39" s="121"/>
      <c r="I39" s="121"/>
    </row>
    <row r="40" spans="1:15" ht="14.25">
      <c r="A40" s="1654" t="s">
        <v>1318</v>
      </c>
      <c r="B40" s="141"/>
      <c r="C40" s="142"/>
      <c r="D40" s="142"/>
      <c r="E40" s="143"/>
      <c r="F40" s="1648"/>
      <c r="G40" s="121"/>
      <c r="H40" s="121"/>
      <c r="I40" s="121"/>
    </row>
    <row r="41" spans="1:15" ht="14.25">
      <c r="A41" s="1654" t="s">
        <v>1319</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1320</v>
      </c>
      <c r="B44" s="1658"/>
      <c r="C44" s="1658"/>
      <c r="D44" s="1659"/>
      <c r="E44" s="1659"/>
      <c r="F44" s="1660"/>
      <c r="G44" s="1660"/>
      <c r="H44" s="1660"/>
      <c r="I44" s="1660"/>
      <c r="J44" s="1661" t="s">
        <v>1321</v>
      </c>
      <c r="K44" s="4"/>
      <c r="L44" s="4"/>
      <c r="M44" s="4"/>
      <c r="N44" s="4"/>
      <c r="O44" s="4"/>
    </row>
    <row r="45" spans="1:15" ht="14.25" customHeight="1" thickBot="1">
      <c r="A45" s="3350" t="s">
        <v>1322</v>
      </c>
      <c r="B45" s="3351"/>
      <c r="C45" s="3352"/>
      <c r="D45" s="147">
        <f ca="1">ROUND(H101*F45,0)</f>
        <v>1106</v>
      </c>
      <c r="E45" s="148" t="s">
        <v>1323</v>
      </c>
      <c r="F45" s="149">
        <v>1</v>
      </c>
      <c r="G45" s="150" t="s">
        <v>1324</v>
      </c>
      <c r="H45" s="121"/>
      <c r="I45" s="121"/>
      <c r="J45" s="3428" t="s">
        <v>1325</v>
      </c>
      <c r="K45" s="3428"/>
      <c r="L45" s="3428"/>
      <c r="M45" s="3428"/>
      <c r="N45" s="3428"/>
      <c r="O45" s="3428"/>
    </row>
    <row r="46" spans="1:15" ht="14.25" customHeight="1">
      <c r="A46" s="3347" t="s">
        <v>1326</v>
      </c>
      <c r="B46" s="3348"/>
      <c r="C46" s="3348"/>
      <c r="D46" s="3348"/>
      <c r="E46" s="3348"/>
      <c r="F46" s="3348"/>
      <c r="G46" s="3349"/>
      <c r="H46" s="1662"/>
      <c r="I46" s="151"/>
      <c r="J46" s="2304">
        <v>1</v>
      </c>
      <c r="K46" s="3409" t="s">
        <v>1327</v>
      </c>
      <c r="L46" s="3409"/>
      <c r="M46" s="3429"/>
      <c r="N46" s="3429"/>
      <c r="O46" s="3429"/>
    </row>
    <row r="47" spans="1:15" ht="12" customHeight="1">
      <c r="A47" s="152" t="s">
        <v>1328</v>
      </c>
      <c r="B47" s="153"/>
      <c r="C47" s="154"/>
      <c r="D47" s="1018" t="s">
        <v>1329</v>
      </c>
      <c r="E47" s="294" t="s">
        <v>1330</v>
      </c>
      <c r="F47" s="155" t="s">
        <v>1331</v>
      </c>
      <c r="G47" s="2327" t="s">
        <v>1332</v>
      </c>
      <c r="H47" s="2328"/>
      <c r="I47" s="151"/>
      <c r="J47" s="2304">
        <v>2</v>
      </c>
      <c r="K47" s="3409" t="s">
        <v>1333</v>
      </c>
      <c r="L47" s="3409"/>
      <c r="M47" s="3430">
        <f>'数据-取费表'!B2</f>
        <v>45873</v>
      </c>
      <c r="N47" s="3430"/>
      <c r="O47" s="3430"/>
    </row>
    <row r="48" spans="1:15" ht="25.5">
      <c r="A48" s="3378" t="s">
        <v>1334</v>
      </c>
      <c r="B48" s="3361"/>
      <c r="C48" s="3361"/>
      <c r="D48" s="12">
        <f ca="1">IF(H48="情况1",0,IF(H48="情况2",D52,IF(H48="情况3",D53,IF(H48="情况4",D54))))</f>
        <v>0</v>
      </c>
      <c r="E48" s="1250" t="str">
        <f>IF(H48="情况4","(销售额-原购置价)×税（费）率","销售额×税（费）率")</f>
        <v>(销售额-原购置价)×税（费）率</v>
      </c>
      <c r="F48" s="2329">
        <f>IF(H48="情况1","免征",'数据-取费表'!B41)</f>
        <v>5.6000000000000001E-2</v>
      </c>
      <c r="G48" s="2330" t="s">
        <v>1335</v>
      </c>
      <c r="H48" s="2331" t="s">
        <v>3575</v>
      </c>
      <c r="I48" s="1662"/>
      <c r="J48" s="2304">
        <v>3</v>
      </c>
      <c r="K48" s="3409" t="s">
        <v>1336</v>
      </c>
      <c r="L48" s="3409"/>
      <c r="M48" s="3431">
        <f ca="1">H101</f>
        <v>1106</v>
      </c>
      <c r="N48" s="3431"/>
      <c r="O48" s="3431"/>
    </row>
    <row r="49" spans="1:35" ht="25.5" customHeight="1">
      <c r="A49" s="2146" t="s">
        <v>1337</v>
      </c>
      <c r="B49" s="3345" t="s">
        <v>1338</v>
      </c>
      <c r="C49" s="3345"/>
      <c r="D49" s="1472">
        <v>0</v>
      </c>
      <c r="E49" s="316" t="s">
        <v>1339</v>
      </c>
      <c r="F49" s="2227" t="s">
        <v>28</v>
      </c>
      <c r="G49" s="3415"/>
      <c r="H49" s="2128" t="s">
        <v>2127</v>
      </c>
      <c r="I49" s="2129"/>
      <c r="J49" s="2304">
        <v>4</v>
      </c>
      <c r="K49" s="3409" t="str">
        <f>IF(项目基本情况!E8="房地产抵押价值","房地产抵押价值","抵押担保权已注销时的房地产抵押价值")</f>
        <v>房地产抵押价值</v>
      </c>
      <c r="L49" s="3409"/>
      <c r="M49" s="3431">
        <f ca="1">IF(项目基本情况!E8="房地产抵押价值",H107,H109)</f>
        <v>1106</v>
      </c>
      <c r="N49" s="3431"/>
      <c r="O49" s="3431"/>
    </row>
    <row r="50" spans="1:35" ht="25.5" customHeight="1">
      <c r="A50" s="2332"/>
      <c r="B50" s="3345" t="s">
        <v>1340</v>
      </c>
      <c r="C50" s="3345"/>
      <c r="D50" s="2183"/>
      <c r="E50" s="323"/>
      <c r="F50" s="2227"/>
      <c r="G50" s="3416"/>
      <c r="H50" s="2130" t="s">
        <v>2128</v>
      </c>
      <c r="I50" s="2129"/>
      <c r="J50" s="3428" t="s">
        <v>1341</v>
      </c>
      <c r="K50" s="3428"/>
      <c r="L50" s="3428"/>
      <c r="M50" s="3428"/>
      <c r="N50" s="3428"/>
      <c r="O50" s="3428"/>
    </row>
    <row r="51" spans="1:35" ht="20.45" customHeight="1">
      <c r="A51" s="2333"/>
      <c r="B51" s="3345" t="s">
        <v>1342</v>
      </c>
      <c r="C51" s="3345"/>
      <c r="D51" s="1018"/>
      <c r="E51" s="319"/>
      <c r="F51" s="2227"/>
      <c r="G51" s="3417"/>
      <c r="H51" s="2130" t="s">
        <v>2129</v>
      </c>
      <c r="I51" s="2129"/>
      <c r="J51" s="2305" t="s">
        <v>1343</v>
      </c>
      <c r="K51" s="3409" t="s">
        <v>1344</v>
      </c>
      <c r="L51" s="3409"/>
      <c r="M51" s="2305" t="s">
        <v>1345</v>
      </c>
      <c r="N51" s="2305" t="s">
        <v>1346</v>
      </c>
      <c r="O51" s="2305" t="s">
        <v>1347</v>
      </c>
    </row>
    <row r="52" spans="1:35" ht="24" customHeight="1">
      <c r="A52" s="2147" t="s">
        <v>1348</v>
      </c>
      <c r="B52" s="3345" t="s">
        <v>1349</v>
      </c>
      <c r="C52" s="3345"/>
      <c r="D52" s="1018">
        <f ca="1">ROUND(D45*'数据-取费表'!B41/(1+'数据-取费表'!C42),0)</f>
        <v>59</v>
      </c>
      <c r="E52" s="1250" t="s">
        <v>1350</v>
      </c>
      <c r="F52" s="2334">
        <f>'数据-取费表'!B41</f>
        <v>5.6000000000000001E-2</v>
      </c>
      <c r="G52" s="2335"/>
      <c r="H52" s="2325"/>
      <c r="I52" s="1663"/>
      <c r="J52" s="2304">
        <v>1</v>
      </c>
      <c r="K52" s="3410" t="s">
        <v>1351</v>
      </c>
      <c r="L52" s="3410"/>
      <c r="M52" s="2306">
        <f ca="1">D48</f>
        <v>0</v>
      </c>
      <c r="N52" s="2304" t="str">
        <f>E48</f>
        <v>(销售额-原购置价)×税（费）率</v>
      </c>
      <c r="O52" s="2307">
        <f>F48</f>
        <v>5.6000000000000001E-2</v>
      </c>
    </row>
    <row r="53" spans="1:35" ht="12" customHeight="1">
      <c r="A53" s="2147" t="s">
        <v>1352</v>
      </c>
      <c r="B53" s="3371" t="s">
        <v>2275</v>
      </c>
      <c r="C53" s="3372"/>
      <c r="D53" s="1018">
        <f ca="1">ROUND(D45*'数据-取费表'!B41/(1+'数据-取费表'!C42),0)</f>
        <v>59</v>
      </c>
      <c r="E53" s="1250" t="s">
        <v>1350</v>
      </c>
      <c r="F53" s="2334">
        <f>'数据-取费表'!B41</f>
        <v>5.6000000000000001E-2</v>
      </c>
      <c r="G53" s="2335"/>
      <c r="H53" s="2325"/>
      <c r="I53" s="1663"/>
      <c r="J53" s="2304">
        <v>2</v>
      </c>
      <c r="K53" s="3410" t="s">
        <v>1353</v>
      </c>
      <c r="L53" s="3410"/>
      <c r="M53" s="2306">
        <f t="shared" ref="M53:O54" ca="1" si="0">D55</f>
        <v>1</v>
      </c>
      <c r="N53" s="2304" t="str">
        <f t="shared" si="0"/>
        <v>销售额×税（费）率</v>
      </c>
      <c r="O53" s="2307">
        <f t="shared" si="0"/>
        <v>5.0000000000000001E-4</v>
      </c>
    </row>
    <row r="54" spans="1:35" ht="12" customHeight="1">
      <c r="A54" s="2147" t="s">
        <v>1354</v>
      </c>
      <c r="B54" s="3371" t="s">
        <v>2276</v>
      </c>
      <c r="C54" s="3372"/>
      <c r="D54" s="1018">
        <f ca="1">C68</f>
        <v>0</v>
      </c>
      <c r="E54" s="319" t="s">
        <v>1355</v>
      </c>
      <c r="F54" s="2334">
        <f>'数据-取费表'!B41</f>
        <v>5.6000000000000001E-2</v>
      </c>
      <c r="G54" s="2335"/>
      <c r="H54" s="2336"/>
      <c r="I54" s="1663"/>
      <c r="J54" s="2304">
        <v>3</v>
      </c>
      <c r="K54" s="3410" t="s">
        <v>1356</v>
      </c>
      <c r="L54" s="3410"/>
      <c r="M54" s="2306">
        <f t="shared" ca="1" si="0"/>
        <v>0</v>
      </c>
      <c r="N54" s="2304" t="str">
        <f t="shared" si="0"/>
        <v>增值额×税（费）率</v>
      </c>
      <c r="O54" s="2308" t="str">
        <f t="shared" si="0"/>
        <v>——</v>
      </c>
    </row>
    <row r="55" spans="1:35" ht="24" customHeight="1">
      <c r="A55" s="3360" t="s">
        <v>1357</v>
      </c>
      <c r="B55" s="3361"/>
      <c r="C55" s="3361"/>
      <c r="D55" s="12">
        <f ca="1">IF(H55="个人住宅",0,ROUND(D45*I55,0))</f>
        <v>1</v>
      </c>
      <c r="E55" s="1250" t="s">
        <v>1358</v>
      </c>
      <c r="F55" s="2334">
        <f>IF(H55="正常",I55,"免征")</f>
        <v>5.0000000000000001E-4</v>
      </c>
      <c r="G55" s="2335"/>
      <c r="H55" s="2331" t="s">
        <v>3576</v>
      </c>
      <c r="I55" s="157">
        <f>'数据-取费表'!B49</f>
        <v>5.0000000000000001E-4</v>
      </c>
      <c r="J55" s="2304" t="str">
        <f>IF(H59="非个人房产","",4)</f>
        <v/>
      </c>
      <c r="K55" s="3410" t="str">
        <f>IF(H59="非个人房产","——","个人所得税")</f>
        <v>——</v>
      </c>
      <c r="L55" s="3410"/>
      <c r="M55" s="2309" t="str">
        <f>D59</f>
        <v>——</v>
      </c>
      <c r="N55" s="1877" t="str">
        <f>E59</f>
        <v>——</v>
      </c>
      <c r="O55" s="2310" t="str">
        <f>F59</f>
        <v>——</v>
      </c>
    </row>
    <row r="56" spans="1:35" ht="24.75">
      <c r="A56" s="3360" t="s">
        <v>1359</v>
      </c>
      <c r="B56" s="3361"/>
      <c r="C56" s="3361"/>
      <c r="D56" s="12">
        <f ca="1">IF(H56="个人住宅",D57,D58)</f>
        <v>0</v>
      </c>
      <c r="E56" s="1250" t="s">
        <v>1360</v>
      </c>
      <c r="F56" s="2334" t="str">
        <f>IF(H56="正常",F58,"免征")</f>
        <v>——</v>
      </c>
      <c r="G56" s="2337" t="s">
        <v>1361</v>
      </c>
      <c r="H56" s="2338" t="s">
        <v>3576</v>
      </c>
      <c r="I56" s="1664"/>
      <c r="J56" s="2304" t="str">
        <f>IF(项目基本情况!K6="上海银行",IF(J55="",4,J55+1),"")</f>
        <v/>
      </c>
      <c r="K56" s="3433" t="str">
        <f>IF(项目基本情况!K6="上海银行","其他处置费用","")</f>
        <v/>
      </c>
      <c r="L56" s="3434"/>
      <c r="M56" s="2306" t="str">
        <f>IF(项目基本情况!K6="上海银行",M69,"")</f>
        <v/>
      </c>
      <c r="N56" s="3433" t="str">
        <f>IF(项目基本情况!K6="上海银行","包含处置中涉及的律师、诉讼、拍卖、评估等费用","")</f>
        <v/>
      </c>
      <c r="O56" s="3436"/>
    </row>
    <row r="57" spans="1:35" ht="12.75">
      <c r="A57" s="2147" t="s">
        <v>1337</v>
      </c>
      <c r="B57" s="3371" t="s">
        <v>1362</v>
      </c>
      <c r="C57" s="3372"/>
      <c r="D57" s="1472">
        <v>0</v>
      </c>
      <c r="E57" s="316" t="s">
        <v>1339</v>
      </c>
      <c r="F57" s="294"/>
      <c r="G57" s="2335"/>
      <c r="H57" s="2339"/>
      <c r="I57" s="1664"/>
      <c r="J57" s="3410">
        <f>IF(AND(J55="",J56=""),4,IF(项目基本情况!K6="上海银行",'结果表-39-14'!J56+1,'结果表-39-14'!J55+1))</f>
        <v>4</v>
      </c>
      <c r="K57" s="3410" t="s">
        <v>1363</v>
      </c>
      <c r="L57" s="2311" t="s">
        <v>1364</v>
      </c>
      <c r="M57" s="2312"/>
      <c r="N57" s="2313">
        <f ca="1">SUMIF(M52:M56,"&lt;9e307")</f>
        <v>1</v>
      </c>
      <c r="O57" s="2314"/>
      <c r="P57" s="2459">
        <f ca="1">N57/M49</f>
        <v>9.0415913200723324E-4</v>
      </c>
    </row>
    <row r="58" spans="1:35" ht="24.75">
      <c r="A58" s="2147" t="s">
        <v>1348</v>
      </c>
      <c r="B58" s="3371" t="s">
        <v>1365</v>
      </c>
      <c r="C58" s="3345"/>
      <c r="D58" s="12">
        <f ca="1">IF(H58="转让取得",C81,C97)</f>
        <v>0</v>
      </c>
      <c r="E58" s="1250" t="s">
        <v>1360</v>
      </c>
      <c r="F58" s="294" t="s">
        <v>28</v>
      </c>
      <c r="G58" s="2335"/>
      <c r="H58" s="2338" t="s">
        <v>3577</v>
      </c>
      <c r="I58" s="1664"/>
      <c r="J58" s="3410"/>
      <c r="K58" s="3410"/>
      <c r="L58" s="2311" t="s">
        <v>1366</v>
      </c>
      <c r="M58" s="2315"/>
      <c r="N58" s="2316" t="str">
        <f ca="1">NUMBERSTRING(INT(N57*10000),2)&amp;"元整"</f>
        <v>壹万元整</v>
      </c>
      <c r="O58" s="2317"/>
    </row>
    <row r="59" spans="1:35" ht="24.75" thickBot="1">
      <c r="A59" s="3413" t="s">
        <v>1367</v>
      </c>
      <c r="B59" s="3414"/>
      <c r="C59" s="3414"/>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1361</v>
      </c>
      <c r="H59" s="2132" t="s">
        <v>3578</v>
      </c>
      <c r="I59" s="2131" t="s">
        <v>2130</v>
      </c>
      <c r="J59" s="3411">
        <f>J57+1</f>
        <v>5</v>
      </c>
      <c r="K59" s="3410" t="s">
        <v>1368</v>
      </c>
      <c r="L59" s="2304" t="s">
        <v>1364</v>
      </c>
      <c r="M59" s="2318"/>
      <c r="N59" s="2319">
        <f ca="1">M49-N57</f>
        <v>1105</v>
      </c>
      <c r="O59" s="2320"/>
    </row>
    <row r="60" spans="1:35" ht="12" customHeight="1">
      <c r="A60" s="1665"/>
      <c r="B60" s="646"/>
      <c r="C60" s="646"/>
      <c r="D60" s="646"/>
      <c r="E60" s="1460"/>
      <c r="F60" s="1664"/>
      <c r="G60" s="1664"/>
      <c r="H60" s="151"/>
      <c r="I60" s="121"/>
      <c r="J60" s="3412"/>
      <c r="K60" s="3410"/>
      <c r="L60" s="2311" t="s">
        <v>1366</v>
      </c>
      <c r="M60" s="2315"/>
      <c r="N60" s="2316" t="str">
        <f ca="1">NUMBERSTRING(INT(N59*10000),2)&amp;"元整"</f>
        <v>壹仟壹佰零伍万元整</v>
      </c>
      <c r="O60" s="2317"/>
    </row>
    <row r="61" spans="1:35" ht="13.5" thickBot="1">
      <c r="A61" s="3358" t="s">
        <v>1369</v>
      </c>
      <c r="B61" s="3358"/>
      <c r="C61" s="3358"/>
      <c r="D61" s="3358"/>
      <c r="E61" s="3358"/>
      <c r="F61" s="1664"/>
      <c r="G61" s="1664"/>
      <c r="H61" s="151"/>
      <c r="I61" s="121"/>
      <c r="J61" s="2304">
        <f>J59+1</f>
        <v>6</v>
      </c>
      <c r="K61" s="3410" t="s">
        <v>1370</v>
      </c>
      <c r="L61" s="3410"/>
      <c r="M61" s="2321"/>
      <c r="N61" s="2322">
        <f ca="1">ROUND(N59*10000/'数据-汇总表'!E3,0)</f>
        <v>2644</v>
      </c>
      <c r="O61" s="2323"/>
    </row>
    <row r="62" spans="1:35" ht="12.75">
      <c r="A62" s="3376" t="s">
        <v>1371</v>
      </c>
      <c r="B62" s="3377"/>
      <c r="C62" s="1859"/>
      <c r="D62" s="1859" t="s">
        <v>1372</v>
      </c>
      <c r="E62" s="158" t="s">
        <v>1373</v>
      </c>
      <c r="F62" s="1664"/>
      <c r="G62" s="1664"/>
      <c r="H62" s="151"/>
      <c r="I62" s="121"/>
    </row>
    <row r="63" spans="1:35" ht="12.75">
      <c r="A63" s="165" t="s">
        <v>330</v>
      </c>
      <c r="B63" s="159" t="s">
        <v>1374</v>
      </c>
      <c r="C63" s="2344">
        <f ca="1">ROUND((C64+C65)/(1+'数据-取费表'!C42),0)</f>
        <v>1053</v>
      </c>
      <c r="D63" s="159"/>
      <c r="E63" s="160"/>
      <c r="F63" s="1664"/>
      <c r="G63" s="1664"/>
      <c r="H63" s="151"/>
      <c r="I63" s="121"/>
      <c r="J63" s="3435" t="s">
        <v>1375</v>
      </c>
      <c r="K63" s="1239" t="s">
        <v>1376</v>
      </c>
      <c r="L63" s="1239">
        <f ca="1">IF(M49&gt;10000,M49*0.5%,IF(AND(M49&gt;1000,M49&lt;=10000),M49*1%,IF(AND(M49&gt;100,M49&lt;=1000),M49*3%,IF(AND(M49&gt;10,M49&lt;=100),M49*5%,M49*8%))))</f>
        <v>11.06</v>
      </c>
      <c r="M63" s="294">
        <f ca="1">ROUND(L63,1)</f>
        <v>11.1</v>
      </c>
      <c r="N63" s="2324"/>
      <c r="Z63" s="1617"/>
      <c r="AI63" s="1555"/>
    </row>
    <row r="64" spans="1:35" ht="14.25" customHeight="1">
      <c r="A64" s="161" t="s">
        <v>325</v>
      </c>
      <c r="B64" s="162" t="s">
        <v>1377</v>
      </c>
      <c r="C64" s="2345">
        <f ca="1">D45</f>
        <v>1106</v>
      </c>
      <c r="D64" s="162" t="s">
        <v>26</v>
      </c>
      <c r="E64" s="164"/>
      <c r="F64" s="1664"/>
      <c r="G64" s="1664"/>
      <c r="H64" s="151"/>
      <c r="I64" s="121"/>
      <c r="J64" s="3435"/>
      <c r="K64" s="1239" t="s">
        <v>1378</v>
      </c>
      <c r="L64" s="1239">
        <f ca="1">IF(M49&gt;2000,M49*0.5%,IF(AND(M49&gt;1000,M49&lt;=2000),M49*0.6%,IF(AND(M49&gt;500,M49&lt;=1000),M49*0.7%,IF(AND(M49&gt;200,M49&lt;=500),M49*0.8%,IF(AND(M49&gt;100,M49&lt;=200),M49*0.9%,IF(AND(M49&gt;50,M49&lt;=100),M49*1%,IF(AND(M49&gt;20,M49&lt;=50),M49*1.5%,IF(AND(M49&gt;10,M49&lt;=20),M49*2%,IF(AND(M49&gt;1,M49&lt;=10),M49*2.5%)))))))))</f>
        <v>6.6360000000000001</v>
      </c>
      <c r="M64" s="294">
        <f t="shared" ref="M64:M65" ca="1" si="1">ROUND(L64,1)</f>
        <v>6.6</v>
      </c>
      <c r="N64" s="2325" t="s">
        <v>1379</v>
      </c>
      <c r="Z64" s="1617"/>
      <c r="AI64" s="1555"/>
    </row>
    <row r="65" spans="1:35" ht="14.25" customHeight="1">
      <c r="A65" s="161" t="s">
        <v>326</v>
      </c>
      <c r="B65" s="162" t="s">
        <v>1380</v>
      </c>
      <c r="C65" s="2346"/>
      <c r="D65" s="162"/>
      <c r="E65" s="164"/>
      <c r="F65" s="1664"/>
      <c r="G65" s="1664"/>
      <c r="H65" s="151"/>
      <c r="I65" s="121"/>
      <c r="J65" s="3435"/>
      <c r="K65" s="1239" t="s">
        <v>1381</v>
      </c>
      <c r="L65" s="1239">
        <f ca="1">IF(M49&gt;1000,M49*0.1%,IF(AND(M49&gt;500,M49&lt;=1000),M49*0.5%,IF(AND(M49&gt;50,M49&lt;=500),M49*1%,IF(AND(M49&gt;1,M49&lt;=50),M49*1.5%))))</f>
        <v>1.1060000000000001</v>
      </c>
      <c r="M65" s="294">
        <f t="shared" ca="1" si="1"/>
        <v>1.1000000000000001</v>
      </c>
      <c r="N65" s="2325" t="s">
        <v>1379</v>
      </c>
      <c r="Z65" s="1617"/>
      <c r="AI65" s="1555"/>
    </row>
    <row r="66" spans="1:35" ht="14.25" customHeight="1">
      <c r="A66" s="165" t="s">
        <v>327</v>
      </c>
      <c r="B66" s="166" t="s">
        <v>1382</v>
      </c>
      <c r="C66" s="2347">
        <f>ROUND(面积位置!W4/10000/1.05,0)</f>
        <v>1227</v>
      </c>
      <c r="D66" s="166" t="s">
        <v>26</v>
      </c>
      <c r="E66" s="1245" t="s">
        <v>667</v>
      </c>
      <c r="F66" s="1664"/>
      <c r="G66" s="1664"/>
      <c r="H66" s="151"/>
      <c r="I66" s="121"/>
      <c r="J66" s="3435"/>
      <c r="K66" s="1239" t="s">
        <v>1383</v>
      </c>
      <c r="L66" s="1239">
        <f ca="1">M49*0.5%</f>
        <v>5.53</v>
      </c>
      <c r="M66" s="294">
        <f ca="1">IF(L66&gt;0.5,0.5,ROUND(L66,0))</f>
        <v>0.5</v>
      </c>
      <c r="N66" s="2325" t="s">
        <v>1384</v>
      </c>
      <c r="Z66" s="1617"/>
      <c r="AI66" s="1555"/>
    </row>
    <row r="67" spans="1:35" ht="14.25" customHeight="1">
      <c r="A67" s="165" t="s">
        <v>328</v>
      </c>
      <c r="B67" s="166" t="s">
        <v>1385</v>
      </c>
      <c r="C67" s="2348">
        <f ca="1">C63-C66</f>
        <v>-174</v>
      </c>
      <c r="D67" s="162" t="s">
        <v>26</v>
      </c>
      <c r="E67" s="164"/>
      <c r="F67" s="1664"/>
      <c r="G67" s="1664"/>
      <c r="H67" s="151"/>
      <c r="I67" s="121"/>
      <c r="J67" s="3435"/>
      <c r="K67" s="1239" t="s">
        <v>1386</v>
      </c>
      <c r="L67" s="1239">
        <f ca="1">IF(M49&gt;=10000,(8.25+(M49-10000)*0.01%),IF(AND(M49&gt;=8000,M49&lt;10000),(7.85+(M49-8000)*0.02%),IF(AND(M49&gt;=5000,M49&lt;8000),(6.65+(M49-5000)*0.04%),IF(AND(M49&gt;=2000,M49&lt;5000),(4.25+(PM49-2000)*0.08%),IF(AND(M49&gt;=1000,M49&lt;2000),(2.75+(M49-1000)*0.15%),IF(AND(M49&gt;=100,M49&lt;1000),(0.5+(M49-100)*0.25%),IF(AND(M49&gt;0,M49&lt;100),M49*0.5%)))))))</f>
        <v>2.9089999999999998</v>
      </c>
      <c r="M67" s="294">
        <f ca="1">ROUND(L67*0.9,1)</f>
        <v>2.6</v>
      </c>
      <c r="N67" s="2324"/>
      <c r="Z67" s="1617"/>
      <c r="AI67" s="1555"/>
    </row>
    <row r="68" spans="1:35" ht="14.25" customHeight="1" thickBot="1">
      <c r="A68" s="168" t="s">
        <v>329</v>
      </c>
      <c r="B68" s="169" t="s">
        <v>1387</v>
      </c>
      <c r="C68" s="2349">
        <f ca="1">IF(C67&lt;=0,0,ROUND(C67*D68,0))</f>
        <v>0</v>
      </c>
      <c r="D68" s="2350">
        <f>'数据-取费表'!B41</f>
        <v>5.6000000000000001E-2</v>
      </c>
      <c r="E68" s="170"/>
      <c r="F68" s="1664"/>
      <c r="G68" s="1664"/>
      <c r="H68" s="151"/>
      <c r="I68" s="121"/>
      <c r="J68" s="3435"/>
      <c r="K68" s="1239" t="s">
        <v>1388</v>
      </c>
      <c r="L68" s="1239">
        <f ca="1">IF(M49&gt;10000,M49*0.5%,IF(AND(M49&gt;5000,M49&lt;=10000),M49*1%,IF(AND(M49&gt;1000,M49&lt;=5000),M49*2%,IF(AND(M49&gt;200,M49&lt;=1000),M49*3%,M49*5%))))</f>
        <v>22.12</v>
      </c>
      <c r="M68" s="294">
        <f ca="1">ROUND(L68,1)</f>
        <v>22.1</v>
      </c>
      <c r="N68" s="2324"/>
      <c r="Z68" s="1617"/>
      <c r="AI68" s="1555"/>
    </row>
    <row r="69" spans="1:35" ht="16.5" customHeight="1">
      <c r="A69" s="1666"/>
      <c r="B69" s="1667"/>
      <c r="C69" s="1668"/>
      <c r="D69" s="1669"/>
      <c r="E69" s="1670"/>
      <c r="F69" s="1460"/>
      <c r="G69" s="1460"/>
      <c r="H69" s="1461"/>
      <c r="I69" s="646"/>
      <c r="J69" s="3435"/>
      <c r="K69" s="1239" t="s">
        <v>1389</v>
      </c>
      <c r="L69" s="1239"/>
      <c r="M69" s="294">
        <f ca="1">ROUND(SUM(M63:M68),0)</f>
        <v>44</v>
      </c>
      <c r="N69" s="2326">
        <f ca="1">M69/M49</f>
        <v>3.9783001808318265E-2</v>
      </c>
      <c r="Z69" s="1617"/>
      <c r="AI69" s="1555"/>
    </row>
    <row r="70" spans="1:35" s="642" customFormat="1" ht="15" thickBot="1">
      <c r="A70" s="3397" t="s">
        <v>1390</v>
      </c>
      <c r="B70" s="3398"/>
      <c r="C70" s="3398"/>
      <c r="D70" s="3398"/>
      <c r="E70" s="3398"/>
      <c r="F70" s="3398"/>
      <c r="G70" s="3398"/>
      <c r="H70" s="3398"/>
      <c r="I70" s="1671"/>
      <c r="J70" s="459"/>
      <c r="K70" s="459"/>
      <c r="L70" s="459"/>
      <c r="M70" s="459"/>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2" customFormat="1" ht="14.25">
      <c r="A71" s="3376" t="s">
        <v>1371</v>
      </c>
      <c r="B71" s="3377"/>
      <c r="C71" s="1859"/>
      <c r="D71" s="1859" t="s">
        <v>1372</v>
      </c>
      <c r="E71" s="171" t="s">
        <v>1373</v>
      </c>
      <c r="F71" s="172"/>
      <c r="G71" s="172"/>
      <c r="H71" s="173"/>
      <c r="I71" s="1674"/>
      <c r="J71" s="459"/>
      <c r="K71" s="459"/>
      <c r="L71" s="459"/>
      <c r="M71" s="459"/>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2" customFormat="1" ht="14.25">
      <c r="A72" s="165" t="s">
        <v>330</v>
      </c>
      <c r="B72" s="166" t="s">
        <v>1391</v>
      </c>
      <c r="C72" s="2348">
        <f ca="1">ROUND(D45/(1+'数据-取费表'!C42),0)</f>
        <v>1053</v>
      </c>
      <c r="D72" s="162" t="s">
        <v>26</v>
      </c>
      <c r="E72" s="1251"/>
      <c r="F72" s="1249"/>
      <c r="G72" s="1249"/>
      <c r="H72" s="174"/>
      <c r="I72" s="1674"/>
      <c r="J72" s="459"/>
      <c r="K72" s="459"/>
      <c r="L72" s="459"/>
      <c r="M72" s="459"/>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2" customFormat="1" ht="14.25">
      <c r="A73" s="165" t="s">
        <v>327</v>
      </c>
      <c r="B73" s="155" t="s">
        <v>1392</v>
      </c>
      <c r="C73" s="2348">
        <f ca="1">C74+C78</f>
        <v>3034</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2" customFormat="1" ht="24">
      <c r="A74" s="161" t="s">
        <v>325</v>
      </c>
      <c r="B74" s="162" t="s">
        <v>1393</v>
      </c>
      <c r="C74" s="162">
        <f>ROUND(IF(G77="2016年5月1日后购买",C75/(1+'数据-取费表'!C42)+C76+C77,C75+C76+C77),0)</f>
        <v>3028</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2" customFormat="1" ht="14.25">
      <c r="A75" s="161" t="s">
        <v>331</v>
      </c>
      <c r="B75" s="162" t="s">
        <v>1394</v>
      </c>
      <c r="C75" s="2351">
        <f>ROUND(面积位置!W3/10000,0)</f>
        <v>2276</v>
      </c>
      <c r="D75" s="162" t="s">
        <v>26</v>
      </c>
      <c r="E75" s="176" t="s">
        <v>1395</v>
      </c>
      <c r="F75" s="2352" t="s">
        <v>3586</v>
      </c>
      <c r="G75" s="176" t="s">
        <v>1396</v>
      </c>
      <c r="H75" s="2353">
        <v>6</v>
      </c>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2" customFormat="1" ht="24.75" customHeight="1">
      <c r="A76" s="161" t="s">
        <v>332</v>
      </c>
      <c r="B76" s="177" t="s">
        <v>1397</v>
      </c>
      <c r="C76" s="162">
        <f>IF(F75="购房发票",ROUND(C75*H75*D76,0),0)</f>
        <v>683</v>
      </c>
      <c r="D76" s="2354">
        <v>0.05</v>
      </c>
      <c r="E76" s="3371" t="s">
        <v>1398</v>
      </c>
      <c r="F76" s="3345"/>
      <c r="G76" s="3345"/>
      <c r="H76" s="3396"/>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2" customFormat="1" ht="24.75" customHeight="1">
      <c r="A77" s="161" t="s">
        <v>333</v>
      </c>
      <c r="B77" s="162" t="s">
        <v>1399</v>
      </c>
      <c r="C77" s="162">
        <f>ROUND(IF(G77="个人住宅",0,IF(G77="2016年5月1日前购买",C75*D77,C75*D77/(1+'数据-取费表'!C42))),0)</f>
        <v>69</v>
      </c>
      <c r="D77" s="2355">
        <f>'数据-取费表'!B48+'数据-取费表'!B49</f>
        <v>3.0499999999999999E-2</v>
      </c>
      <c r="E77" s="12" t="s">
        <v>1400</v>
      </c>
      <c r="F77" s="178"/>
      <c r="G77" s="1676" t="s">
        <v>3580</v>
      </c>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2" customFormat="1" ht="24.75" customHeight="1">
      <c r="A78" s="161" t="s">
        <v>326</v>
      </c>
      <c r="B78" s="162" t="s">
        <v>1401</v>
      </c>
      <c r="C78" s="2356">
        <f ca="1">ROUND(D45*D78/(1+'数据-取费表'!C42),0)</f>
        <v>6</v>
      </c>
      <c r="D78" s="2357">
        <f>'数据-取费表'!B43</f>
        <v>6.000000000000001E-3</v>
      </c>
      <c r="E78" s="3355" t="s">
        <v>1402</v>
      </c>
      <c r="F78" s="3356"/>
      <c r="G78" s="3356"/>
      <c r="H78" s="3365"/>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2" customFormat="1" ht="14.25">
      <c r="A79" s="165" t="s">
        <v>328</v>
      </c>
      <c r="B79" s="166" t="s">
        <v>1403</v>
      </c>
      <c r="C79" s="2348">
        <f ca="1">C72-C73</f>
        <v>-1981</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2" customFormat="1" ht="24">
      <c r="A80" s="165" t="s">
        <v>335</v>
      </c>
      <c r="B80" s="166" t="s">
        <v>1404</v>
      </c>
      <c r="C80" s="2358">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2" customFormat="1" ht="24.75" thickBot="1">
      <c r="A81" s="168" t="s">
        <v>336</v>
      </c>
      <c r="B81" s="169" t="s">
        <v>1405</v>
      </c>
      <c r="C81" s="2359">
        <f ca="1">ROUND(IF(C79&lt;=0,0,IF(C80&gt;=200%,C79*60%-C73*35%,IF(C80&gt;=100%,C79*50%-C73*15%,IF(C80&gt;=50%,C79*40%-C73*5%,IF(C80&lt;50%,C79*30%,0))))),0)</f>
        <v>0</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2" customFormat="1" ht="7.5" customHeight="1">
      <c r="A82" s="4"/>
      <c r="B82" s="647"/>
      <c r="C82" s="4"/>
      <c r="D82" s="4"/>
      <c r="E82" s="647"/>
      <c r="F82" s="647"/>
      <c r="G82" s="647"/>
      <c r="H82" s="648"/>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2" customFormat="1" ht="15" thickBot="1">
      <c r="A83" s="3397" t="s">
        <v>1406</v>
      </c>
      <c r="B83" s="3398"/>
      <c r="C83" s="3398"/>
      <c r="D83" s="3398"/>
      <c r="E83" s="3398"/>
      <c r="F83" s="3398"/>
      <c r="G83" s="3398"/>
      <c r="H83" s="3398"/>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2" customFormat="1" ht="14.25">
      <c r="A84" s="3376" t="s">
        <v>1371</v>
      </c>
      <c r="B84" s="3377"/>
      <c r="C84" s="1859"/>
      <c r="D84" s="1859" t="s">
        <v>1372</v>
      </c>
      <c r="E84" s="171" t="s">
        <v>1373</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2" customFormat="1" ht="14.25">
      <c r="A85" s="165" t="s">
        <v>330</v>
      </c>
      <c r="B85" s="166" t="s">
        <v>1391</v>
      </c>
      <c r="C85" s="2348">
        <f ca="1">ROUND(D45/(1+'数据-取费表'!C42),0)</f>
        <v>1053</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2" customFormat="1" ht="14.25">
      <c r="A86" s="165" t="s">
        <v>327</v>
      </c>
      <c r="B86" s="155" t="s">
        <v>1392</v>
      </c>
      <c r="C86" s="2348">
        <f ca="1">IF(H88="仅含出让金",C87+C90+C91+C92+C93+C94,C87+C91+C92+C93+C94)</f>
        <v>6</v>
      </c>
      <c r="D86" s="2361"/>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2" customFormat="1" ht="14.25">
      <c r="A87" s="161" t="s">
        <v>325</v>
      </c>
      <c r="B87" s="162" t="s">
        <v>1407</v>
      </c>
      <c r="C87" s="2356">
        <f>C88+C89</f>
        <v>0</v>
      </c>
      <c r="D87" s="2357"/>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2" customFormat="1" ht="14.25">
      <c r="A88" s="161" t="s">
        <v>331</v>
      </c>
      <c r="B88" s="162" t="s">
        <v>1408</v>
      </c>
      <c r="C88" s="2362"/>
      <c r="D88" s="2357"/>
      <c r="E88" s="185" t="s">
        <v>1409</v>
      </c>
      <c r="F88" s="2142"/>
      <c r="G88" s="186" t="s">
        <v>1410</v>
      </c>
      <c r="H88" s="1678"/>
      <c r="I88" s="1675"/>
      <c r="J88" s="2302" t="s">
        <v>2272</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2" customFormat="1" ht="14.25">
      <c r="A89" s="161" t="s">
        <v>332</v>
      </c>
      <c r="B89" s="162" t="s">
        <v>1399</v>
      </c>
      <c r="C89" s="2356">
        <f>ROUND(C88*D89,0)</f>
        <v>0</v>
      </c>
      <c r="D89" s="2357">
        <f>'数据-取费表'!B48+'数据-取费表'!B49</f>
        <v>3.0499999999999999E-2</v>
      </c>
      <c r="E89" s="185" t="s">
        <v>1411</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2" customFormat="1" ht="14.25">
      <c r="A90" s="161" t="s">
        <v>326</v>
      </c>
      <c r="B90" s="162" t="s">
        <v>1412</v>
      </c>
      <c r="C90" s="2362"/>
      <c r="D90" s="2357"/>
      <c r="E90" s="185" t="str">
        <f>IF(H88="-","土地取得成本中已包含该笔费用"," ")</f>
        <v xml:space="preserve"> </v>
      </c>
      <c r="F90" s="2142"/>
      <c r="G90" s="3437" t="s">
        <v>2122</v>
      </c>
      <c r="H90" s="3438"/>
      <c r="I90" s="1675"/>
      <c r="J90" s="2302" t="s">
        <v>2273</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2" customFormat="1" ht="27.75" customHeight="1">
      <c r="A91" s="161" t="s">
        <v>1413</v>
      </c>
      <c r="B91" s="162" t="s">
        <v>1414</v>
      </c>
      <c r="C91" s="2356">
        <f>IF(H91="——",成本法!C33,I91)</f>
        <v>0</v>
      </c>
      <c r="D91" s="2357"/>
      <c r="E91" s="3355" t="s">
        <v>1415</v>
      </c>
      <c r="F91" s="3356"/>
      <c r="G91" s="3356"/>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2" customFormat="1" ht="25.5" customHeight="1">
      <c r="A92" s="161" t="s">
        <v>1416</v>
      </c>
      <c r="B92" s="162" t="s">
        <v>1417</v>
      </c>
      <c r="C92" s="2356">
        <f>ROUND((C87+C90+C91)*D92,0)</f>
        <v>0</v>
      </c>
      <c r="D92" s="2363"/>
      <c r="E92" s="3355" t="s">
        <v>1418</v>
      </c>
      <c r="F92" s="3356"/>
      <c r="G92" s="3356"/>
      <c r="H92" s="3365"/>
      <c r="I92" s="1675"/>
      <c r="J92" s="2303" t="s">
        <v>2274</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2" customFormat="1" ht="25.5" customHeight="1">
      <c r="A93" s="161" t="s">
        <v>1419</v>
      </c>
      <c r="B93" s="162" t="s">
        <v>1401</v>
      </c>
      <c r="C93" s="2356">
        <f ca="1">ROUND(D45*D93/(1+'数据-取费表'!C42),0)</f>
        <v>6</v>
      </c>
      <c r="D93" s="2357">
        <f>'数据-取费表'!B43</f>
        <v>6.000000000000001E-3</v>
      </c>
      <c r="E93" s="3355" t="s">
        <v>1402</v>
      </c>
      <c r="F93" s="3356"/>
      <c r="G93" s="3356"/>
      <c r="H93" s="3365"/>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2" customFormat="1" ht="36.75" customHeight="1">
      <c r="A94" s="161" t="s">
        <v>1420</v>
      </c>
      <c r="B94" s="162" t="s">
        <v>1421</v>
      </c>
      <c r="C94" s="2362">
        <f>ROUND((C87+C90+C91)*D94,0)</f>
        <v>0</v>
      </c>
      <c r="D94" s="2357">
        <v>0.2</v>
      </c>
      <c r="E94" s="3366" t="s">
        <v>1422</v>
      </c>
      <c r="F94" s="3367"/>
      <c r="G94" s="3367"/>
      <c r="H94" s="3368"/>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2" customFormat="1" ht="14.25">
      <c r="A95" s="165" t="s">
        <v>328</v>
      </c>
      <c r="B95" s="166" t="s">
        <v>1403</v>
      </c>
      <c r="C95" s="2348">
        <f ca="1">ROUND(C85-C86,0)</f>
        <v>1047</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2" customFormat="1" ht="24">
      <c r="A96" s="165" t="s">
        <v>335</v>
      </c>
      <c r="B96" s="166" t="s">
        <v>1404</v>
      </c>
      <c r="C96" s="2358">
        <f ca="1">IF(C95&lt;=0,0,C95/C86)</f>
        <v>174.5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2" customFormat="1" ht="24.75" thickBot="1">
      <c r="A97" s="168" t="s">
        <v>336</v>
      </c>
      <c r="B97" s="169" t="s">
        <v>1405</v>
      </c>
      <c r="C97" s="2359">
        <f ca="1">ROUND(IF(C95&lt;=0,0,IF(C96&gt;=200%,C95*60%-C86*35%,IF(C96&gt;=100%,C95*50%-C86*15%,IF(C96&gt;=50%,C95*40%-C86*5%,IF(C96&lt;50%,C95*30%,0))))),0)</f>
        <v>626</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6"/>
      <c r="C98" s="646"/>
      <c r="D98" s="646"/>
      <c r="E98" s="1460"/>
      <c r="F98" s="1460"/>
      <c r="G98" s="1460"/>
      <c r="H98" s="1461"/>
      <c r="I98" s="121"/>
    </row>
    <row r="99" spans="1:35" ht="21.75" customHeight="1" thickBot="1">
      <c r="A99" s="1458" t="s">
        <v>1423</v>
      </c>
      <c r="B99" s="646"/>
      <c r="C99" s="646"/>
      <c r="D99" s="646"/>
      <c r="E99" s="1460"/>
      <c r="F99" s="1460"/>
      <c r="G99" s="1460"/>
      <c r="H99" s="1461"/>
      <c r="I99" s="121"/>
    </row>
    <row r="100" spans="1:35" ht="18.75" customHeight="1">
      <c r="A100" s="3339" t="s">
        <v>1424</v>
      </c>
      <c r="B100" s="3340"/>
      <c r="C100" s="3340"/>
      <c r="D100" s="3357"/>
      <c r="E100" s="3340" t="s">
        <v>1425</v>
      </c>
      <c r="F100" s="3340"/>
      <c r="G100" s="3340"/>
      <c r="H100" s="3357"/>
      <c r="I100" s="121"/>
    </row>
    <row r="101" spans="1:35" ht="18.75" customHeight="1">
      <c r="A101" s="3418" t="s">
        <v>1426</v>
      </c>
      <c r="B101" s="3419"/>
      <c r="C101" s="2365" t="str">
        <f>C4</f>
        <v>比较法-住宅</v>
      </c>
      <c r="D101" s="2366" t="str">
        <f>D4</f>
        <v>比较法-住宅</v>
      </c>
      <c r="E101" s="3432" t="s">
        <v>1427</v>
      </c>
      <c r="F101" s="3389"/>
      <c r="G101" s="1681" t="s">
        <v>1428</v>
      </c>
      <c r="H101" s="2375">
        <f ca="1">H118</f>
        <v>1106</v>
      </c>
      <c r="I101" s="121"/>
    </row>
    <row r="102" spans="1:35" ht="18.75" customHeight="1">
      <c r="A102" s="3391" t="s">
        <v>1429</v>
      </c>
      <c r="B102" s="2364" t="s">
        <v>1428</v>
      </c>
      <c r="C102" s="2365">
        <f ca="1">IF(D32="楼面单价",ROUND(C19,0),C19)</f>
        <v>1106</v>
      </c>
      <c r="D102" s="2366">
        <f ca="1">IF(D32="楼面单价",ROUND(D19,0),D19)</f>
        <v>1106</v>
      </c>
      <c r="E102" s="3432"/>
      <c r="F102" s="3389"/>
      <c r="G102" s="1681" t="s">
        <v>1430</v>
      </c>
      <c r="H102" s="2335">
        <f ca="1">I118</f>
        <v>32076</v>
      </c>
      <c r="I102" s="121"/>
    </row>
    <row r="103" spans="1:35" ht="42.75" customHeight="1">
      <c r="A103" s="3391"/>
      <c r="B103" s="2364" t="s">
        <v>1430</v>
      </c>
      <c r="C103" s="2367">
        <f ca="1">C20</f>
        <v>32078</v>
      </c>
      <c r="D103" s="2368">
        <f ca="1">D20</f>
        <v>32078</v>
      </c>
      <c r="E103" s="3426" t="s">
        <v>1431</v>
      </c>
      <c r="F103" s="3427"/>
      <c r="G103" s="1682" t="s">
        <v>1432</v>
      </c>
      <c r="H103" s="2375">
        <f>IF(D36="正常操作",H104+H105+H106,H105+H106)</f>
        <v>0</v>
      </c>
      <c r="I103" s="121"/>
    </row>
    <row r="104" spans="1:35" ht="18.75" customHeight="1">
      <c r="A104" s="3391" t="s">
        <v>1433</v>
      </c>
      <c r="B104" s="2369" t="s">
        <v>1428</v>
      </c>
      <c r="C104" s="2370">
        <f ca="1">H118</f>
        <v>1106</v>
      </c>
      <c r="D104" s="2371"/>
      <c r="E104" s="1549" t="s">
        <v>1434</v>
      </c>
      <c r="F104" s="1542"/>
      <c r="G104" s="1682" t="s">
        <v>1432</v>
      </c>
      <c r="H104" s="2376">
        <f>IF(D36="同一抵押权人同一抵押物续贷",C36&amp;"（续贷，未扣减，详见特别提示）",C36)</f>
        <v>0</v>
      </c>
      <c r="I104" s="121"/>
    </row>
    <row r="105" spans="1:35" ht="18.75" customHeight="1" thickBot="1">
      <c r="A105" s="3392"/>
      <c r="B105" s="2372" t="s">
        <v>1430</v>
      </c>
      <c r="C105" s="2373">
        <f ca="1">I118</f>
        <v>32076</v>
      </c>
      <c r="D105" s="2374"/>
      <c r="E105" s="1549" t="s">
        <v>1435</v>
      </c>
      <c r="F105" s="1542"/>
      <c r="G105" s="1682" t="s">
        <v>1432</v>
      </c>
      <c r="H105" s="2377">
        <f>C37</f>
        <v>0</v>
      </c>
      <c r="I105" s="121"/>
    </row>
    <row r="106" spans="1:35" ht="18.75" customHeight="1">
      <c r="A106" s="646" t="s">
        <v>1436</v>
      </c>
      <c r="B106" s="646"/>
      <c r="C106" s="646"/>
      <c r="D106" s="646"/>
      <c r="E106" s="1683" t="s">
        <v>1437</v>
      </c>
      <c r="F106" s="1542"/>
      <c r="G106" s="1682" t="s">
        <v>1432</v>
      </c>
      <c r="H106" s="2377">
        <f>C38</f>
        <v>0</v>
      </c>
      <c r="I106" s="121"/>
    </row>
    <row r="107" spans="1:35" ht="18.75" customHeight="1">
      <c r="A107" s="121"/>
      <c r="B107" s="121"/>
      <c r="C107" s="121"/>
      <c r="D107" s="121"/>
      <c r="E107" s="3388" t="str">
        <f>IF(项目基本情况!E8="已注销","——","3.房地产抵押价值")</f>
        <v>3.房地产抵押价值</v>
      </c>
      <c r="F107" s="3389"/>
      <c r="G107" s="1681" t="s">
        <v>1428</v>
      </c>
      <c r="H107" s="2375">
        <f ca="1">IF(E107="——","——",H101-H103)</f>
        <v>1106</v>
      </c>
      <c r="I107" s="121"/>
    </row>
    <row r="108" spans="1:35" ht="18.75" customHeight="1">
      <c r="A108" s="121"/>
      <c r="B108" s="121"/>
      <c r="C108" s="121"/>
      <c r="D108" s="121"/>
      <c r="E108" s="3388"/>
      <c r="F108" s="3389"/>
      <c r="G108" s="1681" t="s">
        <v>1430</v>
      </c>
      <c r="H108" s="2335">
        <f ca="1">IF(H107=H101,H102,ROUND(H107*10000/'数据-汇总表'!E3,0))</f>
        <v>32076</v>
      </c>
      <c r="I108" s="121"/>
    </row>
    <row r="109" spans="1:35" ht="18.75" customHeight="1">
      <c r="A109" s="121"/>
      <c r="B109" s="121"/>
      <c r="C109" s="121"/>
      <c r="D109" s="121"/>
      <c r="E109" s="3388" t="str">
        <f>IF(项目基本情况!E8="已注销及未注销","4.抵押担保权已注销时的房地产抵押价值",IF(项目基本情况!E8="已注销","3.抵押担保权已注销时的房地产抵押价值","——"))</f>
        <v>——</v>
      </c>
      <c r="F109" s="3389"/>
      <c r="G109" s="1681" t="s">
        <v>1428</v>
      </c>
      <c r="H109" s="2378" t="str">
        <f>IF(E109="——","——",H101-H105-H106)</f>
        <v>——</v>
      </c>
      <c r="I109" s="121"/>
    </row>
    <row r="110" spans="1:35" ht="18.75" customHeight="1">
      <c r="A110" s="121"/>
      <c r="B110" s="121"/>
      <c r="C110" s="121"/>
      <c r="D110" s="121"/>
      <c r="E110" s="3388"/>
      <c r="F110" s="3389"/>
      <c r="G110" s="1681" t="s">
        <v>1430</v>
      </c>
      <c r="H110" s="2335" t="str">
        <f>IF(H109="——","——",ROUND(H109*10000/'数据-汇总表'!E3,0))</f>
        <v>——</v>
      </c>
      <c r="I110" s="121"/>
    </row>
    <row r="111" spans="1:35" ht="18.75" customHeight="1">
      <c r="A111" s="121"/>
      <c r="B111" s="121"/>
      <c r="C111" s="121"/>
      <c r="D111" s="121"/>
      <c r="E111" s="3420" t="str">
        <f>IF(项目基本情况!E9="抵押净值",IF(OR(项目基本情况!E8="已注销",项目基本情况!E8="房地产抵押价值"),"4.抵押净值","5.抵押净值"),"——")</f>
        <v>4.抵押净值</v>
      </c>
      <c r="F111" s="3390"/>
      <c r="G111" s="1681" t="s">
        <v>1428</v>
      </c>
      <c r="H111" s="2375">
        <f ca="1">IF(E111="——","——",N59)</f>
        <v>1105</v>
      </c>
      <c r="I111" s="121"/>
    </row>
    <row r="112" spans="1:35" ht="18.75" customHeight="1" thickBot="1">
      <c r="A112" s="121"/>
      <c r="B112" s="121"/>
      <c r="C112" s="121"/>
      <c r="D112" s="121"/>
      <c r="E112" s="3421"/>
      <c r="F112" s="3422"/>
      <c r="G112" s="1684" t="s">
        <v>1430</v>
      </c>
      <c r="H112" s="2379">
        <f ca="1">IF(E111="——","——",N61)</f>
        <v>2644</v>
      </c>
      <c r="I112" s="121"/>
    </row>
    <row r="113" spans="1:27" ht="18.75" customHeight="1">
      <c r="A113" s="121"/>
      <c r="B113" s="121"/>
      <c r="C113" s="121"/>
      <c r="D113" s="121"/>
      <c r="E113" s="3393" t="s">
        <v>1436</v>
      </c>
      <c r="F113" s="3393"/>
      <c r="G113" s="3393"/>
      <c r="H113" s="3393"/>
      <c r="I113" s="121"/>
    </row>
    <row r="114" spans="1:27" ht="3.75" customHeight="1">
      <c r="A114" s="646"/>
      <c r="B114" s="646"/>
      <c r="C114" s="646"/>
      <c r="D114" s="646"/>
      <c r="E114" s="1665"/>
      <c r="F114" s="1665"/>
      <c r="G114" s="1665"/>
      <c r="H114" s="1665"/>
      <c r="I114" s="646"/>
    </row>
    <row r="115" spans="1:27" ht="18.75" customHeight="1">
      <c r="A115" s="3403" t="s">
        <v>1438</v>
      </c>
      <c r="B115" s="3404"/>
      <c r="C115" s="3404"/>
      <c r="D115" s="3404"/>
      <c r="E115" s="3404"/>
      <c r="F115" s="3404"/>
      <c r="G115" s="3404"/>
      <c r="H115" s="3404"/>
      <c r="I115" s="3405"/>
    </row>
    <row r="116" spans="1:27" ht="27" customHeight="1">
      <c r="A116" s="3359" t="s">
        <v>1439</v>
      </c>
      <c r="B116" s="3394" t="s">
        <v>1440</v>
      </c>
      <c r="C116" s="3394" t="s">
        <v>1441</v>
      </c>
      <c r="D116" s="3407" t="s">
        <v>1442</v>
      </c>
      <c r="E116" s="3408"/>
      <c r="F116" s="3402" t="s">
        <v>1443</v>
      </c>
      <c r="G116" s="3402"/>
      <c r="H116" s="3359" t="s">
        <v>1444</v>
      </c>
      <c r="I116" s="3359"/>
    </row>
    <row r="117" spans="1:27" ht="18.75" customHeight="1">
      <c r="A117" s="3359"/>
      <c r="B117" s="3395"/>
      <c r="C117" s="3395"/>
      <c r="D117" s="2144" t="s">
        <v>1445</v>
      </c>
      <c r="E117" s="2144" t="s">
        <v>1446</v>
      </c>
      <c r="F117" s="2144" t="s">
        <v>1445</v>
      </c>
      <c r="G117" s="2144" t="s">
        <v>1447</v>
      </c>
      <c r="H117" s="2144" t="s">
        <v>1445</v>
      </c>
      <c r="I117" s="2144" t="s">
        <v>1447</v>
      </c>
    </row>
    <row r="118" spans="1:27" ht="24.75" customHeight="1">
      <c r="A118" s="2380" t="str">
        <f>项目基本情况!S2</f>
        <v>北京市房地产</v>
      </c>
      <c r="B118" s="2144">
        <f>M18</f>
        <v>344.81</v>
      </c>
      <c r="C118" s="2144">
        <f>M19</f>
        <v>0</v>
      </c>
      <c r="D118" s="2144">
        <f ca="1">ROUND(IF(D32="总价",C34,E118*B118/10000),0)</f>
        <v>954</v>
      </c>
      <c r="E118" s="2144">
        <f ca="1">ROUND(IF(C33="自定义",IF(D32="楼面单价",C34,D118*10000/B118),I118-G118),0)</f>
        <v>27668</v>
      </c>
      <c r="F118" s="2144">
        <f ca="1">ROUND(IF(D32="总价",C35,G118*B118/10000),0)</f>
        <v>152</v>
      </c>
      <c r="G118" s="2144">
        <f ca="1">ROUND(IF(D32="楼面单价",C35,F118*10000/B118),0)</f>
        <v>4408</v>
      </c>
      <c r="H118" s="2144">
        <f ca="1">ROUND(IF(D32="总价",C32,I118*B118/10000),0)</f>
        <v>1106</v>
      </c>
      <c r="I118" s="2144">
        <f ca="1">ROUND(IF(D32="楼面单价",C32,H118*10000/B118),0)</f>
        <v>32076</v>
      </c>
    </row>
    <row r="119" spans="1:27" ht="18.75" customHeight="1">
      <c r="A119" s="3359" t="s">
        <v>1448</v>
      </c>
      <c r="B119" s="3359"/>
      <c r="C119" s="3359"/>
      <c r="D119" s="3399" t="str">
        <f ca="1">NUMBERSTRING(INT(D118*10000),2)&amp;"元整"</f>
        <v>玖佰伍拾肆万元整</v>
      </c>
      <c r="E119" s="3401"/>
      <c r="F119" s="3399" t="str">
        <f ca="1">NUMBERSTRING(INT(F118*10000),2)&amp;"元整"</f>
        <v>壹佰伍拾贰万元整</v>
      </c>
      <c r="G119" s="3401"/>
      <c r="H119" s="3399" t="str">
        <f ca="1">NUMBERSTRING(INT(H118*10000),2)&amp;"元整"</f>
        <v>壹仟壹佰零陆万元整</v>
      </c>
      <c r="I119" s="3401"/>
    </row>
    <row r="120" spans="1:27" ht="18.75" customHeight="1">
      <c r="A120" s="3423" t="str">
        <f>IF(项目基本情况!B9="房地产市场价值","",MID(E103,3,LEN(E103)-2))</f>
        <v>估价师知悉的法定优先受偿款</v>
      </c>
      <c r="B120" s="3424"/>
      <c r="C120" s="3425"/>
      <c r="D120" s="3423">
        <f>H103</f>
        <v>0</v>
      </c>
      <c r="E120" s="3424"/>
      <c r="F120" s="3424"/>
      <c r="G120" s="3424"/>
      <c r="H120" s="3424"/>
      <c r="I120" s="342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99" t="s">
        <v>1448</v>
      </c>
      <c r="B121" s="3400"/>
      <c r="C121" s="3401"/>
      <c r="D121" s="3399" t="str">
        <f>IF(D120=0,"零元整",NUMBERSTRING(INT(D120*10000),2)&amp;"元整")</f>
        <v>零元整</v>
      </c>
      <c r="E121" s="3400"/>
      <c r="F121" s="3400"/>
      <c r="G121" s="3400"/>
      <c r="H121" s="3400"/>
      <c r="I121" s="3401"/>
      <c r="AA121" s="684"/>
    </row>
    <row r="122" spans="1:27" ht="18.75" customHeight="1">
      <c r="A122" s="3390" t="str">
        <f>IF(项目基本情况!B9="房地产市场价值","",MID(E107,3,LEN(E107)-2))</f>
        <v>房地产抵押价值</v>
      </c>
      <c r="B122" s="3390"/>
      <c r="C122" s="3390"/>
      <c r="D122" s="3423">
        <f ca="1">H107</f>
        <v>1106</v>
      </c>
      <c r="E122" s="3424"/>
      <c r="F122" s="3424"/>
      <c r="G122" s="3424"/>
      <c r="H122" s="3424"/>
      <c r="I122" s="3425"/>
      <c r="AA122" s="684"/>
    </row>
    <row r="123" spans="1:27" ht="18.75" customHeight="1">
      <c r="A123" s="3359" t="s">
        <v>1448</v>
      </c>
      <c r="B123" s="3359"/>
      <c r="C123" s="3359"/>
      <c r="D123" s="3399" t="str">
        <f ca="1">NUMBERSTRING(INT(D122*10000),2)&amp;"元整"</f>
        <v>壹仟壹佰零陆万元整</v>
      </c>
      <c r="E123" s="3400"/>
      <c r="F123" s="3400"/>
      <c r="G123" s="3400"/>
      <c r="H123" s="3400"/>
      <c r="I123" s="3401"/>
      <c r="AA123" s="684"/>
    </row>
    <row r="124" spans="1:27" ht="18.75" customHeight="1">
      <c r="A124" s="3390" t="str">
        <f>IF(项目基本情况!B9="房地产市场价值","",MID(E109,3,LEN(E109)-2))</f>
        <v/>
      </c>
      <c r="B124" s="3390"/>
      <c r="C124" s="3390"/>
      <c r="D124" s="3423" t="str">
        <f>H109</f>
        <v>——</v>
      </c>
      <c r="E124" s="3424"/>
      <c r="F124" s="3424"/>
      <c r="G124" s="3424"/>
      <c r="H124" s="3424"/>
      <c r="I124" s="3425"/>
      <c r="AA124" s="684"/>
    </row>
    <row r="125" spans="1:27" ht="18.75" customHeight="1">
      <c r="A125" s="3359" t="s">
        <v>1448</v>
      </c>
      <c r="B125" s="3359"/>
      <c r="C125" s="3359"/>
      <c r="D125" s="3399" t="e">
        <f>NUMBERSTRING(INT(D124*10000),2)&amp;"元整"</f>
        <v>#VALUE!</v>
      </c>
      <c r="E125" s="3400"/>
      <c r="F125" s="3400"/>
      <c r="G125" s="3400"/>
      <c r="H125" s="3400"/>
      <c r="I125" s="3401"/>
      <c r="AA125" s="684"/>
    </row>
    <row r="126" spans="1:27" ht="18.75" customHeight="1">
      <c r="A126" s="3390" t="str">
        <f>IF(项目基本情况!B9="房地产市场价值","",MID(E111,3,LEN(E111)-2))</f>
        <v>抵押净值</v>
      </c>
      <c r="B126" s="3390"/>
      <c r="C126" s="3390"/>
      <c r="D126" s="3423">
        <f ca="1">H111</f>
        <v>1105</v>
      </c>
      <c r="E126" s="3424"/>
      <c r="F126" s="3424"/>
      <c r="G126" s="3424"/>
      <c r="H126" s="3424"/>
      <c r="I126" s="3425"/>
      <c r="AA126" s="684"/>
    </row>
    <row r="127" spans="1:27" ht="18.75" customHeight="1">
      <c r="A127" s="3359" t="s">
        <v>1448</v>
      </c>
      <c r="B127" s="3359"/>
      <c r="C127" s="3359"/>
      <c r="D127" s="3399" t="str">
        <f ca="1">NUMBERSTRING(INT(D126*10000),2)&amp;"元整"</f>
        <v>壹仟壹佰零伍万元整</v>
      </c>
      <c r="E127" s="3400"/>
      <c r="F127" s="3400"/>
      <c r="G127" s="3400"/>
      <c r="H127" s="3400"/>
      <c r="I127" s="3401"/>
      <c r="AA127" s="684"/>
    </row>
    <row r="128" spans="1:27" ht="21.75" customHeight="1">
      <c r="A128" s="3406" t="s">
        <v>1449</v>
      </c>
      <c r="B128" s="3406"/>
      <c r="C128" s="3406"/>
      <c r="D128" s="3406"/>
      <c r="E128" s="3406"/>
      <c r="F128" s="3406"/>
      <c r="G128" s="3406"/>
      <c r="H128" s="3406"/>
      <c r="I128" s="3406"/>
      <c r="AA128" s="684"/>
    </row>
    <row r="129" spans="1:35" ht="21.75" customHeight="1">
      <c r="A129" s="1685" t="s">
        <v>1450</v>
      </c>
      <c r="B129" s="1686"/>
      <c r="C129" s="1687" t="s">
        <v>1451</v>
      </c>
      <c r="D129" s="1688"/>
      <c r="E129" s="1688"/>
      <c r="F129" s="1688"/>
      <c r="G129" s="1688"/>
      <c r="H129" s="1689"/>
      <c r="I129" s="1690"/>
      <c r="AA129" s="684"/>
    </row>
    <row r="130" spans="1:35" ht="21.75" customHeight="1">
      <c r="A130" s="1691">
        <v>1</v>
      </c>
      <c r="B130" s="1692"/>
      <c r="C130" s="1692"/>
      <c r="D130" s="688"/>
      <c r="E130" s="688"/>
      <c r="F130" s="688"/>
      <c r="G130" s="688"/>
      <c r="H130" s="687"/>
      <c r="I130" s="1693"/>
      <c r="AA130" s="684"/>
    </row>
    <row r="131" spans="1:35" ht="21.75" customHeight="1">
      <c r="A131" s="1691">
        <v>2</v>
      </c>
      <c r="B131" s="1692"/>
      <c r="C131" s="1692"/>
      <c r="D131" s="688"/>
      <c r="E131" s="688"/>
      <c r="F131" s="688"/>
      <c r="G131" s="688"/>
      <c r="H131" s="687"/>
      <c r="I131" s="1693"/>
      <c r="AA131" s="684"/>
    </row>
    <row r="132" spans="1:35" ht="21.75" customHeight="1">
      <c r="A132" s="1691">
        <v>3</v>
      </c>
      <c r="B132" s="1692"/>
      <c r="C132" s="1692"/>
      <c r="D132" s="688"/>
      <c r="E132" s="688"/>
      <c r="F132" s="688"/>
      <c r="G132" s="688"/>
      <c r="H132" s="687"/>
      <c r="I132" s="1693"/>
      <c r="AA132" s="684"/>
    </row>
    <row r="133" spans="1:35" ht="21.75" customHeight="1">
      <c r="A133" s="1694"/>
      <c r="B133" s="1695"/>
      <c r="C133" s="1695"/>
      <c r="D133" s="1696"/>
      <c r="E133" s="1696"/>
      <c r="F133" s="1696"/>
      <c r="G133" s="1696"/>
      <c r="H133" s="1697"/>
      <c r="I133" s="1698"/>
    </row>
    <row r="134" spans="1:35" ht="21.75" customHeight="1">
      <c r="A134" s="1692"/>
      <c r="B134" s="1692"/>
      <c r="C134" s="1692"/>
      <c r="D134" s="688"/>
      <c r="E134" s="688"/>
      <c r="F134" s="688"/>
      <c r="G134" s="688"/>
      <c r="H134" s="687"/>
      <c r="I134" s="684"/>
    </row>
    <row r="135" spans="1:35" ht="21.75" customHeight="1">
      <c r="A135" s="684"/>
      <c r="B135" s="684"/>
      <c r="C135" s="684"/>
      <c r="D135" s="684"/>
      <c r="E135" s="684"/>
      <c r="F135" s="1699" t="s">
        <v>1452</v>
      </c>
      <c r="G135" s="1700"/>
      <c r="H135" s="1700"/>
      <c r="I135" s="1701" t="s">
        <v>1453</v>
      </c>
    </row>
    <row r="136" spans="1:35" ht="21.75" customHeight="1">
      <c r="A136" s="684"/>
      <c r="B136" s="1702"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0"/>
      <c r="C138" s="1700"/>
      <c r="D138" s="1700"/>
      <c r="E138" s="1700"/>
      <c r="F138" s="1700"/>
      <c r="G138" s="1700"/>
      <c r="H138" s="1700"/>
      <c r="I138" s="1701" t="s">
        <v>1455</v>
      </c>
    </row>
    <row r="139" spans="1:35" ht="21.75" customHeight="1">
      <c r="A139" s="684"/>
      <c r="B139" s="1702" t="s">
        <v>1456</v>
      </c>
      <c r="C139" s="684"/>
      <c r="D139" s="684"/>
      <c r="E139" s="684"/>
      <c r="F139" s="684"/>
      <c r="G139" s="684"/>
      <c r="H139" s="684"/>
      <c r="I139" s="684"/>
    </row>
    <row r="140" spans="1:35" ht="21.75" customHeight="1">
      <c r="A140" s="684"/>
      <c r="B140" s="1702"/>
      <c r="C140" s="684"/>
      <c r="D140" s="684"/>
      <c r="E140" s="684"/>
      <c r="F140" s="684"/>
      <c r="G140" s="684"/>
      <c r="H140" s="684"/>
      <c r="I140" s="684"/>
    </row>
    <row r="141" spans="1:35" ht="21.75" customHeight="1">
      <c r="A141" s="684"/>
      <c r="B141" s="1700"/>
      <c r="C141" s="1700"/>
      <c r="D141" s="1700"/>
      <c r="E141" s="1700"/>
      <c r="F141" s="1700"/>
      <c r="G141" s="1700"/>
      <c r="H141" s="1700"/>
      <c r="I141" s="1701" t="s">
        <v>1455</v>
      </c>
    </row>
    <row r="142" spans="1:35" ht="21.75" customHeight="1">
      <c r="A142" s="684"/>
      <c r="B142" s="1702"/>
      <c r="C142" s="1703"/>
      <c r="D142" s="1704"/>
      <c r="E142" s="1704"/>
      <c r="F142" s="1608"/>
      <c r="G142" s="684"/>
      <c r="H142" s="684"/>
      <c r="I142" s="684"/>
    </row>
    <row r="143" spans="1:35" s="122" customFormat="1" ht="21.75" customHeight="1">
      <c r="A143" s="684"/>
      <c r="B143" s="1702"/>
      <c r="C143" s="1703"/>
      <c r="D143" s="1704"/>
      <c r="E143" s="1704"/>
      <c r="F143" s="1608"/>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7"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7"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7"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7"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7"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7"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7"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7"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7"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7"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7"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7"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7"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7"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7"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7"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7"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7"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7"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7"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7"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7"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7"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7"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7"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7"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7"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7"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7"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7"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7"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7"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7"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7"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7"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7"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7"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7"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7"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7"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7"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7"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7"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7"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7"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7"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7"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7"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7"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7"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7"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7"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7"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7"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7"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7"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7"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7"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7"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7"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7"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7"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7"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7"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7"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7"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7"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7"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7"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7"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7"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7"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7"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7"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7"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7"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7"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7"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7"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7"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7"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7"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7"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7"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7"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7"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7"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7"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7"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7"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7"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7"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7"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7"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7"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7"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7"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7"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7"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7"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7"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7"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7"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7"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xr:uid="{A0E1271D-4C94-4623-997A-449D20999548}">
      <formula1>"0,5%,10%"</formula1>
    </dataValidation>
    <dataValidation type="list" allowBlank="1" showInputMessage="1" showErrorMessage="1" sqref="H59" xr:uid="{1521848B-D484-4FA9-886A-BB387D9D312E}">
      <formula1>"非个人房产,个人住宅（满五唯一有凭证）,个人其他（有凭证）,个人其他（无凭证）"</formula1>
    </dataValidation>
    <dataValidation type="list" allowBlank="1" showInputMessage="1" showErrorMessage="1" sqref="E103" xr:uid="{7A640AD3-F23E-4E10-8573-B14236591815}">
      <formula1>"2.估价师知悉的法定优先受偿款,2.估价师知悉的除抵押担保权以外的法定优先受偿款"</formula1>
    </dataValidation>
    <dataValidation type="list" allowBlank="1" showInputMessage="1" showErrorMessage="1" sqref="G77" xr:uid="{B46EFFC6-A97E-41A3-ADF6-990FF3779F6A}">
      <formula1>"个人住宅,2016年5月1日前购买,2016年5月1日后购买"</formula1>
    </dataValidation>
    <dataValidation type="list" allowBlank="1" showInputMessage="1" showErrorMessage="1" sqref="C1" xr:uid="{CBE1549C-EBAF-4E8C-96FE-37C9997ABA7F}">
      <formula1>项目类型</formula1>
    </dataValidation>
    <dataValidation type="list" allowBlank="1" showInputMessage="1" showErrorMessage="1" sqref="I1" xr:uid="{3EBA506D-80A0-46F0-8FA5-B03322295C3D}">
      <formula1>"项目局部,项目全部,——"</formula1>
    </dataValidation>
    <dataValidation type="list" showInputMessage="1" showErrorMessage="1" sqref="G1" xr:uid="{D1167275-40A5-4058-A095-EC07CDF262DE}">
      <formula1>"现房,在建,土地,-"</formula1>
    </dataValidation>
    <dataValidation type="list" allowBlank="1" showInputMessage="1" showErrorMessage="1" sqref="C129" xr:uid="{BB92C1EA-1B8F-434F-8286-370A75EA161D}">
      <formula1>"无,有"</formula1>
    </dataValidation>
    <dataValidation type="list" allowBlank="1" showInputMessage="1" showErrorMessage="1" sqref="F116:G116" xr:uid="{B19CCBD9-F275-4410-912B-957F9DFF5D12}">
      <formula1>"建筑物价值,在建建筑物价值,建筑物/在建建筑物价值"</formula1>
    </dataValidation>
    <dataValidation type="list" allowBlank="1" showInputMessage="1" showErrorMessage="1" sqref="D116:E116" xr:uid="{F6E80B09-CC8E-49B9-A251-517C089BA424}">
      <formula1>"出让国有建设用地使用权价值,划拨国有建设用地使用权价值"</formula1>
    </dataValidation>
    <dataValidation type="list" allowBlank="1" showInputMessage="1" showErrorMessage="1" sqref="C116:C117" xr:uid="{EDECCE67-7573-4B52-B479-5A50B2163303}">
      <formula1>"土地面积,分摊土地面积,（分摊）土地面积"</formula1>
    </dataValidation>
    <dataValidation type="list" allowBlank="1" showInputMessage="1" showErrorMessage="1" sqref="B116:B117" xr:uid="{83F4E45B-B35F-49E6-948A-A1E09DA1FB2B}">
      <formula1>"建筑面积,规划建筑面积,（规划）建筑面积"</formula1>
    </dataValidation>
    <dataValidation type="list" allowBlank="1" showInputMessage="1" showErrorMessage="1" sqref="D36" xr:uid="{5E1F4FB9-B655-4CEC-AAA4-2C2A9B029509}">
      <formula1>"同一抵押权人同一抵押物续贷,注销后放款,正常操作"</formula1>
    </dataValidation>
    <dataValidation type="list" allowBlank="1" showInputMessage="1" showErrorMessage="1" sqref="F75" xr:uid="{696DF280-5D84-4283-9570-AE839BAA0915}">
      <formula1>"买卖合同,购房发票"</formula1>
    </dataValidation>
    <dataValidation type="list" allowBlank="1" showInputMessage="1" showErrorMessage="1" sqref="H88" xr:uid="{59D65705-244F-4826-AAFC-B9DB411530F3}">
      <formula1>"仅含出让金,出让金+开发费"</formula1>
    </dataValidation>
    <dataValidation type="list" allowBlank="1" showInputMessage="1" showErrorMessage="1" sqref="H91" xr:uid="{BDB8675A-033D-4740-ACA1-62565E9AC19E}">
      <formula1>"企业提供（在右侧录入）,——"</formula1>
    </dataValidation>
    <dataValidation type="list" allowBlank="1" showInputMessage="1" showErrorMessage="1" sqref="C33" xr:uid="{ADE68553-B032-4953-9CA7-E199D1CE34E0}">
      <formula1>"成本比率,收益比率,自定义"</formula1>
    </dataValidation>
    <dataValidation type="list" allowBlank="1" showInputMessage="1" showErrorMessage="1" sqref="F45" xr:uid="{B2887FB3-9CEA-420B-BCE3-554ACE0AB11D}">
      <formula1>"100%,70%,56%"</formula1>
    </dataValidation>
    <dataValidation type="list" allowBlank="1" showInputMessage="1" showErrorMessage="1" sqref="D32" xr:uid="{BDE91FE8-BD17-4413-B5E3-6EE9BBA12D88}">
      <formula1>"总价,楼面单价"</formula1>
    </dataValidation>
    <dataValidation type="list" allowBlank="1" showInputMessage="1" showErrorMessage="1" sqref="H58" xr:uid="{F23BAEB9-517A-4FE2-92CB-C7A3507199C8}">
      <formula1>"转让取得,自行开发建设"</formula1>
    </dataValidation>
    <dataValidation type="list" allowBlank="1" showInputMessage="1" showErrorMessage="1" sqref="H48" xr:uid="{7409C7B6-AFE6-4D35-877C-4F468E53F34C}">
      <formula1>"情况1,情况2,情况3,情况4"</formula1>
    </dataValidation>
    <dataValidation type="list" allowBlank="1" showInputMessage="1" showErrorMessage="1" sqref="H55:H56" xr:uid="{66A8FFEC-07D0-43C9-AB84-4533DFCDBCB1}">
      <formula1>"个人住宅,正常"</formula1>
    </dataValidation>
    <dataValidation type="list" allowBlank="1" showInputMessage="1" showErrorMessage="1" sqref="C4:D4 D33" xr:uid="{A532124C-8E31-415E-B734-95500A5857D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I48" sqref="I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1656</v>
      </c>
      <c r="B1" s="1728" t="s">
        <v>1657</v>
      </c>
      <c r="C1" s="1149" t="s">
        <v>1658</v>
      </c>
      <c r="D1" s="1136" t="s">
        <v>3584</v>
      </c>
      <c r="E1" s="3119" t="s">
        <v>3585</v>
      </c>
      <c r="F1" s="1729" t="s">
        <v>3555</v>
      </c>
      <c r="G1" s="1146" t="s">
        <v>1659</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8" customFormat="1" ht="28.5" customHeight="1" thickTop="1">
      <c r="A2" s="1132" t="s">
        <v>681</v>
      </c>
      <c r="B2" s="3120">
        <f ca="1">IF(E1="项目模式",IF(C2="——",ROUND(C49*D3/10000,0),ROUND(C49*D3/10000,0)-D2),IF(E1="单套模式",IF(C2="——",ROUND(C49*D3/10000,4),ROUND(C49*D3/10000,4)-D2)))</f>
        <v>1106</v>
      </c>
      <c r="C2" s="1731" t="s">
        <v>43</v>
      </c>
      <c r="D2" s="1046" t="e">
        <f ca="1">IF(E1="项目模式",SUMIF(INDIRECT("'"&amp;F2&amp;"'"&amp;"!A:A"),"承租人权益价值",INDIRECT("'"&amp;F2&amp;"'"&amp;"!c:c")),SUMIF(INDIRECT("'"&amp;F2&amp;"'"&amp;"!A:A"),"承租人权益价值（单套）",INDIRECT("'"&amp;F2&amp;"'"&amp;"!c:c")))</f>
        <v>#REF!</v>
      </c>
      <c r="E2" s="1732" t="s">
        <v>1660</v>
      </c>
      <c r="F2" s="1733"/>
      <c r="G2" s="848"/>
      <c r="H2" s="848"/>
      <c r="I2" s="848"/>
      <c r="J2" s="848"/>
      <c r="K2" s="1734"/>
      <c r="L2" s="2479"/>
      <c r="M2" s="2480"/>
      <c r="N2" s="2480"/>
      <c r="O2" s="2480"/>
      <c r="P2" s="1735"/>
      <c r="Q2" s="1736"/>
      <c r="R2" s="1736"/>
      <c r="S2" s="1736"/>
      <c r="T2" s="1736"/>
      <c r="U2" s="1736"/>
      <c r="V2" s="1736"/>
      <c r="W2" s="1736"/>
      <c r="X2" s="1736"/>
      <c r="Y2" s="1736"/>
      <c r="Z2" s="1736"/>
      <c r="AA2" s="1736"/>
      <c r="AB2" s="1736"/>
      <c r="AC2" s="992"/>
    </row>
    <row r="3" spans="1:29" s="338" customFormat="1" ht="28.5" customHeight="1" thickBot="1">
      <c r="A3" s="195" t="s">
        <v>682</v>
      </c>
      <c r="B3" s="343">
        <f ca="1">IF(C2="——",C49,ROUND(B2*10000/D3,0))</f>
        <v>32078</v>
      </c>
      <c r="C3" s="344" t="s">
        <v>1661</v>
      </c>
      <c r="D3" s="343">
        <f>IF(D1="",'数据-汇总表'!E3,SUMIF('数据-汇总表'!$C19:$C33,D1,'数据-汇总表'!$E19:$E33))</f>
        <v>344.81</v>
      </c>
      <c r="E3" s="848"/>
      <c r="F3" s="1737"/>
      <c r="G3" s="848"/>
      <c r="H3" s="848"/>
      <c r="I3" s="848"/>
      <c r="J3" s="848"/>
      <c r="K3" s="1734"/>
      <c r="L3" s="2479"/>
      <c r="M3" s="2480"/>
      <c r="N3" s="2480"/>
      <c r="O3" s="2480"/>
      <c r="P3" s="1735"/>
      <c r="Q3" s="1736"/>
      <c r="R3" s="1736"/>
      <c r="S3" s="1736"/>
      <c r="T3" s="1736"/>
      <c r="U3" s="1736"/>
      <c r="V3" s="1736"/>
      <c r="W3" s="1736"/>
      <c r="X3" s="1736"/>
      <c r="Y3" s="1736"/>
      <c r="Z3" s="1736"/>
      <c r="AA3" s="1736"/>
      <c r="AB3" s="1736"/>
      <c r="AC3" s="992"/>
    </row>
    <row r="4" spans="1:29" ht="15">
      <c r="A4" s="345" t="s">
        <v>1662</v>
      </c>
      <c r="B4" s="346"/>
      <c r="C4" s="3484" t="s">
        <v>1663</v>
      </c>
      <c r="D4" s="3485"/>
      <c r="E4" s="3486" t="s">
        <v>1664</v>
      </c>
      <c r="F4" s="3487"/>
      <c r="G4" s="3484" t="s">
        <v>1665</v>
      </c>
      <c r="H4" s="3485"/>
      <c r="I4" s="3484" t="s">
        <v>1666</v>
      </c>
      <c r="J4" s="3485"/>
      <c r="K4" s="1738" t="s">
        <v>1667</v>
      </c>
      <c r="L4" s="2481"/>
      <c r="M4" s="2482"/>
      <c r="N4" s="2482"/>
      <c r="O4" s="2482"/>
      <c r="P4" s="3488" t="s">
        <v>1668</v>
      </c>
      <c r="Q4" s="3489"/>
      <c r="R4" s="3494" t="s">
        <v>1664</v>
      </c>
      <c r="S4" s="3495"/>
      <c r="T4" s="3494" t="s">
        <v>1665</v>
      </c>
      <c r="U4" s="3495"/>
      <c r="V4" s="3467" t="s">
        <v>1666</v>
      </c>
      <c r="W4" s="3467"/>
      <c r="X4" s="1259"/>
      <c r="Y4" s="3494" t="s">
        <v>1668</v>
      </c>
      <c r="Z4" s="3495"/>
      <c r="AA4" s="3481" t="s">
        <v>1664</v>
      </c>
      <c r="AB4" s="3481" t="s">
        <v>1665</v>
      </c>
      <c r="AC4" s="3481" t="s">
        <v>1666</v>
      </c>
    </row>
    <row r="5" spans="1:29" ht="15">
      <c r="A5" s="348"/>
      <c r="B5" s="349"/>
      <c r="C5" s="3502" t="s">
        <v>1669</v>
      </c>
      <c r="D5" s="3503"/>
      <c r="E5" s="3509" t="s">
        <v>1670</v>
      </c>
      <c r="F5" s="3510"/>
      <c r="G5" s="3502" t="s">
        <v>1671</v>
      </c>
      <c r="H5" s="3503"/>
      <c r="I5" s="3502" t="s">
        <v>1672</v>
      </c>
      <c r="J5" s="3503"/>
      <c r="K5" s="1739"/>
      <c r="L5" s="2481"/>
      <c r="M5" s="2482"/>
      <c r="N5" s="2482"/>
      <c r="O5" s="2482"/>
      <c r="P5" s="3490"/>
      <c r="Q5" s="3491"/>
      <c r="R5" s="3496"/>
      <c r="S5" s="3497"/>
      <c r="T5" s="3496"/>
      <c r="U5" s="3497"/>
      <c r="V5" s="3467"/>
      <c r="W5" s="3467"/>
      <c r="X5" s="1259"/>
      <c r="Y5" s="3496"/>
      <c r="Z5" s="3497"/>
      <c r="AA5" s="3482"/>
      <c r="AB5" s="3482"/>
      <c r="AC5" s="3482"/>
    </row>
    <row r="6" spans="1:29" ht="15.75" thickBot="1">
      <c r="A6" s="350"/>
      <c r="B6" s="351"/>
      <c r="C6" s="3500" t="s">
        <v>1673</v>
      </c>
      <c r="D6" s="3501"/>
      <c r="E6" s="3507" t="s">
        <v>1673</v>
      </c>
      <c r="F6" s="3508"/>
      <c r="G6" s="3500" t="s">
        <v>1673</v>
      </c>
      <c r="H6" s="3501"/>
      <c r="I6" s="3500" t="s">
        <v>1673</v>
      </c>
      <c r="J6" s="3501"/>
      <c r="K6" s="1739" t="s">
        <v>1674</v>
      </c>
      <c r="L6" s="2481"/>
      <c r="M6" s="2482"/>
      <c r="N6" s="2482"/>
      <c r="O6" s="2482"/>
      <c r="P6" s="3492"/>
      <c r="Q6" s="3493"/>
      <c r="R6" s="3496"/>
      <c r="S6" s="3497"/>
      <c r="T6" s="3498"/>
      <c r="U6" s="3499"/>
      <c r="V6" s="3467"/>
      <c r="W6" s="3467"/>
      <c r="X6" s="1259"/>
      <c r="Y6" s="3498"/>
      <c r="Z6" s="3499"/>
      <c r="AA6" s="3483"/>
      <c r="AB6" s="3483"/>
      <c r="AC6" s="3483"/>
    </row>
    <row r="7" spans="1:29" s="102" customFormat="1" ht="15.75" thickBot="1">
      <c r="A7" s="352" t="s">
        <v>1675</v>
      </c>
      <c r="B7" s="353"/>
      <c r="C7" s="354">
        <f>'数据-取费表'!B2</f>
        <v>45873</v>
      </c>
      <c r="D7" s="355">
        <v>100</v>
      </c>
      <c r="E7" s="356">
        <f>C7</f>
        <v>45873</v>
      </c>
      <c r="F7" s="357">
        <f>SUMIF(58:58,YEAR(E7)&amp;"-"&amp;MONTH(E7),59:59)</f>
        <v>100</v>
      </c>
      <c r="G7" s="356">
        <f>E7</f>
        <v>45873</v>
      </c>
      <c r="H7" s="355">
        <f>SUMIF(58:58,YEAR(G7)&amp;"-"&amp;MONTH(G7),59:59)</f>
        <v>100</v>
      </c>
      <c r="I7" s="356">
        <f>G7</f>
        <v>45873</v>
      </c>
      <c r="J7" s="355">
        <f>SUMIF(58:58,YEAR(I7)&amp;"-"&amp;MONTH(I7),59:59)</f>
        <v>100</v>
      </c>
      <c r="K7" s="1740"/>
      <c r="L7" s="2483"/>
      <c r="M7" s="2434"/>
      <c r="N7" s="2434"/>
      <c r="O7" s="2434"/>
      <c r="P7" s="3504" t="s">
        <v>1676</v>
      </c>
      <c r="Q7" s="3506"/>
      <c r="R7" s="664" t="s">
        <v>20</v>
      </c>
      <c r="S7" s="665">
        <f t="shared" ref="S7:S15" si="0">F7</f>
        <v>100</v>
      </c>
      <c r="T7" s="664" t="s">
        <v>20</v>
      </c>
      <c r="U7" s="665">
        <f t="shared" ref="U7:U15" si="1">H7</f>
        <v>100</v>
      </c>
      <c r="V7" s="664" t="s">
        <v>20</v>
      </c>
      <c r="W7" s="665">
        <f t="shared" ref="W7:W15" si="2">J7</f>
        <v>100</v>
      </c>
      <c r="X7" s="666"/>
      <c r="Y7" s="3504" t="s">
        <v>1676</v>
      </c>
      <c r="Z7" s="3505"/>
      <c r="AA7" s="50">
        <f>D7/F7</f>
        <v>1</v>
      </c>
      <c r="AB7" s="50">
        <f>D7/H7</f>
        <v>1</v>
      </c>
      <c r="AC7" s="50">
        <f>D7/J7</f>
        <v>1</v>
      </c>
    </row>
    <row r="8" spans="1:29" s="102" customFormat="1" ht="15.75" thickBot="1">
      <c r="A8" s="352" t="s">
        <v>1677</v>
      </c>
      <c r="B8" s="353"/>
      <c r="C8" s="358"/>
      <c r="D8" s="355">
        <v>100</v>
      </c>
      <c r="E8" s="1741"/>
      <c r="F8" s="357">
        <f>SUMIF(61:61,E8,62:62)-SUMIF(61:61,C8,62:62)+100</f>
        <v>100</v>
      </c>
      <c r="G8" s="358"/>
      <c r="H8" s="355">
        <f>SUMIF(61:61,G8,62:62)-SUMIF(61:61,C8,62:62)+100</f>
        <v>100</v>
      </c>
      <c r="I8" s="1741"/>
      <c r="J8" s="355">
        <f>SUMIF(61:61,I8,62:62)-SUMIF(61:61,C8,62:62)+100</f>
        <v>100</v>
      </c>
      <c r="K8" s="1740"/>
      <c r="L8" s="2483"/>
      <c r="M8" s="2434"/>
      <c r="N8" s="2434"/>
      <c r="O8" s="2434"/>
      <c r="P8" s="3504" t="s">
        <v>1679</v>
      </c>
      <c r="Q8" s="3505"/>
      <c r="R8" s="664" t="s">
        <v>20</v>
      </c>
      <c r="S8" s="665">
        <f t="shared" si="0"/>
        <v>100</v>
      </c>
      <c r="T8" s="664" t="s">
        <v>20</v>
      </c>
      <c r="U8" s="665">
        <f t="shared" si="1"/>
        <v>100</v>
      </c>
      <c r="V8" s="664" t="s">
        <v>20</v>
      </c>
      <c r="W8" s="665">
        <f t="shared" si="2"/>
        <v>100</v>
      </c>
      <c r="X8" s="666"/>
      <c r="Y8" s="3504" t="s">
        <v>1679</v>
      </c>
      <c r="Z8" s="3505"/>
      <c r="AA8" s="50">
        <f t="shared" ref="AA8:AA19" si="3">D8/F8</f>
        <v>1</v>
      </c>
      <c r="AB8" s="50">
        <f t="shared" ref="AB8:AB19" si="4">D8/H8</f>
        <v>1</v>
      </c>
      <c r="AC8" s="50">
        <f t="shared" ref="AC8:AC19" si="5">D8/J8</f>
        <v>1</v>
      </c>
    </row>
    <row r="9" spans="1:29" s="102" customFormat="1">
      <c r="A9" s="359" t="s">
        <v>1680</v>
      </c>
      <c r="B9" s="60" t="s">
        <v>1681</v>
      </c>
      <c r="C9" s="360"/>
      <c r="D9" s="59">
        <v>100</v>
      </c>
      <c r="E9" s="361"/>
      <c r="F9" s="60">
        <f>SUMIF(63:63,E9,64:64)-SUMIF(63:63,C9,64:64)+100</f>
        <v>100</v>
      </c>
      <c r="G9" s="362"/>
      <c r="H9" s="59">
        <f>SUMIF(63:63,G9,64:64)-SUMIF(63:63,C9,64:64)+100</f>
        <v>100</v>
      </c>
      <c r="I9" s="362"/>
      <c r="J9" s="59">
        <f>SUMIF(63:63,I9,64:64)-SUMIF(63:63,C9,64:64)+100</f>
        <v>100</v>
      </c>
      <c r="K9" s="1740"/>
      <c r="L9" s="2483"/>
      <c r="M9" s="2434"/>
      <c r="N9" s="2434"/>
      <c r="O9" s="2434"/>
      <c r="P9" s="3480" t="s">
        <v>1682</v>
      </c>
      <c r="Q9" s="530" t="str">
        <f t="shared" ref="Q9:Q15" si="6">B9</f>
        <v>用途</v>
      </c>
      <c r="R9" s="664" t="s">
        <v>14</v>
      </c>
      <c r="S9" s="665">
        <f t="shared" si="0"/>
        <v>100</v>
      </c>
      <c r="T9" s="664" t="s">
        <v>14</v>
      </c>
      <c r="U9" s="665">
        <f t="shared" si="1"/>
        <v>100</v>
      </c>
      <c r="V9" s="664" t="s">
        <v>14</v>
      </c>
      <c r="W9" s="665">
        <f t="shared" si="2"/>
        <v>100</v>
      </c>
      <c r="X9" s="666"/>
      <c r="Y9" s="3346" t="s">
        <v>1683</v>
      </c>
      <c r="Z9" s="50" t="str">
        <f t="shared" ref="Z9:Z15" si="7">Q9</f>
        <v>用途</v>
      </c>
      <c r="AA9" s="50">
        <f t="shared" si="3"/>
        <v>1</v>
      </c>
      <c r="AB9" s="50">
        <f t="shared" si="4"/>
        <v>1</v>
      </c>
      <c r="AC9" s="50">
        <f t="shared" si="5"/>
        <v>1</v>
      </c>
    </row>
    <row r="10" spans="1:29" s="366" customFormat="1" ht="27">
      <c r="A10" s="363"/>
      <c r="B10" s="364" t="s">
        <v>1684</v>
      </c>
      <c r="C10" s="3126"/>
      <c r="D10" s="119">
        <v>100</v>
      </c>
      <c r="E10" s="3127"/>
      <c r="F10" s="364">
        <f>SUMIF(65:65,E10,66:66)-SUMIF(65:65,C10,66:66)+100</f>
        <v>100</v>
      </c>
      <c r="G10" s="3126"/>
      <c r="H10" s="119">
        <f>SUMIF(65:65,G10,66:66)-SUMIF(65:65,C10,66:66)+100</f>
        <v>100</v>
      </c>
      <c r="I10" s="3126"/>
      <c r="J10" s="119">
        <f>SUMIF(65:65,I10,66:66)-SUMIF(65:65,C10,66:66)+100</f>
        <v>100</v>
      </c>
      <c r="K10" s="1740"/>
      <c r="L10" s="2484"/>
      <c r="M10" s="2485"/>
      <c r="N10" s="2485"/>
      <c r="O10" s="2485"/>
      <c r="P10" s="3480"/>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1685</v>
      </c>
      <c r="C11" s="368"/>
      <c r="D11" s="119">
        <v>100</v>
      </c>
      <c r="E11" s="369"/>
      <c r="F11" s="364">
        <f>LOOKUP(E11,68:68,69:69)-LOOKUP(C11,68:68,69:69)+100</f>
        <v>100</v>
      </c>
      <c r="G11" s="368"/>
      <c r="H11" s="119">
        <f>LOOKUP(G11,68:68,69:69)-LOOKUP(C11,68:68,69:69)+100</f>
        <v>100</v>
      </c>
      <c r="I11" s="368"/>
      <c r="J11" s="119">
        <f>LOOKUP(I11,68:68,69:69)-LOOKUP(C11,68:68,69:69)+100</f>
        <v>100</v>
      </c>
      <c r="K11" s="365"/>
      <c r="L11" s="2486"/>
      <c r="M11" s="2482"/>
      <c r="N11" s="2482"/>
      <c r="O11" s="2482"/>
      <c r="P11" s="3480"/>
      <c r="Q11" s="530" t="str">
        <f t="shared" si="6"/>
        <v>容积率</v>
      </c>
      <c r="R11" s="664" t="s">
        <v>18</v>
      </c>
      <c r="S11" s="665">
        <f t="shared" si="0"/>
        <v>100</v>
      </c>
      <c r="T11" s="664" t="s">
        <v>18</v>
      </c>
      <c r="U11" s="665">
        <f t="shared" si="1"/>
        <v>100</v>
      </c>
      <c r="V11" s="664" t="s">
        <v>18</v>
      </c>
      <c r="W11" s="665">
        <f t="shared" si="2"/>
        <v>100</v>
      </c>
      <c r="X11" s="666"/>
      <c r="Y11" s="334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2"/>
      <c r="L12" s="2483"/>
      <c r="M12" s="2434"/>
      <c r="N12" s="2434"/>
      <c r="O12" s="2434"/>
      <c r="P12" s="3480"/>
      <c r="Q12" s="530">
        <f t="shared" si="6"/>
        <v>111</v>
      </c>
      <c r="R12" s="664" t="s">
        <v>18</v>
      </c>
      <c r="S12" s="665">
        <f t="shared" si="0"/>
        <v>100</v>
      </c>
      <c r="T12" s="664" t="s">
        <v>18</v>
      </c>
      <c r="U12" s="665">
        <f t="shared" si="1"/>
        <v>100</v>
      </c>
      <c r="V12" s="664" t="s">
        <v>18</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2"/>
      <c r="L13" s="2487"/>
      <c r="M13" s="2482"/>
      <c r="N13" s="2482"/>
      <c r="O13" s="2482"/>
      <c r="P13" s="3480"/>
      <c r="Q13" s="530">
        <f t="shared" si="6"/>
        <v>111</v>
      </c>
      <c r="R13" s="664" t="s">
        <v>18</v>
      </c>
      <c r="S13" s="665">
        <f t="shared" si="0"/>
        <v>100</v>
      </c>
      <c r="T13" s="664" t="s">
        <v>18</v>
      </c>
      <c r="U13" s="665">
        <f t="shared" si="1"/>
        <v>100</v>
      </c>
      <c r="V13" s="664" t="s">
        <v>18</v>
      </c>
      <c r="W13" s="665">
        <f t="shared" si="2"/>
        <v>100</v>
      </c>
      <c r="X13" s="666"/>
      <c r="Y13" s="3346"/>
      <c r="Z13" s="50">
        <f t="shared" si="7"/>
        <v>111</v>
      </c>
      <c r="AA13" s="50">
        <f t="shared" si="3"/>
        <v>1</v>
      </c>
      <c r="AB13" s="50">
        <f t="shared" si="4"/>
        <v>1</v>
      </c>
      <c r="AC13" s="50">
        <f t="shared" si="5"/>
        <v>1</v>
      </c>
    </row>
    <row r="14" spans="1:29" ht="15.75"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7"/>
      <c r="M14" s="2482"/>
      <c r="N14" s="2482"/>
      <c r="O14" s="2482"/>
      <c r="P14" s="3480"/>
      <c r="Q14" s="530">
        <f t="shared" si="6"/>
        <v>111</v>
      </c>
      <c r="R14" s="664" t="s">
        <v>18</v>
      </c>
      <c r="S14" s="665">
        <f t="shared" si="0"/>
        <v>100</v>
      </c>
      <c r="T14" s="664" t="s">
        <v>18</v>
      </c>
      <c r="U14" s="665">
        <f t="shared" si="1"/>
        <v>100</v>
      </c>
      <c r="V14" s="664" t="s">
        <v>18</v>
      </c>
      <c r="W14" s="665">
        <f t="shared" si="2"/>
        <v>100</v>
      </c>
      <c r="X14" s="666"/>
      <c r="Y14" s="3346"/>
      <c r="Z14" s="50">
        <f t="shared" si="7"/>
        <v>111</v>
      </c>
      <c r="AA14" s="50">
        <f t="shared" si="3"/>
        <v>1</v>
      </c>
      <c r="AB14" s="50">
        <f t="shared" si="4"/>
        <v>1</v>
      </c>
      <c r="AC14" s="50">
        <f t="shared" si="5"/>
        <v>1</v>
      </c>
    </row>
    <row r="15" spans="1:29" ht="15">
      <c r="A15" s="379" t="s">
        <v>1686</v>
      </c>
      <c r="B15" s="58" t="s">
        <v>1253</v>
      </c>
      <c r="C15" s="1744">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71" t="s">
        <v>1687</v>
      </c>
      <c r="Q15" s="1257" t="str">
        <f t="shared" si="6"/>
        <v>居住社区成熟度</v>
      </c>
      <c r="R15" s="667" t="s">
        <v>18</v>
      </c>
      <c r="S15" s="668">
        <f t="shared" si="0"/>
        <v>100</v>
      </c>
      <c r="T15" s="667" t="s">
        <v>18</v>
      </c>
      <c r="U15" s="668">
        <f t="shared" si="1"/>
        <v>100</v>
      </c>
      <c r="V15" s="667" t="s">
        <v>18</v>
      </c>
      <c r="W15" s="668">
        <f t="shared" si="2"/>
        <v>100</v>
      </c>
      <c r="X15" s="1259"/>
      <c r="Y15" s="3473" t="s">
        <v>1687</v>
      </c>
      <c r="Z15" s="1258" t="str">
        <f t="shared" si="7"/>
        <v>居住社区成熟度</v>
      </c>
      <c r="AA15" s="1258">
        <f t="shared" si="3"/>
        <v>1</v>
      </c>
      <c r="AB15" s="1258">
        <f t="shared" si="4"/>
        <v>1</v>
      </c>
      <c r="AC15" s="1258">
        <f t="shared" si="5"/>
        <v>1</v>
      </c>
    </row>
    <row r="16" spans="1:29" ht="15">
      <c r="A16" s="367"/>
      <c r="B16" s="385"/>
      <c r="C16" s="386"/>
      <c r="D16" s="387"/>
      <c r="E16" s="1745"/>
      <c r="F16" s="387"/>
      <c r="G16" s="1746"/>
      <c r="H16" s="389"/>
      <c r="I16" s="1746"/>
      <c r="J16" s="387"/>
      <c r="K16" s="1747"/>
      <c r="L16" s="2487"/>
      <c r="M16" s="2482"/>
      <c r="N16" s="2482"/>
      <c r="O16" s="2482"/>
      <c r="P16" s="3472"/>
      <c r="Q16" s="1257"/>
      <c r="R16" s="667"/>
      <c r="S16" s="668"/>
      <c r="T16" s="667"/>
      <c r="U16" s="668"/>
      <c r="V16" s="667"/>
      <c r="W16" s="668"/>
      <c r="X16" s="1259"/>
      <c r="Y16" s="3474"/>
      <c r="Z16" s="1258"/>
      <c r="AA16" s="1258">
        <v>1</v>
      </c>
      <c r="AB16" s="1258">
        <v>1</v>
      </c>
      <c r="AC16" s="1258">
        <v>1</v>
      </c>
    </row>
    <row r="17" spans="1:29" ht="15">
      <c r="A17" s="367"/>
      <c r="B17" s="390" t="s">
        <v>1255</v>
      </c>
      <c r="C17" s="1748">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72"/>
      <c r="Q17" s="1257" t="str">
        <f>B17</f>
        <v>交通便捷度</v>
      </c>
      <c r="R17" s="667" t="s">
        <v>18</v>
      </c>
      <c r="S17" s="668">
        <f>F17</f>
        <v>100</v>
      </c>
      <c r="T17" s="667" t="s">
        <v>18</v>
      </c>
      <c r="U17" s="668">
        <f>H17</f>
        <v>100</v>
      </c>
      <c r="V17" s="667" t="s">
        <v>18</v>
      </c>
      <c r="W17" s="668">
        <f>J17</f>
        <v>100</v>
      </c>
      <c r="X17" s="1259"/>
      <c r="Y17" s="3474"/>
      <c r="Z17" s="1258" t="str">
        <f>Q17</f>
        <v>交通便捷度</v>
      </c>
      <c r="AA17" s="1258">
        <f t="shared" si="3"/>
        <v>1</v>
      </c>
      <c r="AB17" s="1258">
        <f t="shared" si="4"/>
        <v>1</v>
      </c>
      <c r="AC17" s="1258">
        <f t="shared" si="5"/>
        <v>1</v>
      </c>
    </row>
    <row r="18" spans="1:29" ht="15">
      <c r="A18" s="367"/>
      <c r="B18" s="395"/>
      <c r="C18" s="1749"/>
      <c r="D18" s="389"/>
      <c r="E18" s="1750"/>
      <c r="F18" s="389"/>
      <c r="G18" s="1751"/>
      <c r="H18" s="387"/>
      <c r="I18" s="1751"/>
      <c r="J18" s="387"/>
      <c r="K18" s="1747"/>
      <c r="L18" s="2487"/>
      <c r="M18" s="2482"/>
      <c r="N18" s="2482"/>
      <c r="O18" s="2482"/>
      <c r="P18" s="3472"/>
      <c r="Q18" s="1257"/>
      <c r="R18" s="667"/>
      <c r="S18" s="668"/>
      <c r="T18" s="667"/>
      <c r="U18" s="668"/>
      <c r="V18" s="667"/>
      <c r="W18" s="668"/>
      <c r="X18" s="1259"/>
      <c r="Y18" s="3474"/>
      <c r="Z18" s="1258"/>
      <c r="AA18" s="1258">
        <v>1</v>
      </c>
      <c r="AB18" s="1258">
        <v>1</v>
      </c>
      <c r="AC18" s="1258">
        <v>1</v>
      </c>
    </row>
    <row r="19" spans="1:29" ht="15">
      <c r="A19" s="367"/>
      <c r="B19" s="390" t="s">
        <v>1254</v>
      </c>
      <c r="C19" s="1748">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72"/>
      <c r="Q19" s="1257" t="str">
        <f>B19</f>
        <v>公共配套设施</v>
      </c>
      <c r="R19" s="667" t="s">
        <v>18</v>
      </c>
      <c r="S19" s="668">
        <f>F19</f>
        <v>100</v>
      </c>
      <c r="T19" s="667" t="s">
        <v>18</v>
      </c>
      <c r="U19" s="668">
        <f>H19</f>
        <v>100</v>
      </c>
      <c r="V19" s="667" t="s">
        <v>18</v>
      </c>
      <c r="W19" s="668">
        <f>J19</f>
        <v>100</v>
      </c>
      <c r="X19" s="1259"/>
      <c r="Y19" s="3474"/>
      <c r="Z19" s="1258" t="str">
        <f>Q19</f>
        <v>公共配套设施</v>
      </c>
      <c r="AA19" s="1258">
        <f t="shared" si="3"/>
        <v>1</v>
      </c>
      <c r="AB19" s="1258">
        <f t="shared" si="4"/>
        <v>1</v>
      </c>
      <c r="AC19" s="1258">
        <f t="shared" si="5"/>
        <v>1</v>
      </c>
    </row>
    <row r="20" spans="1:29" ht="15">
      <c r="A20" s="367"/>
      <c r="B20" s="395"/>
      <c r="C20" s="386"/>
      <c r="D20" s="387"/>
      <c r="E20" s="1745"/>
      <c r="F20" s="387"/>
      <c r="G20" s="1746"/>
      <c r="H20" s="387"/>
      <c r="I20" s="1746"/>
      <c r="J20" s="387"/>
      <c r="K20" s="1747"/>
      <c r="L20" s="2487"/>
      <c r="M20" s="2482"/>
      <c r="N20" s="2482"/>
      <c r="O20" s="2482"/>
      <c r="P20" s="3472"/>
      <c r="Q20" s="1257"/>
      <c r="R20" s="667"/>
      <c r="S20" s="668"/>
      <c r="T20" s="667"/>
      <c r="U20" s="668"/>
      <c r="V20" s="667"/>
      <c r="W20" s="668"/>
      <c r="X20" s="1259"/>
      <c r="Y20" s="3474"/>
      <c r="Z20" s="1258"/>
      <c r="AA20" s="1258">
        <v>1</v>
      </c>
      <c r="AB20" s="1258">
        <v>1</v>
      </c>
      <c r="AC20" s="1258">
        <v>1</v>
      </c>
    </row>
    <row r="21" spans="1:29" ht="15">
      <c r="A21" s="367"/>
      <c r="B21" s="586" t="s">
        <v>1256</v>
      </c>
      <c r="C21" s="1748">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72"/>
      <c r="Q21" s="1257" t="str">
        <f>B21</f>
        <v>基础设施水平</v>
      </c>
      <c r="R21" s="667" t="s">
        <v>14</v>
      </c>
      <c r="S21" s="668">
        <f>F21</f>
        <v>100</v>
      </c>
      <c r="T21" s="667" t="s">
        <v>14</v>
      </c>
      <c r="U21" s="668">
        <f>H21</f>
        <v>100</v>
      </c>
      <c r="V21" s="667" t="s">
        <v>14</v>
      </c>
      <c r="W21" s="668">
        <f>J21</f>
        <v>100</v>
      </c>
      <c r="X21" s="1259"/>
      <c r="Y21" s="3474"/>
      <c r="Z21" s="1258" t="str">
        <f>Q21</f>
        <v>基础设施水平</v>
      </c>
      <c r="AA21" s="1258">
        <f t="shared" ref="AA21" si="8">D21/F21</f>
        <v>1</v>
      </c>
      <c r="AB21" s="1258">
        <f t="shared" ref="AB21" si="9">D21/H21</f>
        <v>1</v>
      </c>
      <c r="AC21" s="1258">
        <f t="shared" ref="AC21" si="10">D21/J21</f>
        <v>1</v>
      </c>
    </row>
    <row r="22" spans="1:29" ht="15">
      <c r="A22" s="367"/>
      <c r="B22" s="586"/>
      <c r="C22" s="1749"/>
      <c r="D22" s="387"/>
      <c r="E22" s="386"/>
      <c r="F22" s="387"/>
      <c r="G22" s="1752"/>
      <c r="H22" s="387"/>
      <c r="I22" s="386"/>
      <c r="J22" s="387"/>
      <c r="K22" s="1753"/>
      <c r="L22" s="2487"/>
      <c r="M22" s="2482"/>
      <c r="N22" s="2482"/>
      <c r="O22" s="2482"/>
      <c r="P22" s="3472"/>
      <c r="Q22" s="1257"/>
      <c r="R22" s="667"/>
      <c r="S22" s="668"/>
      <c r="T22" s="667"/>
      <c r="U22" s="668"/>
      <c r="V22" s="667"/>
      <c r="W22" s="668"/>
      <c r="X22" s="1259"/>
      <c r="Y22" s="3474"/>
      <c r="Z22" s="1258"/>
      <c r="AA22" s="1258">
        <v>1</v>
      </c>
      <c r="AB22" s="1258">
        <v>1</v>
      </c>
      <c r="AC22" s="1258">
        <v>1</v>
      </c>
    </row>
    <row r="23" spans="1:29" ht="15">
      <c r="A23" s="367"/>
      <c r="B23" s="390" t="s">
        <v>1257</v>
      </c>
      <c r="C23" s="1748">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72"/>
      <c r="Q23" s="1257" t="str">
        <f>B23</f>
        <v>自然及人文环境</v>
      </c>
      <c r="R23" s="667" t="s">
        <v>18</v>
      </c>
      <c r="S23" s="668">
        <f>F23</f>
        <v>100</v>
      </c>
      <c r="T23" s="667" t="s">
        <v>18</v>
      </c>
      <c r="U23" s="668">
        <f>H23</f>
        <v>100</v>
      </c>
      <c r="V23" s="667" t="s">
        <v>18</v>
      </c>
      <c r="W23" s="668">
        <f>J23</f>
        <v>100</v>
      </c>
      <c r="X23" s="1259"/>
      <c r="Y23" s="3474"/>
      <c r="Z23" s="1258" t="str">
        <f>Q23</f>
        <v>自然及人文环境</v>
      </c>
      <c r="AA23" s="1258">
        <f>D23/F23</f>
        <v>1</v>
      </c>
      <c r="AB23" s="1258">
        <f>D23/H23</f>
        <v>1</v>
      </c>
      <c r="AC23" s="1258">
        <f>D23/J23</f>
        <v>1</v>
      </c>
    </row>
    <row r="24" spans="1:29" ht="15">
      <c r="A24" s="367"/>
      <c r="B24" s="395"/>
      <c r="C24" s="386"/>
      <c r="D24" s="387"/>
      <c r="E24" s="1745"/>
      <c r="F24" s="387"/>
      <c r="G24" s="1746"/>
      <c r="H24" s="387"/>
      <c r="I24" s="1746"/>
      <c r="J24" s="387"/>
      <c r="K24" s="1747"/>
      <c r="L24" s="2487"/>
      <c r="M24" s="2482"/>
      <c r="N24" s="2482"/>
      <c r="O24" s="2482"/>
      <c r="P24" s="3472"/>
      <c r="Q24" s="1257"/>
      <c r="R24" s="667"/>
      <c r="S24" s="668"/>
      <c r="T24" s="667"/>
      <c r="U24" s="668"/>
      <c r="V24" s="667"/>
      <c r="W24" s="668"/>
      <c r="X24" s="1259"/>
      <c r="Y24" s="3474"/>
      <c r="Z24" s="1258"/>
      <c r="AA24" s="1258">
        <v>1</v>
      </c>
      <c r="AB24" s="1258">
        <v>1</v>
      </c>
      <c r="AC24" s="1258">
        <v>1</v>
      </c>
    </row>
    <row r="25" spans="1:29" ht="15">
      <c r="A25" s="367"/>
      <c r="B25" s="364" t="s">
        <v>1688</v>
      </c>
      <c r="C25" s="399"/>
      <c r="D25" s="374">
        <v>100</v>
      </c>
      <c r="E25" s="1754"/>
      <c r="F25" s="374">
        <f>SUMIF(86:86,E25,87:87)-SUMIF(86:86,C25,87:87)+100</f>
        <v>100</v>
      </c>
      <c r="G25" s="1755"/>
      <c r="H25" s="374">
        <f>SUMIF(86:86,G25,87:87)-SUMIF(86:86,C25,87:87)+100</f>
        <v>100</v>
      </c>
      <c r="I25" s="1755"/>
      <c r="J25" s="374">
        <f>SUMIF(86:86,I25,87:87)-SUMIF(86:86,C25,87:87)+100</f>
        <v>100</v>
      </c>
      <c r="K25" s="365"/>
      <c r="L25" s="2487"/>
      <c r="M25" s="2482"/>
      <c r="N25" s="2482"/>
      <c r="O25" s="2482"/>
      <c r="P25" s="3472"/>
      <c r="Q25" s="1257" t="str">
        <f t="shared" ref="Q25:Q46" si="11">B25</f>
        <v>楼层-1</v>
      </c>
      <c r="R25" s="667" t="s">
        <v>18</v>
      </c>
      <c r="S25" s="668">
        <f t="shared" ref="S25:S46" si="12">F25</f>
        <v>100</v>
      </c>
      <c r="T25" s="667" t="s">
        <v>18</v>
      </c>
      <c r="U25" s="668">
        <f t="shared" ref="U25:U46" si="13">H25</f>
        <v>100</v>
      </c>
      <c r="V25" s="667" t="s">
        <v>18</v>
      </c>
      <c r="W25" s="668">
        <f t="shared" ref="W25:W46" si="14">J25</f>
        <v>100</v>
      </c>
      <c r="X25" s="1259"/>
      <c r="Y25" s="3474"/>
      <c r="Z25" s="1258" t="str">
        <f>Q25</f>
        <v>楼层-1</v>
      </c>
      <c r="AA25" s="1258">
        <f t="shared" ref="AA25:AA46" si="15">D25/F25</f>
        <v>1</v>
      </c>
      <c r="AB25" s="1258">
        <f t="shared" ref="AB25:AB46" si="16">D25/H25</f>
        <v>1</v>
      </c>
      <c r="AC25" s="1258">
        <f t="shared" ref="AC25:AC46" si="17">D25/J25</f>
        <v>1</v>
      </c>
    </row>
    <row r="26" spans="1:29" ht="15">
      <c r="A26" s="367"/>
      <c r="B26" s="364" t="s">
        <v>1689</v>
      </c>
      <c r="C26" s="399"/>
      <c r="D26" s="374">
        <v>100</v>
      </c>
      <c r="E26" s="1754"/>
      <c r="F26" s="374">
        <f>SUMIF(88:88,E26,89:89)-SUMIF(88:88,C26,89:89)+100</f>
        <v>100</v>
      </c>
      <c r="G26" s="1755"/>
      <c r="H26" s="374">
        <f>SUMIF(88:88,G26,89:89)-SUMIF(88:88,C26,89:89)+100</f>
        <v>100</v>
      </c>
      <c r="I26" s="1755"/>
      <c r="J26" s="374">
        <f>SUMIF(88:88,I26,89:89)-SUMIF(88:88,C26,89:89)+100</f>
        <v>100</v>
      </c>
      <c r="K26" s="365"/>
      <c r="L26" s="2487"/>
      <c r="M26" s="2482"/>
      <c r="N26" s="2482"/>
      <c r="O26" s="2482"/>
      <c r="P26" s="3472"/>
      <c r="Q26" s="1257" t="str">
        <f t="shared" si="11"/>
        <v>朝向</v>
      </c>
      <c r="R26" s="667" t="s">
        <v>18</v>
      </c>
      <c r="S26" s="668">
        <f t="shared" si="12"/>
        <v>100</v>
      </c>
      <c r="T26" s="667" t="s">
        <v>18</v>
      </c>
      <c r="U26" s="668">
        <f t="shared" si="13"/>
        <v>100</v>
      </c>
      <c r="V26" s="667" t="s">
        <v>18</v>
      </c>
      <c r="W26" s="668">
        <f t="shared" si="14"/>
        <v>100</v>
      </c>
      <c r="X26" s="1259"/>
      <c r="Y26" s="3474"/>
      <c r="Z26" s="1258" t="str">
        <f>Q26</f>
        <v>朝向</v>
      </c>
      <c r="AA26" s="1258">
        <f t="shared" si="15"/>
        <v>1</v>
      </c>
      <c r="AB26" s="1258">
        <f t="shared" si="16"/>
        <v>1</v>
      </c>
      <c r="AC26" s="1258">
        <f t="shared" si="17"/>
        <v>1</v>
      </c>
    </row>
    <row r="27" spans="1:29" s="102" customFormat="1" ht="15">
      <c r="A27" s="370"/>
      <c r="B27" s="1060">
        <v>111</v>
      </c>
      <c r="C27" s="371"/>
      <c r="D27" s="401">
        <v>100</v>
      </c>
      <c r="E27" s="403"/>
      <c r="F27" s="401">
        <f>SUMIF(90:90,E27,91:91)-SUMIF(90:90,C27,91:91)+100</f>
        <v>100</v>
      </c>
      <c r="G27" s="402"/>
      <c r="H27" s="401">
        <f>SUMIF(90:90,G27,91:91)-SUMIF(90:90,C27,91:91)+100</f>
        <v>100</v>
      </c>
      <c r="I27" s="402"/>
      <c r="J27" s="401">
        <f>SUMIF(90:90,I27,91:91)-SUMIF(90:90,C27,91:91)+100</f>
        <v>100</v>
      </c>
      <c r="K27" s="1742"/>
      <c r="L27" s="2483"/>
      <c r="M27" s="2434"/>
      <c r="N27" s="2434"/>
      <c r="O27" s="2434"/>
      <c r="P27" s="3472"/>
      <c r="Q27" s="530">
        <f t="shared" si="11"/>
        <v>111</v>
      </c>
      <c r="R27" s="664" t="s">
        <v>18</v>
      </c>
      <c r="S27" s="665">
        <f t="shared" si="12"/>
        <v>100</v>
      </c>
      <c r="T27" s="664" t="s">
        <v>18</v>
      </c>
      <c r="U27" s="665">
        <f t="shared" si="13"/>
        <v>100</v>
      </c>
      <c r="V27" s="664" t="s">
        <v>18</v>
      </c>
      <c r="W27" s="665">
        <f t="shared" si="14"/>
        <v>100</v>
      </c>
      <c r="X27" s="666"/>
      <c r="Y27" s="3474"/>
      <c r="Z27" s="50">
        <f>Q27</f>
        <v>111</v>
      </c>
      <c r="AA27" s="1258">
        <f t="shared" si="15"/>
        <v>1</v>
      </c>
      <c r="AB27" s="1258">
        <f t="shared" si="16"/>
        <v>1</v>
      </c>
      <c r="AC27" s="1258">
        <f t="shared" si="17"/>
        <v>1</v>
      </c>
    </row>
    <row r="28" spans="1:29" ht="15">
      <c r="A28" s="367"/>
      <c r="B28" s="1060">
        <v>111</v>
      </c>
      <c r="C28" s="373"/>
      <c r="D28" s="374">
        <v>100</v>
      </c>
      <c r="E28" s="373"/>
      <c r="F28" s="374">
        <f>SUMIF(92:92,E28,93:93)-SUMIF(92:92,C28,93:93)+100</f>
        <v>100</v>
      </c>
      <c r="G28" s="1756"/>
      <c r="H28" s="374">
        <f>SUMIF(92:92,G28,93:93)-SUMIF(92:92,C28,93:93)+100</f>
        <v>100</v>
      </c>
      <c r="I28" s="373"/>
      <c r="J28" s="374">
        <f>SUMIF(92:92,I28,93:93)-SUMIF(92:92,C28,93:93)+100</f>
        <v>100</v>
      </c>
      <c r="K28" s="1742"/>
      <c r="L28" s="2487"/>
      <c r="M28" s="2482"/>
      <c r="N28" s="2482"/>
      <c r="O28" s="2482"/>
      <c r="P28" s="3472"/>
      <c r="Q28" s="1257">
        <f t="shared" si="11"/>
        <v>111</v>
      </c>
      <c r="R28" s="667" t="s">
        <v>18</v>
      </c>
      <c r="S28" s="668">
        <f t="shared" si="12"/>
        <v>100</v>
      </c>
      <c r="T28" s="667" t="s">
        <v>18</v>
      </c>
      <c r="U28" s="668">
        <f t="shared" si="13"/>
        <v>100</v>
      </c>
      <c r="V28" s="667" t="s">
        <v>18</v>
      </c>
      <c r="W28" s="668">
        <f t="shared" si="14"/>
        <v>100</v>
      </c>
      <c r="X28" s="1259"/>
      <c r="Y28" s="3474"/>
      <c r="Z28" s="1258">
        <f t="shared" ref="Z28:Z46" si="18">Q28</f>
        <v>111</v>
      </c>
      <c r="AA28" s="1258">
        <f t="shared" si="15"/>
        <v>1</v>
      </c>
      <c r="AB28" s="1258">
        <f t="shared" si="16"/>
        <v>1</v>
      </c>
      <c r="AC28" s="1258">
        <f t="shared" si="17"/>
        <v>1</v>
      </c>
    </row>
    <row r="29" spans="1:29" ht="15">
      <c r="A29" s="367"/>
      <c r="B29" s="1060">
        <v>111</v>
      </c>
      <c r="C29" s="373"/>
      <c r="D29" s="374">
        <v>100</v>
      </c>
      <c r="E29" s="373"/>
      <c r="F29" s="374">
        <f>SUMIF(94:94,E29,95:95)-SUMIF(94:94,C29,95:95)+100</f>
        <v>100</v>
      </c>
      <c r="G29" s="1756"/>
      <c r="H29" s="374">
        <f>SUMIF(94:94,G29,95:95)-SUMIF(94:94,C29,95:95)+100</f>
        <v>100</v>
      </c>
      <c r="I29" s="373"/>
      <c r="J29" s="374">
        <f>SUMIF(94:94,I29,95:95)-SUMIF(94:94,C29,95:95)+100</f>
        <v>100</v>
      </c>
      <c r="K29" s="1742"/>
      <c r="L29" s="2487"/>
      <c r="M29" s="2482"/>
      <c r="N29" s="2482"/>
      <c r="O29" s="2482"/>
      <c r="P29" s="3472"/>
      <c r="Q29" s="1257">
        <f t="shared" si="11"/>
        <v>111</v>
      </c>
      <c r="R29" s="667" t="s">
        <v>18</v>
      </c>
      <c r="S29" s="668">
        <f t="shared" si="12"/>
        <v>100</v>
      </c>
      <c r="T29" s="667" t="s">
        <v>18</v>
      </c>
      <c r="U29" s="668">
        <f t="shared" si="13"/>
        <v>100</v>
      </c>
      <c r="V29" s="667" t="s">
        <v>18</v>
      </c>
      <c r="W29" s="668">
        <f t="shared" si="14"/>
        <v>100</v>
      </c>
      <c r="X29" s="1259"/>
      <c r="Y29" s="3474"/>
      <c r="Z29" s="1258">
        <f t="shared" si="18"/>
        <v>111</v>
      </c>
      <c r="AA29" s="1258">
        <f t="shared" si="15"/>
        <v>1</v>
      </c>
      <c r="AB29" s="1258">
        <f t="shared" si="16"/>
        <v>1</v>
      </c>
      <c r="AC29" s="1258">
        <f t="shared" si="17"/>
        <v>1</v>
      </c>
    </row>
    <row r="30" spans="1:29" ht="15">
      <c r="A30" s="367"/>
      <c r="B30" s="1060">
        <v>111</v>
      </c>
      <c r="C30" s="373"/>
      <c r="D30" s="374">
        <v>100</v>
      </c>
      <c r="E30" s="373"/>
      <c r="F30" s="374">
        <f>SUMIF(96:96,E30,97:97)-SUMIF(96:96,C30,97:97)+100</f>
        <v>100</v>
      </c>
      <c r="G30" s="1756"/>
      <c r="H30" s="374">
        <f>SUMIF(96:96,G30,97:97)-SUMIF(96:96,C30,97:97)+100</f>
        <v>100</v>
      </c>
      <c r="I30" s="373"/>
      <c r="J30" s="374">
        <f>SUMIF(96:96,I30,97:97)-SUMIF(96:96,C30,97:97)+100</f>
        <v>100</v>
      </c>
      <c r="K30" s="1742"/>
      <c r="L30" s="2487"/>
      <c r="M30" s="2482"/>
      <c r="N30" s="2482"/>
      <c r="O30" s="2482"/>
      <c r="P30" s="3472"/>
      <c r="Q30" s="1257">
        <f t="shared" si="11"/>
        <v>111</v>
      </c>
      <c r="R30" s="667" t="s">
        <v>18</v>
      </c>
      <c r="S30" s="668">
        <f t="shared" si="12"/>
        <v>100</v>
      </c>
      <c r="T30" s="667" t="s">
        <v>18</v>
      </c>
      <c r="U30" s="668">
        <f t="shared" si="13"/>
        <v>100</v>
      </c>
      <c r="V30" s="667" t="s">
        <v>18</v>
      </c>
      <c r="W30" s="668">
        <f t="shared" si="14"/>
        <v>100</v>
      </c>
      <c r="X30" s="1259"/>
      <c r="Y30" s="3474"/>
      <c r="Z30" s="1258">
        <f t="shared" si="18"/>
        <v>111</v>
      </c>
      <c r="AA30" s="1258">
        <f t="shared" si="15"/>
        <v>1</v>
      </c>
      <c r="AB30" s="1258">
        <f t="shared" si="16"/>
        <v>1</v>
      </c>
      <c r="AC30" s="1258">
        <f t="shared" si="17"/>
        <v>1</v>
      </c>
    </row>
    <row r="31" spans="1:29" ht="15.75" thickBot="1">
      <c r="A31" s="375"/>
      <c r="B31" s="1060">
        <v>111</v>
      </c>
      <c r="C31" s="376"/>
      <c r="D31" s="377">
        <v>100</v>
      </c>
      <c r="E31" s="376"/>
      <c r="F31" s="377">
        <f>SUMIF(98:98,E31,99:99)-SUMIF(98:98,C31,99:99)+100</f>
        <v>100</v>
      </c>
      <c r="G31" s="1757"/>
      <c r="H31" s="377">
        <f>SUMIF(98:98,G31,99:99)-SUMIF(98:98,C31,99:99)+100</f>
        <v>100</v>
      </c>
      <c r="I31" s="376"/>
      <c r="J31" s="377">
        <f>SUMIF(98:98,I31,99:99)-SUMIF(98:98,C31,99:99)+100</f>
        <v>100</v>
      </c>
      <c r="K31" s="1742"/>
      <c r="L31" s="2487"/>
      <c r="M31" s="2482"/>
      <c r="N31" s="2482"/>
      <c r="O31" s="2482"/>
      <c r="P31" s="3472"/>
      <c r="Q31" s="1257">
        <f t="shared" si="11"/>
        <v>111</v>
      </c>
      <c r="R31" s="667" t="s">
        <v>18</v>
      </c>
      <c r="S31" s="668">
        <f t="shared" si="12"/>
        <v>100</v>
      </c>
      <c r="T31" s="667" t="s">
        <v>18</v>
      </c>
      <c r="U31" s="668">
        <f t="shared" si="13"/>
        <v>100</v>
      </c>
      <c r="V31" s="667" t="s">
        <v>18</v>
      </c>
      <c r="W31" s="668">
        <f t="shared" si="14"/>
        <v>100</v>
      </c>
      <c r="X31" s="1259"/>
      <c r="Y31" s="3474"/>
      <c r="Z31" s="1258">
        <f t="shared" si="18"/>
        <v>111</v>
      </c>
      <c r="AA31" s="1258">
        <f t="shared" si="15"/>
        <v>1</v>
      </c>
      <c r="AB31" s="1258">
        <f t="shared" si="16"/>
        <v>1</v>
      </c>
      <c r="AC31" s="1258">
        <f t="shared" si="17"/>
        <v>1</v>
      </c>
    </row>
    <row r="32" spans="1:29" ht="15">
      <c r="A32" s="379" t="s">
        <v>1690</v>
      </c>
      <c r="B32" s="60" t="s">
        <v>1691</v>
      </c>
      <c r="C32" s="1758"/>
      <c r="D32" s="405">
        <v>100</v>
      </c>
      <c r="E32" s="1759"/>
      <c r="F32" s="400">
        <f>SUMIF(100:100,E32,101:101)-SUMIF(100:100,C32,101:101)+100</f>
        <v>100</v>
      </c>
      <c r="G32" s="1758"/>
      <c r="H32" s="405">
        <f>SUMIF(100:100,G32,101:101)-SUMIF(100:100,C32,101:101)+100</f>
        <v>100</v>
      </c>
      <c r="I32" s="1759"/>
      <c r="J32" s="374">
        <f>SUMIF(100:100,I32,101:101)-SUMIF(100:100,C32,101:101)+100</f>
        <v>100</v>
      </c>
      <c r="K32" s="365"/>
      <c r="L32" s="2487"/>
      <c r="M32" s="2482"/>
      <c r="N32" s="2482"/>
      <c r="O32" s="2482"/>
      <c r="P32" s="3475" t="s">
        <v>1692</v>
      </c>
      <c r="Q32" s="1257" t="str">
        <f t="shared" si="11"/>
        <v>建筑类型</v>
      </c>
      <c r="R32" s="667" t="s">
        <v>18</v>
      </c>
      <c r="S32" s="668">
        <f t="shared" si="12"/>
        <v>100</v>
      </c>
      <c r="T32" s="667" t="s">
        <v>18</v>
      </c>
      <c r="U32" s="668">
        <f t="shared" si="13"/>
        <v>100</v>
      </c>
      <c r="V32" s="667" t="s">
        <v>18</v>
      </c>
      <c r="W32" s="668">
        <f t="shared" si="14"/>
        <v>100</v>
      </c>
      <c r="X32" s="1259"/>
      <c r="Y32" s="3478" t="s">
        <v>1692</v>
      </c>
      <c r="Z32" s="1258" t="str">
        <f t="shared" si="18"/>
        <v>建筑类型</v>
      </c>
      <c r="AA32" s="1258">
        <f t="shared" si="15"/>
        <v>1</v>
      </c>
      <c r="AB32" s="1258">
        <f t="shared" si="16"/>
        <v>1</v>
      </c>
      <c r="AC32" s="1258">
        <f t="shared" si="17"/>
        <v>1</v>
      </c>
    </row>
    <row r="33" spans="1:29" s="408" customFormat="1" ht="15">
      <c r="A33" s="406"/>
      <c r="B33" s="364" t="s">
        <v>1693</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2"/>
      <c r="L33" s="2486"/>
      <c r="M33" s="2488"/>
      <c r="N33" s="2488"/>
      <c r="O33" s="2488"/>
      <c r="P33" s="3476"/>
      <c r="Q33" s="531" t="str">
        <f t="shared" si="11"/>
        <v>项目建筑规模</v>
      </c>
      <c r="R33" s="669" t="s">
        <v>18</v>
      </c>
      <c r="S33" s="670">
        <f t="shared" si="12"/>
        <v>100</v>
      </c>
      <c r="T33" s="669" t="s">
        <v>18</v>
      </c>
      <c r="U33" s="670">
        <f t="shared" si="13"/>
        <v>100</v>
      </c>
      <c r="V33" s="669" t="s">
        <v>18</v>
      </c>
      <c r="W33" s="670">
        <f t="shared" si="14"/>
        <v>100</v>
      </c>
      <c r="X33" s="671"/>
      <c r="Y33" s="3478"/>
      <c r="Z33" s="672" t="str">
        <f t="shared" si="18"/>
        <v>项目建筑规模</v>
      </c>
      <c r="AA33" s="1258">
        <f t="shared" si="15"/>
        <v>1</v>
      </c>
      <c r="AB33" s="1258">
        <f t="shared" si="16"/>
        <v>1</v>
      </c>
      <c r="AC33" s="1258">
        <f t="shared" si="17"/>
        <v>1</v>
      </c>
    </row>
    <row r="34" spans="1:29" ht="15">
      <c r="A34" s="409"/>
      <c r="B34" s="364" t="s">
        <v>1694</v>
      </c>
      <c r="C34" s="399"/>
      <c r="D34" s="374">
        <v>100</v>
      </c>
      <c r="E34" s="1760"/>
      <c r="F34" s="400">
        <f>SUMIF(105:105,E34,106:106)-SUMIF(105:105,C34,106:106)+100</f>
        <v>100</v>
      </c>
      <c r="G34" s="399"/>
      <c r="H34" s="374">
        <f>SUMIF(105:105,G34,106:106)-SUMIF(105:105,C34,106:106)+100</f>
        <v>100</v>
      </c>
      <c r="I34" s="1760"/>
      <c r="J34" s="374">
        <f>SUMIF(105:105,I34,106:106)-SUMIF(105:105,C34,106:106)+100</f>
        <v>100</v>
      </c>
      <c r="K34" s="365"/>
      <c r="L34" s="2487"/>
      <c r="M34" s="2482"/>
      <c r="N34" s="2482"/>
      <c r="O34" s="2482"/>
      <c r="P34" s="3476"/>
      <c r="Q34" s="1257" t="str">
        <f t="shared" si="11"/>
        <v>建筑结构</v>
      </c>
      <c r="R34" s="667" t="s">
        <v>18</v>
      </c>
      <c r="S34" s="668">
        <f t="shared" si="12"/>
        <v>100</v>
      </c>
      <c r="T34" s="667" t="s">
        <v>18</v>
      </c>
      <c r="U34" s="668">
        <f t="shared" si="13"/>
        <v>100</v>
      </c>
      <c r="V34" s="667" t="s">
        <v>18</v>
      </c>
      <c r="W34" s="668">
        <f t="shared" si="14"/>
        <v>100</v>
      </c>
      <c r="X34" s="1259"/>
      <c r="Y34" s="3478"/>
      <c r="Z34" s="1258" t="str">
        <f t="shared" si="18"/>
        <v>建筑结构</v>
      </c>
      <c r="AA34" s="1258">
        <f t="shared" si="15"/>
        <v>1</v>
      </c>
      <c r="AB34" s="1258">
        <f t="shared" si="16"/>
        <v>1</v>
      </c>
      <c r="AC34" s="1258">
        <f t="shared" si="17"/>
        <v>1</v>
      </c>
    </row>
    <row r="35" spans="1:29" ht="15">
      <c r="A35" s="409"/>
      <c r="B35" s="364" t="s">
        <v>1695</v>
      </c>
      <c r="C35" s="1754"/>
      <c r="D35" s="374">
        <v>100</v>
      </c>
      <c r="E35" s="1755"/>
      <c r="F35" s="400">
        <f>SUMIF(107:107,E35,108:108)-SUMIF(107:107,C35,108:108)+100</f>
        <v>100</v>
      </c>
      <c r="G35" s="1754"/>
      <c r="H35" s="374">
        <f>SUMIF(107:107,G35,108:108)-SUMIF(107:107,C35,108:108)+100</f>
        <v>100</v>
      </c>
      <c r="I35" s="1755"/>
      <c r="J35" s="374">
        <f>SUMIF(107:107,I35,108:108)-SUMIF(107:107,C35,108:108)+100</f>
        <v>100</v>
      </c>
      <c r="K35" s="365"/>
      <c r="L35" s="2487"/>
      <c r="M35" s="2482"/>
      <c r="N35" s="2482"/>
      <c r="O35" s="2482"/>
      <c r="P35" s="3476"/>
      <c r="Q35" s="1257" t="str">
        <f t="shared" si="11"/>
        <v>建筑品质</v>
      </c>
      <c r="R35" s="667" t="s">
        <v>18</v>
      </c>
      <c r="S35" s="668">
        <f t="shared" si="12"/>
        <v>100</v>
      </c>
      <c r="T35" s="667" t="s">
        <v>18</v>
      </c>
      <c r="U35" s="668">
        <f t="shared" si="13"/>
        <v>100</v>
      </c>
      <c r="V35" s="667" t="s">
        <v>18</v>
      </c>
      <c r="W35" s="668">
        <f t="shared" si="14"/>
        <v>100</v>
      </c>
      <c r="X35" s="1259"/>
      <c r="Y35" s="3478"/>
      <c r="Z35" s="1258" t="str">
        <f t="shared" si="18"/>
        <v>建筑品质</v>
      </c>
      <c r="AA35" s="1258">
        <f t="shared" si="15"/>
        <v>1</v>
      </c>
      <c r="AB35" s="1258">
        <f t="shared" si="16"/>
        <v>1</v>
      </c>
      <c r="AC35" s="1258">
        <f t="shared" si="17"/>
        <v>1</v>
      </c>
    </row>
    <row r="36" spans="1:29" ht="15">
      <c r="A36" s="409"/>
      <c r="B36" s="364" t="s">
        <v>1696</v>
      </c>
      <c r="C36" s="1754"/>
      <c r="D36" s="374">
        <v>100</v>
      </c>
      <c r="E36" s="1755"/>
      <c r="F36" s="400">
        <f>SUMIF(109:109,E36,110:110)-SUMIF(109:109,C36,110:110)+100</f>
        <v>100</v>
      </c>
      <c r="G36" s="1754"/>
      <c r="H36" s="374">
        <f>SUMIF(109:109,G36,110:110)-SUMIF(109:109,C36,110:110)+100</f>
        <v>100</v>
      </c>
      <c r="I36" s="1755"/>
      <c r="J36" s="374">
        <f>SUMIF(109:109,I36,110:110)-SUMIF(109:109,C36,110:110)+100</f>
        <v>100</v>
      </c>
      <c r="K36" s="365"/>
      <c r="L36" s="2487"/>
      <c r="M36" s="2482"/>
      <c r="N36" s="2482"/>
      <c r="O36" s="2482"/>
      <c r="P36" s="3476"/>
      <c r="Q36" s="1257" t="str">
        <f t="shared" si="11"/>
        <v>公共部分装修</v>
      </c>
      <c r="R36" s="667" t="s">
        <v>18</v>
      </c>
      <c r="S36" s="668">
        <f t="shared" si="12"/>
        <v>100</v>
      </c>
      <c r="T36" s="667" t="s">
        <v>18</v>
      </c>
      <c r="U36" s="668">
        <f t="shared" si="13"/>
        <v>100</v>
      </c>
      <c r="V36" s="667" t="s">
        <v>18</v>
      </c>
      <c r="W36" s="668">
        <f t="shared" si="14"/>
        <v>100</v>
      </c>
      <c r="X36" s="1259"/>
      <c r="Y36" s="3478"/>
      <c r="Z36" s="1258" t="str">
        <f t="shared" si="18"/>
        <v>公共部分装修</v>
      </c>
      <c r="AA36" s="1258">
        <f t="shared" si="15"/>
        <v>1</v>
      </c>
      <c r="AB36" s="1258">
        <f t="shared" si="16"/>
        <v>1</v>
      </c>
      <c r="AC36" s="1258">
        <f t="shared" si="17"/>
        <v>1</v>
      </c>
    </row>
    <row r="37" spans="1:29" s="102" customFormat="1" ht="15">
      <c r="A37" s="410"/>
      <c r="B37" s="364" t="s">
        <v>1697</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3"/>
      <c r="M37" s="2434"/>
      <c r="N37" s="2434"/>
      <c r="O37" s="2434"/>
      <c r="P37" s="3476"/>
      <c r="Q37" s="530" t="str">
        <f t="shared" si="11"/>
        <v>成新度</v>
      </c>
      <c r="R37" s="664" t="s">
        <v>18</v>
      </c>
      <c r="S37" s="665">
        <f t="shared" si="12"/>
        <v>100</v>
      </c>
      <c r="T37" s="664" t="s">
        <v>18</v>
      </c>
      <c r="U37" s="665">
        <f t="shared" si="13"/>
        <v>100</v>
      </c>
      <c r="V37" s="664" t="s">
        <v>18</v>
      </c>
      <c r="W37" s="665">
        <f t="shared" si="14"/>
        <v>100</v>
      </c>
      <c r="X37" s="666"/>
      <c r="Y37" s="3478"/>
      <c r="Z37" s="50" t="str">
        <f t="shared" si="18"/>
        <v>成新度</v>
      </c>
      <c r="AA37" s="50">
        <f t="shared" si="15"/>
        <v>1</v>
      </c>
      <c r="AB37" s="50">
        <f t="shared" si="16"/>
        <v>1</v>
      </c>
      <c r="AC37" s="50">
        <f t="shared" si="17"/>
        <v>1</v>
      </c>
    </row>
    <row r="38" spans="1:29" ht="15">
      <c r="A38" s="409"/>
      <c r="B38" s="364" t="s">
        <v>1698</v>
      </c>
      <c r="C38" s="1754"/>
      <c r="D38" s="374">
        <v>100</v>
      </c>
      <c r="E38" s="1755"/>
      <c r="F38" s="400">
        <f>SUMIF(114:114,E38,115:115)-SUMIF(114:114,C38,115:115)+100</f>
        <v>100</v>
      </c>
      <c r="G38" s="1754"/>
      <c r="H38" s="374">
        <f>SUMIF(114:114,G38,115:115)-SUMIF(114:114,C38,115:115)+100</f>
        <v>100</v>
      </c>
      <c r="I38" s="1755"/>
      <c r="J38" s="374">
        <f>SUMIF(114:114,I38,115:115)-SUMIF(114:114,C38,115:115)+100</f>
        <v>100</v>
      </c>
      <c r="K38" s="365"/>
      <c r="L38" s="2487"/>
      <c r="M38" s="2482"/>
      <c r="N38" s="2482"/>
      <c r="O38" s="2482"/>
      <c r="P38" s="3476" t="s">
        <v>1692</v>
      </c>
      <c r="Q38" s="1257" t="str">
        <f t="shared" si="11"/>
        <v>物业管理</v>
      </c>
      <c r="R38" s="667" t="s">
        <v>18</v>
      </c>
      <c r="S38" s="668">
        <f t="shared" si="12"/>
        <v>100</v>
      </c>
      <c r="T38" s="667" t="s">
        <v>18</v>
      </c>
      <c r="U38" s="668">
        <f t="shared" si="13"/>
        <v>100</v>
      </c>
      <c r="V38" s="667" t="s">
        <v>18</v>
      </c>
      <c r="W38" s="668">
        <f t="shared" si="14"/>
        <v>100</v>
      </c>
      <c r="X38" s="1259"/>
      <c r="Y38" s="3478" t="s">
        <v>1692</v>
      </c>
      <c r="Z38" s="1258" t="str">
        <f t="shared" si="18"/>
        <v>物业管理</v>
      </c>
      <c r="AA38" s="1258">
        <f t="shared" si="15"/>
        <v>1</v>
      </c>
      <c r="AB38" s="1258">
        <f t="shared" si="16"/>
        <v>1</v>
      </c>
      <c r="AC38" s="1258">
        <f t="shared" si="17"/>
        <v>1</v>
      </c>
    </row>
    <row r="39" spans="1:29" ht="15">
      <c r="A39" s="409"/>
      <c r="B39" s="364" t="s">
        <v>1699</v>
      </c>
      <c r="C39" s="1754"/>
      <c r="D39" s="374">
        <v>100</v>
      </c>
      <c r="E39" s="1755"/>
      <c r="F39" s="400">
        <f>SUMIF(116:116,E39,117:117)-SUMIF(116:116,C39,117:117)+100</f>
        <v>100</v>
      </c>
      <c r="G39" s="1754"/>
      <c r="H39" s="374">
        <f>SUMIF(116:116,G39,117:117)-SUMIF(116:116,C39,117:117)+100</f>
        <v>100</v>
      </c>
      <c r="I39" s="1755"/>
      <c r="J39" s="374">
        <f>SUMIF(116:116,I39,117:117)-SUMIF(116:116,C39,117:117)+100</f>
        <v>100</v>
      </c>
      <c r="K39" s="365"/>
      <c r="L39" s="2487"/>
      <c r="M39" s="2482"/>
      <c r="N39" s="2482"/>
      <c r="O39" s="2482"/>
      <c r="P39" s="3476"/>
      <c r="Q39" s="1257" t="str">
        <f t="shared" si="11"/>
        <v>市政基础设施</v>
      </c>
      <c r="R39" s="667" t="s">
        <v>18</v>
      </c>
      <c r="S39" s="668">
        <f t="shared" si="12"/>
        <v>100</v>
      </c>
      <c r="T39" s="667" t="s">
        <v>18</v>
      </c>
      <c r="U39" s="668">
        <f t="shared" si="13"/>
        <v>100</v>
      </c>
      <c r="V39" s="667" t="s">
        <v>18</v>
      </c>
      <c r="W39" s="668">
        <f t="shared" si="14"/>
        <v>100</v>
      </c>
      <c r="X39" s="1259"/>
      <c r="Y39" s="3478"/>
      <c r="Z39" s="1258" t="str">
        <f t="shared" si="18"/>
        <v>市政基础设施</v>
      </c>
      <c r="AA39" s="1258">
        <f t="shared" si="15"/>
        <v>1</v>
      </c>
      <c r="AB39" s="1258">
        <f t="shared" si="16"/>
        <v>1</v>
      </c>
      <c r="AC39" s="1258">
        <f t="shared" si="17"/>
        <v>1</v>
      </c>
    </row>
    <row r="40" spans="1:29" ht="15">
      <c r="A40" s="409"/>
      <c r="B40" s="364" t="s">
        <v>1700</v>
      </c>
      <c r="C40" s="1754"/>
      <c r="D40" s="374">
        <v>100</v>
      </c>
      <c r="E40" s="1755"/>
      <c r="F40" s="400">
        <f>SUMIF(118:118,E40,119:119)-SUMIF(118:118,C40,119:119)+100</f>
        <v>100</v>
      </c>
      <c r="G40" s="1754"/>
      <c r="H40" s="374">
        <f>SUMIF(118:118,G40,119:119)-SUMIF(118:118,C40,119:119)+100</f>
        <v>100</v>
      </c>
      <c r="I40" s="1755"/>
      <c r="J40" s="374">
        <f>SUMIF(118:118,I40,119:119)-SUMIF(118:118,C40,119:119)+100</f>
        <v>100</v>
      </c>
      <c r="K40" s="365"/>
      <c r="L40" s="2487"/>
      <c r="M40" s="2482"/>
      <c r="N40" s="2482"/>
      <c r="O40" s="2482"/>
      <c r="P40" s="3476"/>
      <c r="Q40" s="1257" t="str">
        <f t="shared" si="11"/>
        <v>房型</v>
      </c>
      <c r="R40" s="667" t="s">
        <v>18</v>
      </c>
      <c r="S40" s="668">
        <f t="shared" si="12"/>
        <v>100</v>
      </c>
      <c r="T40" s="667" t="s">
        <v>18</v>
      </c>
      <c r="U40" s="668">
        <f t="shared" si="13"/>
        <v>100</v>
      </c>
      <c r="V40" s="667" t="s">
        <v>18</v>
      </c>
      <c r="W40" s="668">
        <f t="shared" si="14"/>
        <v>100</v>
      </c>
      <c r="X40" s="1259"/>
      <c r="Y40" s="3478"/>
      <c r="Z40" s="1258" t="str">
        <f t="shared" si="18"/>
        <v>房型</v>
      </c>
      <c r="AA40" s="1258">
        <f t="shared" si="15"/>
        <v>1</v>
      </c>
      <c r="AB40" s="1258">
        <f t="shared" si="16"/>
        <v>1</v>
      </c>
      <c r="AC40" s="1258">
        <f t="shared" si="17"/>
        <v>1</v>
      </c>
    </row>
    <row r="41" spans="1:29" s="408" customFormat="1" ht="28.5">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2"/>
      <c r="L41" s="2486"/>
      <c r="M41" s="2488"/>
      <c r="N41" s="2488"/>
      <c r="O41" s="2488"/>
      <c r="P41" s="3476"/>
      <c r="Q41" s="531" t="str">
        <f t="shared" si="11"/>
        <v>单套/主力户型建筑面积</v>
      </c>
      <c r="R41" s="669" t="s">
        <v>18</v>
      </c>
      <c r="S41" s="670">
        <f t="shared" si="12"/>
        <v>100</v>
      </c>
      <c r="T41" s="669" t="s">
        <v>18</v>
      </c>
      <c r="U41" s="670">
        <f t="shared" si="13"/>
        <v>100</v>
      </c>
      <c r="V41" s="669" t="s">
        <v>18</v>
      </c>
      <c r="W41" s="670">
        <f t="shared" si="14"/>
        <v>100</v>
      </c>
      <c r="X41" s="671"/>
      <c r="Y41" s="3478"/>
      <c r="Z41" s="672" t="str">
        <f t="shared" si="18"/>
        <v>单套/主力户型建筑面积</v>
      </c>
      <c r="AA41" s="1258">
        <f t="shared" si="15"/>
        <v>1</v>
      </c>
      <c r="AB41" s="1258">
        <f t="shared" si="16"/>
        <v>1</v>
      </c>
      <c r="AC41" s="1258">
        <f t="shared" si="17"/>
        <v>1</v>
      </c>
    </row>
    <row r="42" spans="1:29" ht="15">
      <c r="A42" s="409"/>
      <c r="B42" s="364" t="s">
        <v>1702</v>
      </c>
      <c r="C42" s="1754"/>
      <c r="D42" s="374">
        <v>100</v>
      </c>
      <c r="E42" s="1755"/>
      <c r="F42" s="400">
        <f>SUMIF(122:122,E42,123:123)-SUMIF(122:122,C42,123:123)+100</f>
        <v>100</v>
      </c>
      <c r="G42" s="1754"/>
      <c r="H42" s="374">
        <f>SUMIF(122:122,G42,123:123)-SUMIF(122:122,C42,123:123)+100</f>
        <v>100</v>
      </c>
      <c r="I42" s="1755"/>
      <c r="J42" s="374">
        <f>SUMIF(122:122,I42,123:123)-SUMIF(122:122,C42,123:123)+100</f>
        <v>100</v>
      </c>
      <c r="K42" s="365"/>
      <c r="L42" s="2487"/>
      <c r="M42" s="2482"/>
      <c r="N42" s="2482"/>
      <c r="O42" s="2482"/>
      <c r="P42" s="3476"/>
      <c r="Q42" s="1257" t="str">
        <f t="shared" si="11"/>
        <v>内部装修</v>
      </c>
      <c r="R42" s="667" t="s">
        <v>18</v>
      </c>
      <c r="S42" s="668">
        <f t="shared" si="12"/>
        <v>100</v>
      </c>
      <c r="T42" s="667" t="s">
        <v>18</v>
      </c>
      <c r="U42" s="668">
        <f t="shared" si="13"/>
        <v>100</v>
      </c>
      <c r="V42" s="667" t="s">
        <v>18</v>
      </c>
      <c r="W42" s="668">
        <f t="shared" si="14"/>
        <v>100</v>
      </c>
      <c r="X42" s="1259"/>
      <c r="Y42" s="3478"/>
      <c r="Z42" s="1258" t="str">
        <f t="shared" si="18"/>
        <v>内部装修</v>
      </c>
      <c r="AA42" s="1258">
        <f t="shared" si="15"/>
        <v>1</v>
      </c>
      <c r="AB42" s="1258">
        <f t="shared" si="16"/>
        <v>1</v>
      </c>
      <c r="AC42" s="1258">
        <f t="shared" si="17"/>
        <v>1</v>
      </c>
    </row>
    <row r="43" spans="1:29" ht="15">
      <c r="A43" s="409"/>
      <c r="B43" s="364" t="s">
        <v>1703</v>
      </c>
      <c r="C43" s="1754"/>
      <c r="D43" s="374">
        <v>100</v>
      </c>
      <c r="E43" s="1755"/>
      <c r="F43" s="400">
        <f>SUMIF(124:124,E43,125:125)-SUMIF(124:124,C43,125:125)+100</f>
        <v>100</v>
      </c>
      <c r="G43" s="1754"/>
      <c r="H43" s="374">
        <f>SUMIF(124:124,G43,125:125)-SUMIF(124:124,C43,125:125)+100</f>
        <v>100</v>
      </c>
      <c r="I43" s="1755"/>
      <c r="J43" s="374">
        <f>SUMIF(124:124,I43,125:125)-SUMIF(124:124,C43,125:125)+100</f>
        <v>100</v>
      </c>
      <c r="K43" s="365"/>
      <c r="L43" s="2487"/>
      <c r="M43" s="2482"/>
      <c r="N43" s="2482"/>
      <c r="O43" s="2482"/>
      <c r="P43" s="3476"/>
      <c r="Q43" s="1257" t="str">
        <f t="shared" si="11"/>
        <v>内部装修维护情况</v>
      </c>
      <c r="R43" s="667" t="s">
        <v>18</v>
      </c>
      <c r="S43" s="668">
        <f t="shared" si="12"/>
        <v>100</v>
      </c>
      <c r="T43" s="667" t="s">
        <v>18</v>
      </c>
      <c r="U43" s="668">
        <f t="shared" si="13"/>
        <v>100</v>
      </c>
      <c r="V43" s="667" t="s">
        <v>18</v>
      </c>
      <c r="W43" s="668">
        <f t="shared" si="14"/>
        <v>100</v>
      </c>
      <c r="X43" s="1259"/>
      <c r="Y43" s="3478"/>
      <c r="Z43" s="1258" t="str">
        <f t="shared" si="18"/>
        <v>内部装修维护情况</v>
      </c>
      <c r="AA43" s="1258">
        <f t="shared" si="15"/>
        <v>1</v>
      </c>
      <c r="AB43" s="1258">
        <f t="shared" si="16"/>
        <v>1</v>
      </c>
      <c r="AC43" s="1258">
        <f t="shared" si="17"/>
        <v>1</v>
      </c>
    </row>
    <row r="44" spans="1:29" s="102" customFormat="1" ht="15">
      <c r="A44" s="410"/>
      <c r="B44" s="1060">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3"/>
      <c r="M44" s="2434"/>
      <c r="N44" s="2434"/>
      <c r="O44" s="2434"/>
      <c r="P44" s="3476"/>
      <c r="Q44" s="530">
        <f t="shared" si="11"/>
        <v>111</v>
      </c>
      <c r="R44" s="664" t="s">
        <v>18</v>
      </c>
      <c r="S44" s="665">
        <f t="shared" si="12"/>
        <v>100</v>
      </c>
      <c r="T44" s="664" t="s">
        <v>18</v>
      </c>
      <c r="U44" s="665">
        <f t="shared" si="13"/>
        <v>100</v>
      </c>
      <c r="V44" s="664" t="s">
        <v>18</v>
      </c>
      <c r="W44" s="665">
        <f t="shared" si="14"/>
        <v>100</v>
      </c>
      <c r="X44" s="666"/>
      <c r="Y44" s="3478"/>
      <c r="Z44" s="50">
        <f t="shared" si="18"/>
        <v>111</v>
      </c>
      <c r="AA44" s="50">
        <f t="shared" si="15"/>
        <v>1</v>
      </c>
      <c r="AB44" s="50">
        <f t="shared" si="16"/>
        <v>1</v>
      </c>
      <c r="AC44" s="50">
        <f t="shared" si="17"/>
        <v>1</v>
      </c>
    </row>
    <row r="45" spans="1:29" ht="15">
      <c r="A45" s="409"/>
      <c r="B45" s="1060">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7"/>
      <c r="M45" s="2482"/>
      <c r="N45" s="2482"/>
      <c r="O45" s="2482"/>
      <c r="P45" s="3476"/>
      <c r="Q45" s="1257">
        <f t="shared" si="11"/>
        <v>111</v>
      </c>
      <c r="R45" s="667" t="s">
        <v>18</v>
      </c>
      <c r="S45" s="668">
        <f t="shared" si="12"/>
        <v>100</v>
      </c>
      <c r="T45" s="667" t="s">
        <v>18</v>
      </c>
      <c r="U45" s="668">
        <f t="shared" si="13"/>
        <v>100</v>
      </c>
      <c r="V45" s="667" t="s">
        <v>18</v>
      </c>
      <c r="W45" s="668">
        <f t="shared" si="14"/>
        <v>100</v>
      </c>
      <c r="X45" s="1259"/>
      <c r="Y45" s="3478"/>
      <c r="Z45" s="1258">
        <f t="shared" si="18"/>
        <v>111</v>
      </c>
      <c r="AA45" s="1258">
        <f t="shared" si="15"/>
        <v>1</v>
      </c>
      <c r="AB45" s="1258">
        <f t="shared" si="16"/>
        <v>1</v>
      </c>
      <c r="AC45" s="1258">
        <f t="shared" si="17"/>
        <v>1</v>
      </c>
    </row>
    <row r="46" spans="1:29" ht="15.75" thickBot="1">
      <c r="A46" s="415"/>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7"/>
      <c r="M46" s="2482"/>
      <c r="N46" s="2482"/>
      <c r="O46" s="2482"/>
      <c r="P46" s="3477"/>
      <c r="Q46" s="1257">
        <f t="shared" si="11"/>
        <v>111</v>
      </c>
      <c r="R46" s="667" t="s">
        <v>17</v>
      </c>
      <c r="S46" s="668">
        <f t="shared" si="12"/>
        <v>100</v>
      </c>
      <c r="T46" s="667" t="s">
        <v>17</v>
      </c>
      <c r="U46" s="668">
        <f t="shared" si="13"/>
        <v>100</v>
      </c>
      <c r="V46" s="667" t="s">
        <v>17</v>
      </c>
      <c r="W46" s="668">
        <f t="shared" si="14"/>
        <v>100</v>
      </c>
      <c r="X46" s="1259"/>
      <c r="Y46" s="3479"/>
      <c r="Z46" s="1258">
        <f t="shared" si="18"/>
        <v>111</v>
      </c>
      <c r="AA46" s="1258">
        <f t="shared" si="15"/>
        <v>1</v>
      </c>
      <c r="AB46" s="1258">
        <f t="shared" si="16"/>
        <v>1</v>
      </c>
      <c r="AC46" s="1258">
        <f t="shared" si="17"/>
        <v>1</v>
      </c>
    </row>
    <row r="47" spans="1:29" ht="15">
      <c r="A47" s="416" t="s">
        <v>1704</v>
      </c>
      <c r="B47" s="417"/>
      <c r="C47" s="1075" t="s">
        <v>16</v>
      </c>
      <c r="D47" s="418"/>
      <c r="E47" s="419">
        <f ca="1">典型户型修正!R25</f>
        <v>32078</v>
      </c>
      <c r="F47" s="420"/>
      <c r="G47" s="421">
        <f ca="1">典型户型修正!R25</f>
        <v>32078</v>
      </c>
      <c r="H47" s="422"/>
      <c r="I47" s="419">
        <f ca="1">典型户型修正!R25</f>
        <v>32078</v>
      </c>
      <c r="J47" s="422"/>
      <c r="K47" s="1761"/>
      <c r="L47" s="2489"/>
      <c r="M47" s="2482"/>
      <c r="N47" s="2482"/>
      <c r="O47" s="2482"/>
      <c r="P47" s="3466" t="str">
        <f>A47</f>
        <v>成交单价（元/平方米）</v>
      </c>
      <c r="Q47" s="3466"/>
      <c r="R47" s="3467">
        <f ca="1">E47</f>
        <v>32078</v>
      </c>
      <c r="S47" s="3467"/>
      <c r="T47" s="3467">
        <f ca="1">G47</f>
        <v>32078</v>
      </c>
      <c r="U47" s="3467"/>
      <c r="V47" s="3467">
        <f ca="1">I47</f>
        <v>32078</v>
      </c>
      <c r="W47" s="3467"/>
      <c r="X47" s="385"/>
      <c r="Y47" s="673"/>
      <c r="Z47" s="385"/>
      <c r="AA47" s="385"/>
      <c r="AB47" s="385"/>
      <c r="AC47" s="385"/>
    </row>
    <row r="48" spans="1:29" ht="15.75" thickBot="1">
      <c r="A48" s="423" t="s">
        <v>1705</v>
      </c>
      <c r="B48" s="424"/>
      <c r="C48" s="1076">
        <f ca="1">R49</f>
        <v>32078</v>
      </c>
      <c r="D48" s="2135" t="s">
        <v>2131</v>
      </c>
      <c r="E48" s="1077">
        <f ca="1">R48</f>
        <v>32078</v>
      </c>
      <c r="F48" s="2136"/>
      <c r="G48" s="1076">
        <f ca="1">T48</f>
        <v>32078</v>
      </c>
      <c r="H48" s="2136"/>
      <c r="I48" s="1077">
        <f ca="1">V48</f>
        <v>32078</v>
      </c>
      <c r="J48" s="2136"/>
      <c r="K48" s="2137">
        <f>F48+H48+J48</f>
        <v>0</v>
      </c>
      <c r="L48" s="2489"/>
      <c r="M48" s="2482"/>
      <c r="N48" s="2482"/>
      <c r="O48" s="2482"/>
      <c r="P48" s="3466" t="str">
        <f>A48</f>
        <v>比较价值（元/平方米）</v>
      </c>
      <c r="Q48" s="3466"/>
      <c r="R48" s="3467">
        <f ca="1">IF(F1="售价",ROUND(PRODUCT(R47,AA7:AA46),0),ROUND(PRODUCT(R47,AA7:AA46),1))</f>
        <v>32078</v>
      </c>
      <c r="S48" s="3467"/>
      <c r="T48" s="3467">
        <f ca="1">IF(F1="售价",ROUND(PRODUCT(T47,AB7:AB46),0),ROUND(PRODUCT(T47,AB7:AB46),1))</f>
        <v>32078</v>
      </c>
      <c r="U48" s="3467"/>
      <c r="V48" s="3467">
        <f ca="1">IF(F1="售价",ROUND(PRODUCT(V47,AC7:AC46),0),ROUND(PRODUCT(V47,AC7:AC46),1))</f>
        <v>32078</v>
      </c>
      <c r="W48" s="3467"/>
      <c r="X48" s="385"/>
      <c r="Y48" s="385"/>
      <c r="Z48" s="385"/>
      <c r="AA48" s="385"/>
      <c r="AB48" s="385"/>
      <c r="AC48" s="385"/>
    </row>
    <row r="49" spans="1:29" ht="15.75" thickBot="1">
      <c r="A49" s="427" t="s">
        <v>1706</v>
      </c>
      <c r="B49" s="428"/>
      <c r="C49" s="1078">
        <f ca="1">R49</f>
        <v>32078</v>
      </c>
      <c r="D49" s="351"/>
      <c r="E49" s="351"/>
      <c r="F49" s="351"/>
      <c r="G49" s="351"/>
      <c r="H49" s="351"/>
      <c r="I49" s="351"/>
      <c r="J49" s="351"/>
      <c r="K49" s="1762"/>
      <c r="L49" s="2489"/>
      <c r="M49" s="2482"/>
      <c r="N49" s="2482"/>
      <c r="O49" s="2482"/>
      <c r="P49" s="3468" t="str">
        <f>A49</f>
        <v>估价对象XX用房的比较价值（楼面单价，元/平方米）</v>
      </c>
      <c r="Q49" s="3469"/>
      <c r="R49" s="3470">
        <f ca="1">IF(F1="售价",ROUND(IF(D48="简单平均",AVERAGE(R48:V48),R48*F48+T48*H48+V48*J48),0),ROUND(IF(D48="简单平均",AVERAGE(R48:V48),R48*F48+T48*H48+V48*J48),1))</f>
        <v>32078</v>
      </c>
      <c r="S49" s="3470"/>
      <c r="T49" s="3470"/>
      <c r="U49" s="3470"/>
      <c r="V49" s="3470"/>
      <c r="W49" s="3470"/>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1707</v>
      </c>
      <c r="D52" s="433"/>
      <c r="E52" s="434">
        <f ca="1">IF(E47&lt;E48,E48/E47-1,E47/E48-1)</f>
        <v>0</v>
      </c>
      <c r="F52" s="435" t="str">
        <f ca="1">IF(OR(E52&gt;=0.3,E52&lt;=-0.3),"超过30%","")</f>
        <v/>
      </c>
      <c r="G52" s="434">
        <f ca="1">IF(G47&lt;G48,G48/G47-1,G47/G48-1)</f>
        <v>0</v>
      </c>
      <c r="H52" s="435" t="str">
        <f ca="1">IF(OR(G52&gt;=0.3,G52&lt;=-0.3),"超过30%","")</f>
        <v/>
      </c>
      <c r="I52" s="434">
        <f ca="1">IF(I47&lt;I48,I48/I47-1,I47/I48-1)</f>
        <v>0</v>
      </c>
      <c r="J52" s="435" t="str">
        <f ca="1">IF(OR(I52&gt;=0.3,I52&lt;=-0.3),"超过30%","")</f>
        <v/>
      </c>
      <c r="K52" s="2494"/>
      <c r="L52" s="2490"/>
      <c r="M52" s="2482"/>
      <c r="N52" s="2482"/>
      <c r="O52" s="2482"/>
    </row>
    <row r="53" spans="1:29" ht="13.5" customHeight="1">
      <c r="A53" s="2482"/>
      <c r="B53" s="2482"/>
      <c r="C53" s="432" t="s">
        <v>1708</v>
      </c>
      <c r="D53" s="436"/>
      <c r="E53" s="434">
        <f ca="1">IF(E48&lt;G48,G48/E48-1,E48/G48-1)</f>
        <v>0</v>
      </c>
      <c r="F53" s="435" t="str">
        <f ca="1">IF(OR(E53&gt;=0.2,E53&lt;=-0.2),"超过20%","")</f>
        <v/>
      </c>
      <c r="G53" s="434">
        <f ca="1">IF(G48&lt;I48,I48/G48-1,G48/I48-1)</f>
        <v>0</v>
      </c>
      <c r="H53" s="435" t="str">
        <f ca="1">IF(OR(G53&gt;=0.2,G53&lt;=-0.2),"超过20%","")</f>
        <v/>
      </c>
      <c r="I53" s="434">
        <f ca="1">IF(I48&lt;E48,E48/I48-1,I48/E48-1)</f>
        <v>0</v>
      </c>
      <c r="J53" s="435" t="str">
        <f ca="1">IF(OR(I53&gt;=0.2,I53&lt;=-0.2),"超过20%","")</f>
        <v/>
      </c>
      <c r="K53" s="2494"/>
      <c r="L53" s="2490"/>
      <c r="M53" s="2482"/>
      <c r="N53" s="2482"/>
      <c r="O53" s="2482"/>
    </row>
    <row r="54" spans="1:29" s="437" customFormat="1" ht="13.5" customHeight="1">
      <c r="A54" s="2492"/>
      <c r="B54" s="2492"/>
      <c r="C54" s="432" t="s">
        <v>1709</v>
      </c>
      <c r="D54" s="436"/>
      <c r="E54" s="434">
        <f ca="1">IF(E47&lt;G47,G47/E47-1,E47/G47-1)</f>
        <v>0</v>
      </c>
      <c r="F54" s="435" t="str">
        <f ca="1">IF(OR(E54&gt;=0.3,E54&lt;=-0.3),"超过30%","")</f>
        <v/>
      </c>
      <c r="G54" s="434">
        <f ca="1">IF(G47&lt;I47,I47/G47-1,G47/I47-1)</f>
        <v>0</v>
      </c>
      <c r="H54" s="435" t="str">
        <f ca="1">IF(OR(G54&gt;=0.3,G54&lt;=-0.3),"超过30%","")</f>
        <v/>
      </c>
      <c r="I54" s="434">
        <f ca="1">IF(I47&lt;E47,E47/I47-1,I47/E47-1)</f>
        <v>0</v>
      </c>
      <c r="J54" s="435" t="str">
        <f ca="1">IF(OR(I54&gt;=0.3,I54&lt;=-0.3),"超过30%","")</f>
        <v/>
      </c>
      <c r="K54" s="2497"/>
      <c r="L54" s="2491"/>
      <c r="M54" s="2492"/>
      <c r="N54" s="2492"/>
      <c r="O54" s="2492"/>
      <c r="P54" s="1764"/>
    </row>
    <row r="55" spans="1:29" s="437" customFormat="1">
      <c r="A55" s="2492"/>
      <c r="B55" s="2495"/>
      <c r="C55" s="2496"/>
      <c r="D55" s="2492"/>
      <c r="E55" s="2492"/>
      <c r="F55" s="2492"/>
      <c r="G55" s="2492"/>
      <c r="H55" s="2492"/>
      <c r="I55" s="2492"/>
      <c r="J55" s="2492"/>
      <c r="K55" s="2497"/>
      <c r="L55" s="2491"/>
      <c r="M55" s="2492"/>
      <c r="N55" s="2492"/>
      <c r="O55" s="2492"/>
      <c r="P55" s="1764"/>
    </row>
    <row r="56" spans="1:29">
      <c r="A56" s="2482"/>
      <c r="B56" s="2495"/>
      <c r="C56" s="2496"/>
      <c r="D56" s="2482"/>
      <c r="E56" s="2482"/>
      <c r="F56" s="2482"/>
      <c r="G56" s="2482"/>
      <c r="H56" s="2482"/>
      <c r="I56" s="2482"/>
      <c r="J56" s="2482"/>
      <c r="K56" s="2494"/>
      <c r="L56" s="2490"/>
      <c r="M56" s="2482"/>
      <c r="N56" s="2482"/>
      <c r="O56" s="2482"/>
    </row>
    <row r="57" spans="1:29" ht="21.75" thickBot="1">
      <c r="A57" s="658" t="s">
        <v>1710</v>
      </c>
      <c r="B57" s="385"/>
      <c r="C57" s="659"/>
      <c r="D57" s="659"/>
      <c r="E57" s="659"/>
      <c r="F57" s="660"/>
      <c r="G57" s="660"/>
      <c r="H57" s="659"/>
      <c r="I57" s="659"/>
      <c r="J57" s="659"/>
      <c r="K57" s="881"/>
      <c r="L57" s="882"/>
      <c r="M57" s="880"/>
      <c r="N57" s="880"/>
      <c r="O57" s="880"/>
      <c r="P57" s="1765"/>
      <c r="Q57" s="439"/>
    </row>
    <row r="58" spans="1:29" s="442" customFormat="1" ht="15">
      <c r="A58" s="440" t="s">
        <v>1711</v>
      </c>
      <c r="B58" s="441"/>
      <c r="C58" s="1099" t="str">
        <f>YEAR(C7)&amp;"-"&amp;MONTH(C7)</f>
        <v>2025-8</v>
      </c>
      <c r="D58" s="1098">
        <f>EDATE(C58,-1)</f>
        <v>45839</v>
      </c>
      <c r="E58" s="1098">
        <f>EDATE(D58,-1)</f>
        <v>45809</v>
      </c>
      <c r="F58" s="1098">
        <f t="shared" ref="F58:O58" si="19">EDATE(E58,-1)</f>
        <v>45778</v>
      </c>
      <c r="G58" s="1098">
        <f t="shared" si="19"/>
        <v>45748</v>
      </c>
      <c r="H58" s="1098">
        <f t="shared" si="19"/>
        <v>45717</v>
      </c>
      <c r="I58" s="1098">
        <f t="shared" si="19"/>
        <v>45689</v>
      </c>
      <c r="J58" s="1098">
        <f t="shared" si="19"/>
        <v>45658</v>
      </c>
      <c r="K58" s="1098">
        <f t="shared" si="19"/>
        <v>45627</v>
      </c>
      <c r="L58" s="1098">
        <f t="shared" si="19"/>
        <v>45597</v>
      </c>
      <c r="M58" s="1098">
        <f t="shared" si="19"/>
        <v>45566</v>
      </c>
      <c r="N58" s="1098">
        <f t="shared" si="19"/>
        <v>45536</v>
      </c>
      <c r="O58" s="1098">
        <f t="shared" si="19"/>
        <v>45505</v>
      </c>
      <c r="P58" s="1094"/>
    </row>
    <row r="59" spans="1:29" s="102" customFormat="1" ht="15">
      <c r="A59" s="443"/>
      <c r="B59" s="1766"/>
      <c r="C59" s="1096">
        <v>100</v>
      </c>
      <c r="D59" s="445"/>
      <c r="E59" s="446"/>
      <c r="F59" s="446"/>
      <c r="G59" s="446"/>
      <c r="H59" s="446"/>
      <c r="I59" s="446"/>
      <c r="J59" s="446"/>
      <c r="K59" s="446"/>
      <c r="L59" s="446"/>
      <c r="M59" s="447"/>
      <c r="N59" s="446"/>
      <c r="O59" s="447"/>
      <c r="P59" s="1767"/>
    </row>
    <row r="60" spans="1:29" s="102" customFormat="1" ht="15.75" thickBot="1">
      <c r="A60" s="449" t="s">
        <v>1712</v>
      </c>
      <c r="B60" s="450"/>
      <c r="C60" s="451"/>
      <c r="D60" s="452"/>
      <c r="E60" s="452"/>
      <c r="F60" s="452"/>
      <c r="G60" s="452"/>
      <c r="H60" s="452"/>
      <c r="I60" s="452"/>
      <c r="J60" s="452"/>
      <c r="K60" s="452"/>
      <c r="L60" s="452"/>
      <c r="M60" s="453"/>
      <c r="N60" s="452"/>
      <c r="O60" s="453"/>
      <c r="P60" s="1767"/>
      <c r="Q60" s="439"/>
    </row>
    <row r="61" spans="1:29" s="102" customFormat="1" ht="15">
      <c r="A61" s="455" t="s">
        <v>1713</v>
      </c>
      <c r="B61" s="444"/>
      <c r="C61" s="456" t="s">
        <v>1714</v>
      </c>
      <c r="D61" s="31"/>
      <c r="E61" s="31"/>
      <c r="F61" s="31"/>
      <c r="G61" s="31"/>
      <c r="H61" s="31"/>
      <c r="I61" s="31"/>
      <c r="J61" s="31"/>
      <c r="K61" s="31"/>
      <c r="L61" s="457"/>
      <c r="M61" s="458"/>
      <c r="N61" s="872"/>
      <c r="O61" s="872"/>
      <c r="P61" s="1768"/>
      <c r="Q61" s="439"/>
    </row>
    <row r="62" spans="1:29" s="102" customFormat="1" ht="15.75" thickBot="1">
      <c r="A62" s="455"/>
      <c r="B62" s="444"/>
      <c r="C62" s="445">
        <v>100</v>
      </c>
      <c r="D62" s="446"/>
      <c r="E62" s="446"/>
      <c r="F62" s="446"/>
      <c r="G62" s="446"/>
      <c r="H62" s="446"/>
      <c r="I62" s="446"/>
      <c r="J62" s="446"/>
      <c r="K62" s="446"/>
      <c r="L62" s="446"/>
      <c r="M62" s="448"/>
      <c r="N62" s="872"/>
      <c r="O62" s="872"/>
      <c r="P62" s="1767"/>
      <c r="Q62" s="439"/>
    </row>
    <row r="63" spans="1:29">
      <c r="A63" s="379" t="s">
        <v>1715</v>
      </c>
      <c r="B63" s="460" t="s">
        <v>1681</v>
      </c>
      <c r="C63" s="461">
        <f>C9</f>
        <v>0</v>
      </c>
      <c r="D63" s="462"/>
      <c r="E63" s="462"/>
      <c r="F63" s="462"/>
      <c r="G63" s="462"/>
      <c r="H63" s="462"/>
      <c r="I63" s="462"/>
      <c r="J63" s="462"/>
      <c r="K63" s="463"/>
      <c r="L63" s="464"/>
      <c r="M63" s="465"/>
      <c r="N63" s="873"/>
      <c r="O63" s="873"/>
      <c r="P63" s="1769"/>
      <c r="Q63" s="439"/>
    </row>
    <row r="64" spans="1:29" ht="15.75" thickBot="1">
      <c r="A64" s="367"/>
      <c r="B64" s="466"/>
      <c r="C64" s="467">
        <v>100</v>
      </c>
      <c r="D64" s="467"/>
      <c r="E64" s="467"/>
      <c r="F64" s="467"/>
      <c r="G64" s="467"/>
      <c r="H64" s="467"/>
      <c r="I64" s="467"/>
      <c r="J64" s="467"/>
      <c r="K64" s="467"/>
      <c r="L64" s="467"/>
      <c r="M64" s="468"/>
      <c r="N64" s="874"/>
      <c r="O64" s="874"/>
      <c r="P64" s="1769"/>
      <c r="Q64" s="439"/>
    </row>
    <row r="65" spans="1:17" ht="27.75" thickTop="1">
      <c r="A65" s="367"/>
      <c r="B65" s="469" t="s">
        <v>1684</v>
      </c>
      <c r="C65" s="513"/>
      <c r="D65" s="513"/>
      <c r="E65" s="513"/>
      <c r="F65" s="513"/>
      <c r="G65" s="513"/>
      <c r="H65" s="513"/>
      <c r="I65" s="513"/>
      <c r="J65" s="513"/>
      <c r="K65" s="513"/>
      <c r="L65" s="513"/>
      <c r="M65" s="513"/>
      <c r="N65" s="874"/>
      <c r="O65" s="874"/>
      <c r="P65" s="1769"/>
      <c r="Q65" s="439"/>
    </row>
    <row r="66" spans="1:17" ht="15.75" thickBot="1">
      <c r="A66" s="367"/>
      <c r="B66" s="474"/>
      <c r="C66" s="467"/>
      <c r="D66" s="467"/>
      <c r="E66" s="467"/>
      <c r="F66" s="467"/>
      <c r="G66" s="467"/>
      <c r="H66" s="467"/>
      <c r="I66" s="467"/>
      <c r="J66" s="467"/>
      <c r="K66" s="467"/>
      <c r="L66" s="467"/>
      <c r="M66" s="468"/>
      <c r="N66" s="874"/>
      <c r="O66" s="874"/>
      <c r="P66" s="1769"/>
      <c r="Q66" s="439"/>
    </row>
    <row r="67" spans="1:17" ht="15.75" thickTop="1">
      <c r="A67" s="367"/>
      <c r="B67" s="477" t="s">
        <v>1685</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4"/>
      <c r="O67" s="874"/>
      <c r="P67" s="1769"/>
      <c r="Q67" s="439"/>
    </row>
    <row r="68" spans="1:17" ht="15">
      <c r="A68" s="367"/>
      <c r="B68" s="479"/>
      <c r="C68" s="480">
        <v>0</v>
      </c>
      <c r="D68" s="480"/>
      <c r="E68" s="480"/>
      <c r="F68" s="480"/>
      <c r="G68" s="480"/>
      <c r="H68" s="480"/>
      <c r="I68" s="480"/>
      <c r="J68" s="480"/>
      <c r="K68" s="481"/>
      <c r="L68" s="482"/>
      <c r="M68" s="483"/>
      <c r="N68" s="873"/>
      <c r="O68" s="873"/>
      <c r="P68" s="1769"/>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4"/>
      <c r="O69" s="874"/>
      <c r="P69" s="1769"/>
      <c r="Q69" s="439"/>
    </row>
    <row r="70" spans="1:17" s="408" customFormat="1" ht="15.75" thickTop="1">
      <c r="A70" s="484"/>
      <c r="B70" s="469">
        <f>B12</f>
        <v>111</v>
      </c>
      <c r="C70" s="485"/>
      <c r="D70" s="485"/>
      <c r="E70" s="485"/>
      <c r="F70" s="485"/>
      <c r="G70" s="485"/>
      <c r="H70" s="486"/>
      <c r="I70" s="486"/>
      <c r="J70" s="486"/>
      <c r="K70" s="486"/>
      <c r="L70" s="487"/>
      <c r="M70" s="488"/>
      <c r="N70" s="875"/>
      <c r="O70" s="875"/>
      <c r="P70" s="1770"/>
      <c r="Q70" s="490"/>
    </row>
    <row r="71" spans="1:17" s="408" customFormat="1" ht="15.75" thickBot="1">
      <c r="A71" s="484"/>
      <c r="B71" s="474"/>
      <c r="C71" s="491"/>
      <c r="D71" s="467"/>
      <c r="E71" s="467"/>
      <c r="F71" s="467"/>
      <c r="G71" s="467"/>
      <c r="H71" s="467"/>
      <c r="I71" s="467"/>
      <c r="J71" s="467"/>
      <c r="K71" s="467"/>
      <c r="L71" s="467"/>
      <c r="M71" s="468"/>
      <c r="N71" s="874"/>
      <c r="O71" s="874"/>
      <c r="P71" s="1770"/>
      <c r="Q71" s="490"/>
    </row>
    <row r="72" spans="1:17" s="408" customFormat="1" ht="15.75" thickTop="1">
      <c r="A72" s="484"/>
      <c r="B72" s="469">
        <f>B13</f>
        <v>111</v>
      </c>
      <c r="C72" s="485"/>
      <c r="D72" s="485"/>
      <c r="E72" s="485"/>
      <c r="F72" s="485"/>
      <c r="G72" s="485"/>
      <c r="H72" s="486"/>
      <c r="I72" s="486"/>
      <c r="J72" s="486"/>
      <c r="K72" s="486"/>
      <c r="L72" s="487"/>
      <c r="M72" s="488"/>
      <c r="N72" s="875"/>
      <c r="O72" s="875"/>
      <c r="P72" s="1771"/>
      <c r="Q72" s="492"/>
    </row>
    <row r="73" spans="1:17" s="408" customFormat="1" ht="15.75" thickBot="1">
      <c r="A73" s="484"/>
      <c r="B73" s="474"/>
      <c r="C73" s="491"/>
      <c r="D73" s="491"/>
      <c r="E73" s="491"/>
      <c r="F73" s="491"/>
      <c r="G73" s="491"/>
      <c r="H73" s="493"/>
      <c r="I73" s="493"/>
      <c r="J73" s="493"/>
      <c r="K73" s="493"/>
      <c r="L73" s="493"/>
      <c r="M73" s="494"/>
      <c r="N73" s="875"/>
      <c r="O73" s="875"/>
      <c r="P73" s="1770"/>
      <c r="Q73" s="490"/>
    </row>
    <row r="74" spans="1:17" s="408" customFormat="1" ht="15.75" thickTop="1">
      <c r="A74" s="484"/>
      <c r="B74" s="477">
        <f>B14</f>
        <v>111</v>
      </c>
      <c r="C74" s="485"/>
      <c r="D74" s="485"/>
      <c r="E74" s="485"/>
      <c r="F74" s="485"/>
      <c r="G74" s="31"/>
      <c r="H74" s="495"/>
      <c r="I74" s="495"/>
      <c r="J74" s="495"/>
      <c r="K74" s="495"/>
      <c r="L74" s="496"/>
      <c r="M74" s="497"/>
      <c r="N74" s="875"/>
      <c r="O74" s="875"/>
      <c r="P74" s="1772"/>
      <c r="Q74" s="490"/>
    </row>
    <row r="75" spans="1:17" s="408" customFormat="1" ht="15.75" thickBot="1">
      <c r="A75" s="499"/>
      <c r="B75" s="500"/>
      <c r="C75" s="501"/>
      <c r="D75" s="501"/>
      <c r="E75" s="501"/>
      <c r="F75" s="501"/>
      <c r="G75" s="501"/>
      <c r="H75" s="502"/>
      <c r="I75" s="502"/>
      <c r="J75" s="502"/>
      <c r="K75" s="502"/>
      <c r="L75" s="502"/>
      <c r="M75" s="503"/>
      <c r="N75" s="875"/>
      <c r="O75" s="875"/>
      <c r="P75" s="1770"/>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3"/>
      <c r="O76" s="873"/>
      <c r="P76" s="1773"/>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4"/>
      <c r="O77" s="874"/>
      <c r="P77" s="1769"/>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3"/>
      <c r="O78" s="873"/>
      <c r="P78" s="1769"/>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4"/>
      <c r="O79" s="874"/>
      <c r="P79" s="1769"/>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3"/>
      <c r="O80" s="873"/>
      <c r="P80" s="1769"/>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4"/>
      <c r="O81" s="874"/>
      <c r="P81" s="1769"/>
      <c r="Q81" s="439"/>
    </row>
    <row r="82" spans="1:17" ht="15.75" thickTop="1">
      <c r="A82" s="367"/>
      <c r="B82" s="477" t="s">
        <v>1256</v>
      </c>
      <c r="C82" s="470" t="s">
        <v>1724</v>
      </c>
      <c r="D82" s="470" t="s">
        <v>1725</v>
      </c>
      <c r="E82" s="470" t="s">
        <v>1726</v>
      </c>
      <c r="F82" s="470" t="s">
        <v>1727</v>
      </c>
      <c r="G82" s="470" t="s">
        <v>1728</v>
      </c>
      <c r="H82" s="470"/>
      <c r="I82" s="470"/>
      <c r="J82" s="470"/>
      <c r="K82" s="470"/>
      <c r="L82" s="470"/>
      <c r="M82" s="1057"/>
      <c r="N82" s="874"/>
      <c r="O82" s="874"/>
      <c r="P82" s="1769"/>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4"/>
      <c r="O83" s="874"/>
      <c r="P83" s="1769"/>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3"/>
      <c r="O84" s="873"/>
      <c r="P84" s="1769"/>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4"/>
      <c r="O85" s="874"/>
      <c r="P85" s="1769"/>
      <c r="Q85" s="439"/>
    </row>
    <row r="86" spans="1:17" s="102" customFormat="1" ht="15.75" thickTop="1">
      <c r="A86" s="370"/>
      <c r="B86" s="469" t="s">
        <v>1730</v>
      </c>
      <c r="C86" s="485"/>
      <c r="D86" s="485"/>
      <c r="E86" s="485"/>
      <c r="F86" s="485"/>
      <c r="G86" s="485"/>
      <c r="H86" s="485"/>
      <c r="I86" s="485"/>
      <c r="J86" s="485"/>
      <c r="K86" s="485"/>
      <c r="L86" s="510"/>
      <c r="M86" s="511"/>
      <c r="N86" s="872"/>
      <c r="O86" s="872"/>
      <c r="P86" s="1769"/>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4"/>
      <c r="O87" s="874"/>
      <c r="P87" s="1769"/>
      <c r="Q87" s="439"/>
    </row>
    <row r="88" spans="1:17" s="102" customFormat="1" ht="15.75" thickTop="1">
      <c r="A88" s="370"/>
      <c r="B88" s="469" t="s">
        <v>1731</v>
      </c>
      <c r="C88" s="485"/>
      <c r="D88" s="485"/>
      <c r="E88" s="485"/>
      <c r="F88" s="1774"/>
      <c r="G88" s="485"/>
      <c r="H88" s="485"/>
      <c r="I88" s="485"/>
      <c r="J88" s="485"/>
      <c r="K88" s="485"/>
      <c r="L88" s="485"/>
      <c r="M88" s="511"/>
      <c r="N88" s="872"/>
      <c r="O88" s="872"/>
      <c r="P88" s="1769"/>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4"/>
      <c r="O89" s="874"/>
      <c r="P89" s="1769"/>
      <c r="Q89" s="439"/>
    </row>
    <row r="90" spans="1:17" s="408" customFormat="1" ht="15.75" thickTop="1">
      <c r="A90" s="484"/>
      <c r="B90" s="469">
        <f>B27</f>
        <v>111</v>
      </c>
      <c r="C90" s="485"/>
      <c r="D90" s="485"/>
      <c r="E90" s="485"/>
      <c r="F90" s="485"/>
      <c r="G90" s="485"/>
      <c r="H90" s="486"/>
      <c r="I90" s="486"/>
      <c r="J90" s="486"/>
      <c r="K90" s="486"/>
      <c r="L90" s="487"/>
      <c r="M90" s="488"/>
      <c r="N90" s="875"/>
      <c r="O90" s="875"/>
      <c r="P90" s="1770"/>
      <c r="Q90" s="490"/>
    </row>
    <row r="91" spans="1:17" s="408" customFormat="1" ht="15.75" thickBot="1">
      <c r="A91" s="484"/>
      <c r="B91" s="474"/>
      <c r="C91" s="491"/>
      <c r="D91" s="491"/>
      <c r="E91" s="491"/>
      <c r="F91" s="491"/>
      <c r="G91" s="491"/>
      <c r="H91" s="493"/>
      <c r="I91" s="493"/>
      <c r="J91" s="493"/>
      <c r="K91" s="493"/>
      <c r="L91" s="493"/>
      <c r="M91" s="494"/>
      <c r="N91" s="875"/>
      <c r="O91" s="875"/>
      <c r="P91" s="1770"/>
      <c r="Q91" s="490"/>
    </row>
    <row r="92" spans="1:17" ht="15.75" thickTop="1">
      <c r="A92" s="367"/>
      <c r="B92" s="469">
        <f>B28</f>
        <v>111</v>
      </c>
      <c r="C92" s="485"/>
      <c r="D92" s="485"/>
      <c r="E92" s="485"/>
      <c r="F92" s="485"/>
      <c r="G92" s="513"/>
      <c r="H92" s="513"/>
      <c r="I92" s="513"/>
      <c r="J92" s="513"/>
      <c r="K92" s="514"/>
      <c r="L92" s="515"/>
      <c r="M92" s="516"/>
      <c r="N92" s="873"/>
      <c r="O92" s="873"/>
      <c r="P92" s="1769"/>
      <c r="Q92" s="439"/>
    </row>
    <row r="93" spans="1:17" ht="15.75" thickBot="1">
      <c r="A93" s="367"/>
      <c r="B93" s="474"/>
      <c r="C93" s="491"/>
      <c r="D93" s="467"/>
      <c r="E93" s="467"/>
      <c r="F93" s="467"/>
      <c r="G93" s="467"/>
      <c r="H93" s="467"/>
      <c r="I93" s="467"/>
      <c r="J93" s="467"/>
      <c r="K93" s="467"/>
      <c r="L93" s="467"/>
      <c r="M93" s="468"/>
      <c r="N93" s="874"/>
      <c r="O93" s="874"/>
      <c r="P93" s="1769"/>
      <c r="Q93" s="439"/>
    </row>
    <row r="94" spans="1:17" ht="15.75" thickTop="1">
      <c r="A94" s="367"/>
      <c r="B94" s="469">
        <f>B29</f>
        <v>111</v>
      </c>
      <c r="C94" s="485"/>
      <c r="D94" s="485"/>
      <c r="E94" s="485"/>
      <c r="F94" s="485"/>
      <c r="G94" s="513"/>
      <c r="H94" s="513"/>
      <c r="I94" s="513"/>
      <c r="J94" s="513"/>
      <c r="K94" s="514"/>
      <c r="L94" s="515"/>
      <c r="M94" s="516"/>
      <c r="N94" s="873"/>
      <c r="O94" s="873"/>
      <c r="P94" s="1769"/>
      <c r="Q94" s="439"/>
    </row>
    <row r="95" spans="1:17" ht="15.75" thickBot="1">
      <c r="A95" s="367"/>
      <c r="B95" s="474"/>
      <c r="C95" s="491"/>
      <c r="D95" s="491"/>
      <c r="E95" s="491"/>
      <c r="F95" s="491"/>
      <c r="G95" s="467"/>
      <c r="H95" s="467"/>
      <c r="I95" s="467"/>
      <c r="J95" s="467"/>
      <c r="K95" s="467"/>
      <c r="L95" s="467"/>
      <c r="M95" s="468"/>
      <c r="N95" s="874"/>
      <c r="O95" s="874"/>
      <c r="P95" s="1769"/>
      <c r="Q95" s="439"/>
    </row>
    <row r="96" spans="1:17" ht="15.75" thickTop="1">
      <c r="A96" s="367"/>
      <c r="B96" s="469">
        <f>B30</f>
        <v>111</v>
      </c>
      <c r="C96" s="485"/>
      <c r="D96" s="485"/>
      <c r="E96" s="485"/>
      <c r="F96" s="485"/>
      <c r="G96" s="513"/>
      <c r="H96" s="513"/>
      <c r="I96" s="513"/>
      <c r="J96" s="513"/>
      <c r="K96" s="514"/>
      <c r="L96" s="515"/>
      <c r="M96" s="516"/>
      <c r="N96" s="873"/>
      <c r="O96" s="873"/>
      <c r="P96" s="1769"/>
      <c r="Q96" s="439"/>
    </row>
    <row r="97" spans="1:17" ht="15.75" thickBot="1">
      <c r="A97" s="367"/>
      <c r="B97" s="474"/>
      <c r="C97" s="501"/>
      <c r="D97" s="501"/>
      <c r="E97" s="501"/>
      <c r="F97" s="501"/>
      <c r="G97" s="467"/>
      <c r="H97" s="467"/>
      <c r="I97" s="467"/>
      <c r="J97" s="467"/>
      <c r="K97" s="467"/>
      <c r="L97" s="467"/>
      <c r="M97" s="468"/>
      <c r="N97" s="874"/>
      <c r="O97" s="874"/>
      <c r="P97" s="1769"/>
      <c r="Q97" s="439"/>
    </row>
    <row r="98" spans="1:17" ht="15.75" thickTop="1">
      <c r="A98" s="367"/>
      <c r="B98" s="477">
        <f>B31</f>
        <v>111</v>
      </c>
      <c r="C98" s="517"/>
      <c r="D98" s="517"/>
      <c r="E98" s="517"/>
      <c r="F98" s="517"/>
      <c r="G98" s="517"/>
      <c r="H98" s="517"/>
      <c r="I98" s="517"/>
      <c r="J98" s="517"/>
      <c r="K98" s="518"/>
      <c r="L98" s="519"/>
      <c r="M98" s="520"/>
      <c r="N98" s="873"/>
      <c r="O98" s="873"/>
      <c r="P98" s="1769"/>
      <c r="Q98" s="439"/>
    </row>
    <row r="99" spans="1:17" ht="15.75" thickBot="1">
      <c r="A99" s="375"/>
      <c r="B99" s="500"/>
      <c r="C99" s="521"/>
      <c r="D99" s="521"/>
      <c r="E99" s="521"/>
      <c r="F99" s="521"/>
      <c r="G99" s="521"/>
      <c r="H99" s="521"/>
      <c r="I99" s="521"/>
      <c r="J99" s="521"/>
      <c r="K99" s="521"/>
      <c r="L99" s="521"/>
      <c r="M99" s="522"/>
      <c r="N99" s="874"/>
      <c r="O99" s="874"/>
      <c r="P99" s="1769"/>
      <c r="Q99" s="439"/>
    </row>
    <row r="100" spans="1:17">
      <c r="A100" s="379" t="s">
        <v>1690</v>
      </c>
      <c r="B100" s="460" t="s">
        <v>1732</v>
      </c>
      <c r="C100" s="462"/>
      <c r="D100" s="462"/>
      <c r="E100" s="462"/>
      <c r="F100" s="462"/>
      <c r="G100" s="462"/>
      <c r="H100" s="462"/>
      <c r="I100" s="462"/>
      <c r="J100" s="462"/>
      <c r="K100" s="463"/>
      <c r="L100" s="464"/>
      <c r="M100" s="465"/>
      <c r="N100" s="873"/>
      <c r="O100" s="873"/>
      <c r="P100" s="1769"/>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4"/>
      <c r="O101" s="874"/>
      <c r="P101" s="1769"/>
      <c r="Q101" s="439"/>
    </row>
    <row r="102" spans="1:17" ht="15.75" thickTop="1">
      <c r="A102" s="367"/>
      <c r="B102" s="469" t="s">
        <v>1733</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2"/>
      <c r="O102" s="872"/>
      <c r="P102" s="1769"/>
      <c r="Q102" s="439"/>
    </row>
    <row r="103" spans="1:17" s="408" customFormat="1">
      <c r="A103" s="406"/>
      <c r="B103" s="523"/>
      <c r="C103" s="6">
        <v>0</v>
      </c>
      <c r="D103" s="6"/>
      <c r="E103" s="6"/>
      <c r="F103" s="6"/>
      <c r="G103" s="6"/>
      <c r="H103" s="6"/>
      <c r="I103" s="6"/>
      <c r="J103" s="524"/>
      <c r="K103" s="524"/>
      <c r="L103" s="525"/>
      <c r="M103" s="526"/>
      <c r="N103" s="875"/>
      <c r="O103" s="875"/>
      <c r="P103" s="1770"/>
      <c r="Q103" s="490"/>
    </row>
    <row r="104" spans="1:17" s="408" customFormat="1" ht="15.75" thickBot="1">
      <c r="A104" s="484"/>
      <c r="B104" s="474"/>
      <c r="C104" s="491">
        <v>100</v>
      </c>
      <c r="D104" s="467"/>
      <c r="E104" s="467"/>
      <c r="F104" s="467"/>
      <c r="G104" s="467"/>
      <c r="H104" s="467"/>
      <c r="I104" s="467"/>
      <c r="J104" s="467"/>
      <c r="K104" s="467"/>
      <c r="L104" s="467"/>
      <c r="M104" s="467"/>
      <c r="N104" s="874"/>
      <c r="O104" s="874"/>
      <c r="P104" s="1770"/>
      <c r="Q104" s="490"/>
    </row>
    <row r="105" spans="1:17" ht="15" thickTop="1">
      <c r="A105" s="409"/>
      <c r="B105" s="469" t="s">
        <v>1734</v>
      </c>
      <c r="C105" s="485"/>
      <c r="D105" s="485"/>
      <c r="E105" s="513"/>
      <c r="F105" s="513"/>
      <c r="G105" s="513"/>
      <c r="H105" s="513"/>
      <c r="I105" s="513"/>
      <c r="J105" s="513"/>
      <c r="K105" s="514"/>
      <c r="L105" s="515"/>
      <c r="M105" s="516"/>
      <c r="N105" s="873"/>
      <c r="O105" s="873"/>
      <c r="P105" s="1769"/>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4"/>
      <c r="O106" s="874"/>
      <c r="P106" s="1769"/>
      <c r="Q106" s="439"/>
    </row>
    <row r="107" spans="1:17" ht="15" thickTop="1">
      <c r="A107" s="409"/>
      <c r="B107" s="469" t="s">
        <v>1735</v>
      </c>
      <c r="C107" s="513"/>
      <c r="D107" s="513"/>
      <c r="E107" s="513"/>
      <c r="F107" s="513"/>
      <c r="G107" s="513"/>
      <c r="H107" s="513"/>
      <c r="I107" s="513"/>
      <c r="J107" s="513"/>
      <c r="K107" s="514"/>
      <c r="L107" s="515"/>
      <c r="M107" s="516"/>
      <c r="N107" s="873"/>
      <c r="O107" s="873"/>
      <c r="P107" s="1769"/>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4"/>
      <c r="O108" s="874"/>
      <c r="P108" s="1769"/>
      <c r="Q108" s="439"/>
    </row>
    <row r="109" spans="1:17" ht="15" thickTop="1">
      <c r="A109" s="409"/>
      <c r="B109" s="469" t="s">
        <v>1736</v>
      </c>
      <c r="C109" s="485"/>
      <c r="D109" s="485"/>
      <c r="E109" s="485"/>
      <c r="F109" s="513"/>
      <c r="G109" s="513"/>
      <c r="H109" s="513"/>
      <c r="I109" s="513"/>
      <c r="J109" s="513"/>
      <c r="K109" s="514"/>
      <c r="L109" s="515"/>
      <c r="M109" s="516"/>
      <c r="N109" s="873"/>
      <c r="O109" s="873"/>
      <c r="P109" s="1769"/>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4"/>
      <c r="O110" s="874"/>
      <c r="P110" s="1769"/>
      <c r="Q110" s="439"/>
    </row>
    <row r="111" spans="1:17" s="408" customFormat="1" ht="15" thickTop="1">
      <c r="A111" s="406"/>
      <c r="B111" s="469" t="s">
        <v>1186</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5"/>
      <c r="O111" s="875"/>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5"/>
      <c r="O112" s="875"/>
      <c r="P112" s="1770"/>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5"/>
      <c r="O113" s="875"/>
      <c r="P113" s="1770"/>
      <c r="Q113" s="490"/>
    </row>
    <row r="114" spans="1:17" ht="15" thickTop="1">
      <c r="A114" s="409"/>
      <c r="B114" s="469" t="s">
        <v>1737</v>
      </c>
      <c r="C114" s="485"/>
      <c r="D114" s="485"/>
      <c r="E114" s="513"/>
      <c r="F114" s="513"/>
      <c r="G114" s="513"/>
      <c r="H114" s="513"/>
      <c r="I114" s="513"/>
      <c r="J114" s="513"/>
      <c r="K114" s="514"/>
      <c r="L114" s="515"/>
      <c r="M114" s="516"/>
      <c r="N114" s="873"/>
      <c r="O114" s="873"/>
      <c r="P114" s="1769"/>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4"/>
      <c r="O115" s="874"/>
      <c r="P115" s="1769"/>
      <c r="Q115" s="439"/>
    </row>
    <row r="116" spans="1:17" ht="15" thickTop="1">
      <c r="A116" s="409"/>
      <c r="B116" s="469" t="s">
        <v>1738</v>
      </c>
      <c r="C116" s="485"/>
      <c r="D116" s="485"/>
      <c r="E116" s="485"/>
      <c r="F116" s="485"/>
      <c r="G116" s="485"/>
      <c r="H116" s="513"/>
      <c r="I116" s="513"/>
      <c r="J116" s="513"/>
      <c r="K116" s="514"/>
      <c r="L116" s="515"/>
      <c r="M116" s="516"/>
      <c r="N116" s="873"/>
      <c r="O116" s="873"/>
      <c r="P116" s="1769"/>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4"/>
      <c r="O117" s="874"/>
      <c r="P117" s="1769"/>
      <c r="Q117" s="439"/>
    </row>
    <row r="118" spans="1:17" ht="15" thickTop="1">
      <c r="A118" s="409"/>
      <c r="B118" s="469" t="s">
        <v>1739</v>
      </c>
      <c r="C118" s="513"/>
      <c r="D118" s="513"/>
      <c r="E118" s="513"/>
      <c r="F118" s="513"/>
      <c r="G118" s="513"/>
      <c r="H118" s="513"/>
      <c r="I118" s="513"/>
      <c r="J118" s="513"/>
      <c r="K118" s="514"/>
      <c r="L118" s="515"/>
      <c r="M118" s="516"/>
      <c r="N118" s="873"/>
      <c r="O118" s="873"/>
      <c r="P118" s="1769"/>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4"/>
      <c r="O119" s="874"/>
      <c r="P119" s="1769"/>
      <c r="Q119" s="439"/>
    </row>
    <row r="120" spans="1:17" s="408" customFormat="1" ht="28.5" thickTop="1">
      <c r="A120" s="406"/>
      <c r="B120" s="469" t="s">
        <v>1701</v>
      </c>
      <c r="C120" s="485"/>
      <c r="D120" s="485"/>
      <c r="E120" s="485"/>
      <c r="F120" s="485"/>
      <c r="G120" s="485"/>
      <c r="H120" s="485"/>
      <c r="I120" s="485"/>
      <c r="J120" s="485"/>
      <c r="K120" s="485"/>
      <c r="L120" s="510"/>
      <c r="M120" s="511"/>
      <c r="N120" s="875"/>
      <c r="O120" s="875"/>
      <c r="P120" s="1770"/>
      <c r="Q120" s="490"/>
    </row>
    <row r="121" spans="1:17" s="408" customFormat="1" ht="15.75" thickBot="1">
      <c r="A121" s="484"/>
      <c r="B121" s="466"/>
      <c r="C121" s="491"/>
      <c r="D121" s="467"/>
      <c r="E121" s="467"/>
      <c r="F121" s="467"/>
      <c r="G121" s="467"/>
      <c r="H121" s="467"/>
      <c r="I121" s="467"/>
      <c r="J121" s="467"/>
      <c r="K121" s="467"/>
      <c r="L121" s="467"/>
      <c r="M121" s="467"/>
      <c r="N121" s="875"/>
      <c r="O121" s="875"/>
      <c r="P121" s="1770"/>
      <c r="Q121" s="490"/>
    </row>
    <row r="122" spans="1:17" ht="15" thickTop="1">
      <c r="A122" s="409"/>
      <c r="B122" s="469" t="s">
        <v>1740</v>
      </c>
      <c r="C122" s="485"/>
      <c r="D122" s="485"/>
      <c r="E122" s="485"/>
      <c r="F122" s="513"/>
      <c r="G122" s="513"/>
      <c r="H122" s="513"/>
      <c r="I122" s="513"/>
      <c r="J122" s="513"/>
      <c r="K122" s="514"/>
      <c r="L122" s="515"/>
      <c r="M122" s="516"/>
      <c r="N122" s="873"/>
      <c r="O122" s="873"/>
      <c r="P122" s="1769"/>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4"/>
      <c r="O123" s="874"/>
      <c r="P123" s="1769"/>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3"/>
      <c r="O124" s="873"/>
      <c r="P124" s="1770"/>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4"/>
      <c r="O125" s="874"/>
      <c r="P125" s="1769"/>
      <c r="Q125" s="439"/>
    </row>
    <row r="126" spans="1:17" s="408" customFormat="1" ht="15" thickTop="1">
      <c r="A126" s="406"/>
      <c r="B126" s="469">
        <f>B44</f>
        <v>111</v>
      </c>
      <c r="C126" s="485"/>
      <c r="D126" s="485"/>
      <c r="E126" s="485"/>
      <c r="F126" s="485"/>
      <c r="G126" s="485"/>
      <c r="H126" s="486"/>
      <c r="I126" s="486"/>
      <c r="J126" s="486"/>
      <c r="K126" s="486"/>
      <c r="L126" s="487"/>
      <c r="M126" s="488"/>
      <c r="N126" s="875"/>
      <c r="O126" s="875"/>
      <c r="P126" s="1770"/>
      <c r="Q126" s="490"/>
    </row>
    <row r="127" spans="1:17" s="408" customFormat="1" ht="15.75" thickBot="1">
      <c r="A127" s="484"/>
      <c r="B127" s="474"/>
      <c r="C127" s="491"/>
      <c r="D127" s="467"/>
      <c r="E127" s="467"/>
      <c r="F127" s="467"/>
      <c r="G127" s="491"/>
      <c r="H127" s="493"/>
      <c r="I127" s="493"/>
      <c r="J127" s="493"/>
      <c r="K127" s="493"/>
      <c r="L127" s="493"/>
      <c r="M127" s="494"/>
      <c r="N127" s="875"/>
      <c r="O127" s="875"/>
      <c r="P127" s="1770"/>
      <c r="Q127" s="490"/>
    </row>
    <row r="128" spans="1:17" ht="15" thickTop="1">
      <c r="A128" s="409"/>
      <c r="B128" s="469">
        <f>B45</f>
        <v>111</v>
      </c>
      <c r="C128" s="485"/>
      <c r="D128" s="485"/>
      <c r="E128" s="485"/>
      <c r="F128" s="485"/>
      <c r="G128" s="513"/>
      <c r="H128" s="513"/>
      <c r="I128" s="513"/>
      <c r="J128" s="513"/>
      <c r="K128" s="514"/>
      <c r="L128" s="515"/>
      <c r="M128" s="516"/>
      <c r="N128" s="873"/>
      <c r="O128" s="873"/>
      <c r="P128" s="1769"/>
      <c r="Q128" s="439"/>
    </row>
    <row r="129" spans="1:17" ht="15.75" thickBot="1">
      <c r="A129" s="367"/>
      <c r="B129" s="474"/>
      <c r="C129" s="491"/>
      <c r="D129" s="491"/>
      <c r="E129" s="491"/>
      <c r="F129" s="491"/>
      <c r="G129" s="467"/>
      <c r="H129" s="467"/>
      <c r="I129" s="467"/>
      <c r="J129" s="467"/>
      <c r="K129" s="467"/>
      <c r="L129" s="467"/>
      <c r="M129" s="468"/>
      <c r="N129" s="874"/>
      <c r="O129" s="874"/>
      <c r="P129" s="1769"/>
      <c r="Q129" s="439"/>
    </row>
    <row r="130" spans="1:17" ht="15" thickTop="1">
      <c r="A130" s="409"/>
      <c r="B130" s="477">
        <f>B46</f>
        <v>111</v>
      </c>
      <c r="C130" s="485"/>
      <c r="D130" s="485"/>
      <c r="E130" s="485"/>
      <c r="F130" s="485"/>
      <c r="G130" s="517"/>
      <c r="H130" s="517"/>
      <c r="I130" s="517"/>
      <c r="J130" s="517"/>
      <c r="K130" s="31"/>
      <c r="L130" s="457"/>
      <c r="M130" s="520"/>
      <c r="N130" s="873"/>
      <c r="O130" s="873"/>
      <c r="P130" s="1769"/>
      <c r="Q130" s="439"/>
    </row>
    <row r="131" spans="1:17" ht="15.75" thickBot="1">
      <c r="A131" s="375"/>
      <c r="B131" s="500"/>
      <c r="C131" s="501"/>
      <c r="D131" s="501"/>
      <c r="E131" s="501"/>
      <c r="F131" s="501"/>
      <c r="G131" s="521"/>
      <c r="H131" s="521"/>
      <c r="I131" s="521"/>
      <c r="J131" s="521"/>
      <c r="K131" s="521"/>
      <c r="L131" s="521"/>
      <c r="M131" s="522"/>
      <c r="N131" s="874"/>
      <c r="O131" s="874"/>
      <c r="P131" s="1769"/>
      <c r="Q131" s="439"/>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9" t="s">
        <v>1745</v>
      </c>
      <c r="D138" s="129" t="s">
        <v>1746</v>
      </c>
      <c r="E138" s="1783" t="s">
        <v>1747</v>
      </c>
      <c r="F138" s="1784" t="s">
        <v>1748</v>
      </c>
      <c r="G138" s="129" t="s">
        <v>1746</v>
      </c>
      <c r="H138" s="130" t="s">
        <v>1747</v>
      </c>
      <c r="I138" s="1785"/>
      <c r="J138" s="129" t="s">
        <v>1749</v>
      </c>
      <c r="K138" s="130" t="s">
        <v>1750</v>
      </c>
    </row>
    <row r="139" spans="1:17" ht="15">
      <c r="B139" s="808">
        <v>6</v>
      </c>
      <c r="C139" s="809">
        <v>96</v>
      </c>
      <c r="D139" s="1786" t="s">
        <v>1751</v>
      </c>
      <c r="E139" s="810">
        <v>100</v>
      </c>
      <c r="F139" s="811">
        <v>102.5</v>
      </c>
      <c r="G139" s="1786" t="s">
        <v>1751</v>
      </c>
      <c r="H139" s="812">
        <v>105</v>
      </c>
      <c r="I139" s="1787" t="s">
        <v>1752</v>
      </c>
      <c r="J139" s="809">
        <v>20</v>
      </c>
      <c r="K139" s="813">
        <f>C145/(J139-2)</f>
        <v>4.0555555555555553E-3</v>
      </c>
    </row>
    <row r="140" spans="1:17" ht="15">
      <c r="B140" s="814">
        <v>5</v>
      </c>
      <c r="C140" s="815">
        <v>100</v>
      </c>
      <c r="D140" s="815"/>
      <c r="E140" s="816"/>
      <c r="F140" s="817">
        <v>102</v>
      </c>
      <c r="G140" s="815"/>
      <c r="H140" s="818"/>
      <c r="I140" s="1788" t="s">
        <v>1753</v>
      </c>
      <c r="J140" s="263">
        <f>ROUNDUP((J139-1)/2,0)</f>
        <v>10</v>
      </c>
      <c r="K140" s="819">
        <v>100</v>
      </c>
    </row>
    <row r="141" spans="1:17" ht="15">
      <c r="B141" s="814">
        <v>4</v>
      </c>
      <c r="C141" s="815">
        <v>102</v>
      </c>
      <c r="D141" s="815"/>
      <c r="E141" s="816"/>
      <c r="F141" s="817">
        <v>101.5</v>
      </c>
      <c r="G141" s="815"/>
      <c r="H141" s="818"/>
      <c r="I141" s="1788" t="s">
        <v>1754</v>
      </c>
      <c r="J141" s="263">
        <v>1</v>
      </c>
      <c r="K141" s="820">
        <f>ROUND(100+(J141-J140)*K139*100,1)</f>
        <v>96.4</v>
      </c>
    </row>
    <row r="142" spans="1:17" ht="15">
      <c r="B142" s="814">
        <v>3</v>
      </c>
      <c r="C142" s="815">
        <v>103</v>
      </c>
      <c r="D142" s="815"/>
      <c r="E142" s="816"/>
      <c r="F142" s="817">
        <v>101</v>
      </c>
      <c r="G142" s="815"/>
      <c r="H142" s="818"/>
      <c r="I142" s="1788" t="s">
        <v>1755</v>
      </c>
      <c r="J142" s="263">
        <f>J139</f>
        <v>20</v>
      </c>
      <c r="K142" s="821">
        <v>95</v>
      </c>
    </row>
    <row r="143" spans="1:17" ht="15">
      <c r="B143" s="814">
        <v>2</v>
      </c>
      <c r="C143" s="815">
        <v>100</v>
      </c>
      <c r="D143" s="815"/>
      <c r="E143" s="816"/>
      <c r="F143" s="817">
        <v>100.5</v>
      </c>
      <c r="G143" s="815"/>
      <c r="H143" s="818"/>
      <c r="I143" s="1788" t="s">
        <v>1756</v>
      </c>
      <c r="J143" s="815">
        <v>15</v>
      </c>
      <c r="K143" s="820">
        <f>ROUND(100+(J143-J140)*K139*100,1)</f>
        <v>102</v>
      </c>
    </row>
    <row r="144" spans="1:17" ht="15">
      <c r="B144" s="814">
        <v>1</v>
      </c>
      <c r="C144" s="815">
        <v>98</v>
      </c>
      <c r="D144" s="1789" t="s">
        <v>1757</v>
      </c>
      <c r="E144" s="816">
        <v>102</v>
      </c>
      <c r="F144" s="822">
        <v>100</v>
      </c>
      <c r="G144" s="1789" t="s">
        <v>1757</v>
      </c>
      <c r="H144" s="818">
        <v>105</v>
      </c>
      <c r="I144" s="1788" t="s">
        <v>1756</v>
      </c>
      <c r="J144" s="815">
        <v>18</v>
      </c>
      <c r="K144" s="820">
        <f>ROUND(100+(J144-J140)*K139*100,1)</f>
        <v>103.2</v>
      </c>
    </row>
    <row r="145" spans="2:11" ht="15.75" thickBot="1">
      <c r="B145" s="1790" t="s">
        <v>1758</v>
      </c>
      <c r="C145" s="823">
        <f>ROUND(MAX(C139:C144)/MIN(C139:C144)-1,3)</f>
        <v>7.2999999999999995E-2</v>
      </c>
      <c r="D145" s="824"/>
      <c r="E145" s="824"/>
      <c r="F145" s="1791" t="s">
        <v>1759</v>
      </c>
      <c r="G145" s="1792"/>
      <c r="H145" s="1793"/>
      <c r="I145" s="1794" t="s">
        <v>1756</v>
      </c>
      <c r="J145" s="825">
        <v>8</v>
      </c>
      <c r="K145" s="826">
        <f>ROUND(100+(J145-J140)*K139*100,1)</f>
        <v>99.2</v>
      </c>
    </row>
    <row r="147" spans="2:11">
      <c r="B147" s="1775" t="s">
        <v>1760</v>
      </c>
    </row>
    <row r="148" spans="2:11">
      <c r="B148" s="1775"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19" t="s">
        <v>2077</v>
      </c>
      <c r="B1" s="4"/>
      <c r="C1" s="4"/>
      <c r="D1" s="4"/>
      <c r="E1" s="4"/>
      <c r="F1" s="2539"/>
      <c r="G1" s="2539"/>
      <c r="H1" s="2539"/>
      <c r="I1" s="2539"/>
      <c r="J1" s="2539"/>
      <c r="K1" s="2539"/>
      <c r="L1" s="2539"/>
      <c r="M1" s="2539"/>
      <c r="N1" s="2539"/>
      <c r="O1" s="2539"/>
      <c r="P1" s="2539"/>
    </row>
    <row r="2" spans="1:16" ht="15.75">
      <c r="A2" s="1978" t="s">
        <v>2069</v>
      </c>
      <c r="B2" s="2382">
        <f ca="1">SUMIF(B6:B13,"&lt;&gt;#ref!",B6:B13)</f>
        <v>4807</v>
      </c>
      <c r="C2" s="1978" t="s">
        <v>2070</v>
      </c>
      <c r="D2" s="1978" t="s">
        <v>2071</v>
      </c>
      <c r="E2" s="2392">
        <f ca="1">SUMIF(E6:E13,"&lt;&gt;#ref!",E6:E13)</f>
        <v>0</v>
      </c>
      <c r="F2" s="2539"/>
      <c r="G2" s="2539"/>
      <c r="H2" s="2539"/>
      <c r="I2" s="2539"/>
      <c r="J2" s="2539"/>
      <c r="K2" s="2539"/>
      <c r="L2" s="2539"/>
      <c r="M2" s="2539"/>
      <c r="N2" s="2539"/>
      <c r="O2" s="2539"/>
      <c r="P2" s="2539"/>
    </row>
    <row r="3" spans="1:16" ht="15.75">
      <c r="A3" s="1978" t="s">
        <v>2072</v>
      </c>
      <c r="B3" s="2382" t="e">
        <f ca="1">ROUND(B2*10000/E2,0)</f>
        <v>#DIV/0!</v>
      </c>
      <c r="C3" s="1978" t="s">
        <v>2078</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2073</v>
      </c>
      <c r="B5" s="2390" t="s">
        <v>2074</v>
      </c>
      <c r="C5" s="1979"/>
      <c r="D5" s="2539"/>
      <c r="E5" s="2391" t="s">
        <v>2075</v>
      </c>
      <c r="F5" s="2539"/>
      <c r="G5" s="2539"/>
      <c r="H5" s="2539"/>
      <c r="I5" s="2539"/>
      <c r="J5" s="2539"/>
      <c r="K5" s="2539"/>
      <c r="L5" s="2539"/>
      <c r="M5" s="2539"/>
      <c r="N5" s="2539"/>
      <c r="O5" s="2539"/>
      <c r="P5" s="2539"/>
    </row>
    <row r="6" spans="1:16" ht="15.75">
      <c r="A6" s="2389" t="s">
        <v>2076</v>
      </c>
      <c r="B6" s="2382">
        <f ca="1">SUMIF(INDIRECT("'"&amp;A6&amp;"'"&amp;"!A:A"),"总价",INDIRECT("'"&amp;A6&amp;"'"&amp;"!B:B"))</f>
        <v>4807</v>
      </c>
      <c r="C6" s="1978" t="s">
        <v>2070</v>
      </c>
      <c r="D6" s="2539"/>
      <c r="E6" s="2392">
        <f ca="1">SUMIF(INDIRECT("'"&amp;A6&amp;"'"&amp;"!C:C"),"建筑面积",INDIRECT("'"&amp;A6&amp;"'"&amp;"!D:D"))</f>
        <v>0</v>
      </c>
      <c r="F6" s="2539"/>
      <c r="G6" s="2539"/>
      <c r="H6" s="2539"/>
      <c r="I6" s="2539"/>
      <c r="J6" s="2539"/>
      <c r="K6" s="2539"/>
      <c r="L6" s="2539"/>
      <c r="M6" s="2539"/>
      <c r="N6" s="2539"/>
      <c r="O6" s="2539"/>
      <c r="P6" s="2539"/>
    </row>
    <row r="7" spans="1:16" ht="15.75">
      <c r="A7" s="2389"/>
      <c r="B7" s="2382" t="e">
        <f ca="1">SUMIF(INDIRECT("'"&amp;A7&amp;"'"&amp;"!A:A"),"总价",INDIRECT("'"&amp;A7&amp;"'"&amp;"!B:B"))</f>
        <v>#REF!</v>
      </c>
      <c r="C7" s="1978" t="s">
        <v>2070</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8" t="s">
        <v>2070</v>
      </c>
      <c r="D8" s="2539"/>
      <c r="E8" s="2392" t="e">
        <f t="shared" ca="1" si="0"/>
        <v>#REF!</v>
      </c>
      <c r="F8" s="2539"/>
      <c r="G8" s="2539"/>
      <c r="H8" s="2539"/>
      <c r="I8" s="2539"/>
      <c r="J8" s="2539"/>
      <c r="K8" s="2539"/>
      <c r="L8" s="2539"/>
      <c r="M8" s="2539"/>
      <c r="N8" s="2539"/>
      <c r="O8" s="2539"/>
      <c r="P8" s="2539"/>
    </row>
    <row r="9" spans="1:16" ht="15.75">
      <c r="A9" s="2389"/>
      <c r="B9" s="2382" t="e">
        <f t="shared" ca="1" si="1"/>
        <v>#REF!</v>
      </c>
      <c r="C9" s="1978" t="s">
        <v>2070</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8" t="s">
        <v>2070</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8" t="s">
        <v>2070</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8" t="s">
        <v>2070</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8" t="s">
        <v>2070</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2578</v>
      </c>
      <c r="B1" s="2806" t="s">
        <v>2579</v>
      </c>
      <c r="C1" s="2806" t="s">
        <v>2580</v>
      </c>
      <c r="D1" s="2806" t="s">
        <v>2581</v>
      </c>
      <c r="E1" s="2806" t="s">
        <v>2582</v>
      </c>
      <c r="F1" s="2806" t="s">
        <v>2583</v>
      </c>
      <c r="G1" s="2806" t="s">
        <v>2584</v>
      </c>
      <c r="H1" s="2806" t="s">
        <v>2585</v>
      </c>
      <c r="I1" s="2806" t="s">
        <v>2586</v>
      </c>
      <c r="J1" s="2806" t="s">
        <v>2587</v>
      </c>
      <c r="K1" s="2806" t="s">
        <v>2588</v>
      </c>
      <c r="L1" s="2806" t="s">
        <v>2589</v>
      </c>
      <c r="M1" s="2807" t="s">
        <v>2590</v>
      </c>
    </row>
    <row r="2" spans="1:13" ht="19.5" customHeight="1">
      <c r="A2" s="2809" t="s">
        <v>2591</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2592</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2593</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2594</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2595</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2596</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2597</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2598</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2599</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2600</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2601</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2602</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2603</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2604</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2605</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2606</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2607</v>
      </c>
      <c r="B18" s="2831"/>
      <c r="C18" s="2832"/>
      <c r="D18" s="2832"/>
      <c r="E18" s="2831"/>
      <c r="F18" s="2832"/>
      <c r="G18" s="2832"/>
    </row>
    <row r="19" spans="1:13" ht="19.5" customHeight="1" thickBot="1">
      <c r="A19" s="2829" t="s">
        <v>2608</v>
      </c>
      <c r="B19" s="2834" t="s">
        <v>2609</v>
      </c>
      <c r="C19" s="2834" t="s">
        <v>2610</v>
      </c>
      <c r="D19" s="2835"/>
      <c r="E19" s="2829" t="s">
        <v>2611</v>
      </c>
      <c r="F19" s="2836"/>
      <c r="G19" s="2836"/>
    </row>
    <row r="20" spans="1:13" ht="19.5" customHeight="1">
      <c r="A20" s="3578" t="s">
        <v>2591</v>
      </c>
      <c r="B20" s="3571" t="s">
        <v>2612</v>
      </c>
      <c r="C20" s="3162" t="s">
        <v>2423</v>
      </c>
      <c r="D20" s="3162"/>
      <c r="E20" s="2839">
        <v>1</v>
      </c>
      <c r="F20" s="2840" t="s">
        <v>2424</v>
      </c>
      <c r="G20" s="2840"/>
    </row>
    <row r="21" spans="1:13" ht="19.5" customHeight="1">
      <c r="A21" s="3579"/>
      <c r="B21" s="3567"/>
      <c r="C21" s="2852" t="s">
        <v>2425</v>
      </c>
      <c r="D21" s="2852"/>
      <c r="E21" s="2843">
        <v>1</v>
      </c>
      <c r="F21" s="2840" t="s">
        <v>2426</v>
      </c>
      <c r="G21" s="2840"/>
    </row>
    <row r="22" spans="1:13" ht="19.5" customHeight="1">
      <c r="A22" s="3579"/>
      <c r="B22" s="3567"/>
      <c r="C22" s="2852" t="s">
        <v>2427</v>
      </c>
      <c r="D22" s="2852"/>
      <c r="E22" s="2843">
        <v>0.9</v>
      </c>
      <c r="F22" s="2840" t="s">
        <v>2428</v>
      </c>
      <c r="G22" s="2840"/>
    </row>
    <row r="23" spans="1:13" ht="19.5" customHeight="1">
      <c r="A23" s="3579"/>
      <c r="B23" s="3567"/>
      <c r="C23" s="2852" t="s">
        <v>2429</v>
      </c>
      <c r="D23" s="2852"/>
      <c r="E23" s="2843">
        <v>0.9</v>
      </c>
      <c r="F23" s="2840" t="s">
        <v>2430</v>
      </c>
      <c r="G23" s="2840"/>
    </row>
    <row r="24" spans="1:13" ht="19.5" customHeight="1">
      <c r="A24" s="3579"/>
      <c r="B24" s="3567"/>
      <c r="C24" s="2852" t="s">
        <v>2431</v>
      </c>
      <c r="D24" s="2852"/>
      <c r="E24" s="2843">
        <v>0.8</v>
      </c>
      <c r="F24" s="2840" t="s">
        <v>2432</v>
      </c>
      <c r="G24" s="2840"/>
    </row>
    <row r="25" spans="1:13" ht="19.5" customHeight="1">
      <c r="A25" s="3579"/>
      <c r="B25" s="3567"/>
      <c r="C25" s="2852" t="s">
        <v>2433</v>
      </c>
      <c r="D25" s="2852"/>
      <c r="E25" s="2843">
        <v>0.8</v>
      </c>
      <c r="F25" s="2840"/>
      <c r="G25" s="2840"/>
    </row>
    <row r="26" spans="1:13" ht="19.5" customHeight="1">
      <c r="A26" s="3579"/>
      <c r="B26" s="3567"/>
      <c r="C26" s="2852" t="s">
        <v>3395</v>
      </c>
      <c r="D26" s="2852"/>
      <c r="E26" s="2843">
        <v>0.43</v>
      </c>
      <c r="F26" s="2840"/>
      <c r="G26" s="2840"/>
    </row>
    <row r="27" spans="1:13" ht="19.5" customHeight="1" thickBot="1">
      <c r="A27" s="3580"/>
      <c r="B27" s="3572"/>
      <c r="C27" s="3158" t="s">
        <v>3396</v>
      </c>
      <c r="D27" s="3158"/>
      <c r="E27" s="2846">
        <f>E26*0.9</f>
        <v>0.38700000000000001</v>
      </c>
      <c r="F27" s="2840" t="s">
        <v>2434</v>
      </c>
      <c r="G27" s="2840"/>
    </row>
    <row r="28" spans="1:13" ht="19.5" customHeight="1" thickBot="1">
      <c r="A28" s="3157" t="s">
        <v>2613</v>
      </c>
      <c r="B28" s="3156" t="s">
        <v>2612</v>
      </c>
      <c r="C28" s="3159" t="s">
        <v>2614</v>
      </c>
      <c r="D28" s="3160"/>
      <c r="E28" s="3161">
        <v>1</v>
      </c>
      <c r="F28" s="2840" t="s">
        <v>2435</v>
      </c>
      <c r="G28" s="2840"/>
    </row>
    <row r="29" spans="1:13" ht="19.5" customHeight="1">
      <c r="A29" s="3573" t="s">
        <v>2615</v>
      </c>
      <c r="B29" s="3576" t="s">
        <v>2596</v>
      </c>
      <c r="C29" s="2837" t="s">
        <v>2436</v>
      </c>
      <c r="D29" s="2838"/>
      <c r="E29" s="2839">
        <v>1</v>
      </c>
      <c r="F29" s="2840" t="s">
        <v>2437</v>
      </c>
      <c r="G29" s="2840"/>
    </row>
    <row r="30" spans="1:13" ht="19.5" customHeight="1">
      <c r="A30" s="3574"/>
      <c r="B30" s="3570"/>
      <c r="C30" s="2841" t="s">
        <v>2438</v>
      </c>
      <c r="D30" s="2842"/>
      <c r="E30" s="2843">
        <v>1</v>
      </c>
      <c r="F30" s="2840" t="s">
        <v>2439</v>
      </c>
      <c r="G30" s="2840"/>
    </row>
    <row r="31" spans="1:13" ht="19.5" customHeight="1">
      <c r="A31" s="3574"/>
      <c r="B31" s="3570"/>
      <c r="C31" s="2841" t="s">
        <v>2440</v>
      </c>
      <c r="D31" s="2842"/>
      <c r="E31" s="2843">
        <v>0.8</v>
      </c>
      <c r="F31" s="2840" t="s">
        <v>2441</v>
      </c>
      <c r="G31" s="2840"/>
    </row>
    <row r="32" spans="1:13" ht="19.5" customHeight="1">
      <c r="A32" s="3574"/>
      <c r="B32" s="3570"/>
      <c r="C32" s="2841" t="s">
        <v>2442</v>
      </c>
      <c r="D32" s="2842"/>
      <c r="E32" s="2843">
        <v>0.8</v>
      </c>
      <c r="F32" s="2840" t="s">
        <v>2443</v>
      </c>
      <c r="G32" s="2840"/>
    </row>
    <row r="33" spans="1:7" ht="19.5" customHeight="1">
      <c r="A33" s="3574"/>
      <c r="B33" s="3570"/>
      <c r="C33" s="2841" t="s">
        <v>2444</v>
      </c>
      <c r="D33" s="2842"/>
      <c r="E33" s="2843">
        <v>0.8</v>
      </c>
      <c r="F33" s="2840" t="s">
        <v>2445</v>
      </c>
      <c r="G33" s="2840"/>
    </row>
    <row r="34" spans="1:7" ht="19.5" customHeight="1">
      <c r="A34" s="3574"/>
      <c r="B34" s="3570"/>
      <c r="C34" s="2841" t="s">
        <v>2446</v>
      </c>
      <c r="D34" s="2842"/>
      <c r="E34" s="2843">
        <v>0.7</v>
      </c>
      <c r="F34" s="2840" t="s">
        <v>2447</v>
      </c>
      <c r="G34" s="2840"/>
    </row>
    <row r="35" spans="1:7" ht="19.5" customHeight="1">
      <c r="A35" s="3574"/>
      <c r="B35" s="3570"/>
      <c r="C35" s="2841" t="s">
        <v>2448</v>
      </c>
      <c r="D35" s="2842"/>
      <c r="E35" s="2843">
        <v>0.8</v>
      </c>
      <c r="F35" s="2840" t="s">
        <v>2449</v>
      </c>
      <c r="G35" s="2840"/>
    </row>
    <row r="36" spans="1:7" ht="19.5" customHeight="1">
      <c r="A36" s="3574"/>
      <c r="B36" s="3570"/>
      <c r="C36" s="2841" t="s">
        <v>2450</v>
      </c>
      <c r="D36" s="2842"/>
      <c r="E36" s="2843">
        <v>0.6</v>
      </c>
      <c r="F36" s="2840" t="s">
        <v>2451</v>
      </c>
      <c r="G36" s="2840"/>
    </row>
    <row r="37" spans="1:7" ht="19.5" customHeight="1">
      <c r="A37" s="3574"/>
      <c r="B37" s="3570"/>
      <c r="C37" s="2841" t="s">
        <v>2452</v>
      </c>
      <c r="D37" s="2842"/>
      <c r="E37" s="2843">
        <v>0.2</v>
      </c>
      <c r="F37" s="2840" t="s">
        <v>2453</v>
      </c>
      <c r="G37" s="2840"/>
    </row>
    <row r="38" spans="1:7" ht="19.5" customHeight="1">
      <c r="A38" s="3574"/>
      <c r="B38" s="3570"/>
      <c r="C38" s="2841" t="s">
        <v>2454</v>
      </c>
      <c r="D38" s="2842"/>
      <c r="E38" s="2843">
        <v>0.2</v>
      </c>
      <c r="F38" s="2840" t="s">
        <v>2455</v>
      </c>
      <c r="G38" s="2840"/>
    </row>
    <row r="39" spans="1:7" ht="19.5" customHeight="1">
      <c r="A39" s="3574"/>
      <c r="B39" s="3568" t="s">
        <v>2616</v>
      </c>
      <c r="C39" s="2841" t="s">
        <v>2456</v>
      </c>
      <c r="D39" s="2842"/>
      <c r="E39" s="2843">
        <v>0.6</v>
      </c>
      <c r="F39" s="2840" t="s">
        <v>2457</v>
      </c>
      <c r="G39" s="2840"/>
    </row>
    <row r="40" spans="1:7" ht="19.5" customHeight="1">
      <c r="A40" s="3574"/>
      <c r="B40" s="3570"/>
      <c r="C40" s="2841" t="s">
        <v>2458</v>
      </c>
      <c r="D40" s="2842"/>
      <c r="E40" s="2843">
        <v>0.6</v>
      </c>
      <c r="F40" s="2840" t="s">
        <v>2459</v>
      </c>
      <c r="G40" s="2840"/>
    </row>
    <row r="41" spans="1:7" ht="19.5" customHeight="1" thickBot="1">
      <c r="A41" s="3575"/>
      <c r="B41" s="3577"/>
      <c r="C41" s="2844" t="s">
        <v>2460</v>
      </c>
      <c r="D41" s="2845"/>
      <c r="E41" s="2846">
        <v>0.6</v>
      </c>
      <c r="F41" s="2840" t="s">
        <v>2461</v>
      </c>
      <c r="G41" s="2840"/>
    </row>
    <row r="42" spans="1:7" ht="19.5" customHeight="1" thickBot="1">
      <c r="A42" s="2847" t="s">
        <v>2593</v>
      </c>
      <c r="B42" s="2848" t="s">
        <v>2593</v>
      </c>
      <c r="C42" s="2849" t="s">
        <v>2617</v>
      </c>
      <c r="D42" s="2850"/>
      <c r="E42" s="2851">
        <v>1</v>
      </c>
      <c r="F42" s="2840" t="s">
        <v>2462</v>
      </c>
      <c r="G42" s="2840"/>
    </row>
    <row r="43" spans="1:7" ht="19.5" customHeight="1">
      <c r="A43" s="3578" t="s">
        <v>2594</v>
      </c>
      <c r="B43" s="3576" t="s">
        <v>2618</v>
      </c>
      <c r="C43" s="2837" t="s">
        <v>2463</v>
      </c>
      <c r="D43" s="2838"/>
      <c r="E43" s="2839">
        <v>1</v>
      </c>
      <c r="F43" s="2840" t="s">
        <v>2464</v>
      </c>
      <c r="G43" s="2840"/>
    </row>
    <row r="44" spans="1:7" ht="19.5" customHeight="1">
      <c r="A44" s="3579"/>
      <c r="B44" s="3570"/>
      <c r="C44" s="2841" t="s">
        <v>2465</v>
      </c>
      <c r="D44" s="2842"/>
      <c r="E44" s="2843">
        <v>1</v>
      </c>
      <c r="F44" s="2840" t="s">
        <v>2466</v>
      </c>
      <c r="G44" s="2840"/>
    </row>
    <row r="45" spans="1:7" ht="19.5" customHeight="1">
      <c r="A45" s="3579"/>
      <c r="B45" s="3569"/>
      <c r="C45" s="2841" t="s">
        <v>2467</v>
      </c>
      <c r="D45" s="2842"/>
      <c r="E45" s="2843">
        <v>1.5</v>
      </c>
      <c r="F45" s="2840" t="s">
        <v>2468</v>
      </c>
      <c r="G45" s="2840"/>
    </row>
    <row r="46" spans="1:7" ht="19.5" customHeight="1">
      <c r="A46" s="3579"/>
      <c r="B46" s="2852" t="s">
        <v>2619</v>
      </c>
      <c r="C46" s="2841" t="s">
        <v>2620</v>
      </c>
      <c r="D46" s="2842"/>
      <c r="E46" s="2843">
        <v>2</v>
      </c>
      <c r="F46" s="2840" t="s">
        <v>2469</v>
      </c>
      <c r="G46" s="2840"/>
    </row>
    <row r="47" spans="1:7" ht="19.5" customHeight="1">
      <c r="A47" s="3579"/>
      <c r="B47" s="3568" t="s">
        <v>2621</v>
      </c>
      <c r="C47" s="2841" t="s">
        <v>2470</v>
      </c>
      <c r="D47" s="2842"/>
      <c r="E47" s="2843">
        <v>1</v>
      </c>
      <c r="F47" s="2840" t="s">
        <v>2471</v>
      </c>
      <c r="G47" s="2840"/>
    </row>
    <row r="48" spans="1:7" ht="19.5" customHeight="1">
      <c r="A48" s="3579"/>
      <c r="B48" s="3570"/>
      <c r="C48" s="2841" t="s">
        <v>2472</v>
      </c>
      <c r="D48" s="2842"/>
      <c r="E48" s="2843">
        <v>1</v>
      </c>
      <c r="F48" s="2840" t="s">
        <v>2473</v>
      </c>
      <c r="G48" s="2840"/>
    </row>
    <row r="49" spans="1:7" ht="19.5" customHeight="1">
      <c r="A49" s="3579"/>
      <c r="B49" s="3570"/>
      <c r="C49" s="2841" t="s">
        <v>2474</v>
      </c>
      <c r="D49" s="2842"/>
      <c r="E49" s="2843">
        <v>1</v>
      </c>
      <c r="F49" s="2840" t="s">
        <v>2475</v>
      </c>
      <c r="G49" s="2840"/>
    </row>
    <row r="50" spans="1:7" ht="19.5" customHeight="1">
      <c r="A50" s="3579"/>
      <c r="B50" s="3570"/>
      <c r="C50" s="2841" t="s">
        <v>2476</v>
      </c>
      <c r="D50" s="2842"/>
      <c r="E50" s="2843">
        <v>1</v>
      </c>
      <c r="F50" s="2840" t="s">
        <v>2477</v>
      </c>
      <c r="G50" s="2840"/>
    </row>
    <row r="51" spans="1:7" ht="19.5" customHeight="1">
      <c r="A51" s="3579"/>
      <c r="B51" s="3570"/>
      <c r="C51" s="2841" t="s">
        <v>2478</v>
      </c>
      <c r="D51" s="2842"/>
      <c r="E51" s="2843">
        <v>1</v>
      </c>
      <c r="F51" s="2840" t="s">
        <v>2479</v>
      </c>
      <c r="G51" s="2840"/>
    </row>
    <row r="52" spans="1:7" ht="19.5" customHeight="1">
      <c r="A52" s="3579"/>
      <c r="B52" s="3570"/>
      <c r="C52" s="2841" t="s">
        <v>2480</v>
      </c>
      <c r="D52" s="2842"/>
      <c r="E52" s="2843">
        <v>1</v>
      </c>
      <c r="F52" s="2840" t="s">
        <v>2481</v>
      </c>
      <c r="G52" s="2840"/>
    </row>
    <row r="53" spans="1:7" ht="19.5" customHeight="1" thickBot="1">
      <c r="A53" s="3580"/>
      <c r="B53" s="3577"/>
      <c r="C53" s="2844" t="s">
        <v>2482</v>
      </c>
      <c r="D53" s="2845"/>
      <c r="E53" s="2846">
        <v>1</v>
      </c>
      <c r="F53" s="2840" t="s">
        <v>2483</v>
      </c>
      <c r="G53" s="2840"/>
    </row>
    <row r="54" spans="1:7" ht="19.5" customHeight="1">
      <c r="A54" s="2853"/>
      <c r="B54" s="2853"/>
      <c r="C54" s="2853"/>
      <c r="D54" s="2853"/>
      <c r="E54" s="2853"/>
      <c r="F54" s="2853"/>
      <c r="G54" s="2853"/>
    </row>
    <row r="56" spans="1:7" ht="19.5" customHeight="1">
      <c r="A56" s="2854"/>
      <c r="B56" s="2826" t="s">
        <v>2622</v>
      </c>
      <c r="C56" s="2826" t="s">
        <v>2622</v>
      </c>
      <c r="D56" s="2826" t="s">
        <v>2622</v>
      </c>
      <c r="E56" s="2829" t="s">
        <v>2622</v>
      </c>
      <c r="F56" s="2829" t="s">
        <v>2623</v>
      </c>
      <c r="G56" s="2829" t="s">
        <v>2624</v>
      </c>
    </row>
    <row r="57" spans="1:7" ht="19.5" customHeight="1">
      <c r="A57" s="2855"/>
      <c r="B57" s="2829" t="s">
        <v>2591</v>
      </c>
      <c r="C57" s="2829" t="s">
        <v>2591</v>
      </c>
      <c r="D57" s="2829" t="s">
        <v>2591</v>
      </c>
      <c r="E57" s="2826" t="s">
        <v>2592</v>
      </c>
      <c r="F57" s="2826" t="s">
        <v>2594</v>
      </c>
      <c r="G57" s="2826" t="s">
        <v>2625</v>
      </c>
    </row>
    <row r="58" spans="1:7" ht="19.5" customHeight="1">
      <c r="A58" s="2856"/>
      <c r="B58" s="2826">
        <v>1</v>
      </c>
      <c r="C58" s="2826">
        <v>2</v>
      </c>
      <c r="D58" s="2826">
        <v>3</v>
      </c>
      <c r="E58" s="2857" t="s">
        <v>2626</v>
      </c>
      <c r="F58" s="2857" t="s">
        <v>2626</v>
      </c>
      <c r="G58" s="2857" t="s">
        <v>2626</v>
      </c>
    </row>
    <row r="59" spans="1:7" ht="19.5" customHeight="1">
      <c r="A59" s="2858" t="s">
        <v>2579</v>
      </c>
      <c r="B59" s="2826">
        <v>0.7</v>
      </c>
      <c r="C59" s="2826">
        <v>0.4</v>
      </c>
      <c r="D59" s="2826">
        <v>0.3</v>
      </c>
      <c r="E59" s="2857">
        <v>0.3</v>
      </c>
      <c r="F59" s="2826">
        <v>0.3</v>
      </c>
      <c r="G59" s="2826">
        <v>0.2</v>
      </c>
    </row>
    <row r="60" spans="1:7" ht="19.5" customHeight="1">
      <c r="A60" s="2858" t="s">
        <v>2580</v>
      </c>
      <c r="B60" s="2826">
        <v>0.7</v>
      </c>
      <c r="C60" s="2826">
        <v>0.4</v>
      </c>
      <c r="D60" s="2826">
        <v>0.3</v>
      </c>
      <c r="E60" s="2826">
        <v>0.3</v>
      </c>
      <c r="F60" s="2826">
        <v>0.3</v>
      </c>
      <c r="G60" s="2826">
        <v>0.2</v>
      </c>
    </row>
    <row r="61" spans="1:7" ht="19.5" customHeight="1">
      <c r="A61" s="2858" t="s">
        <v>2581</v>
      </c>
      <c r="B61" s="2826">
        <v>0.6</v>
      </c>
      <c r="C61" s="2826">
        <v>0.3</v>
      </c>
      <c r="D61" s="2826">
        <v>0.25</v>
      </c>
      <c r="E61" s="2826">
        <v>0.25</v>
      </c>
      <c r="F61" s="2826">
        <v>0.25</v>
      </c>
      <c r="G61" s="2826">
        <v>0.15</v>
      </c>
    </row>
    <row r="62" spans="1:7" ht="19.5" customHeight="1">
      <c r="A62" s="2858" t="s">
        <v>2582</v>
      </c>
      <c r="B62" s="2826">
        <v>0.6</v>
      </c>
      <c r="C62" s="2826">
        <v>0.3</v>
      </c>
      <c r="D62" s="2826">
        <v>0.25</v>
      </c>
      <c r="E62" s="2826">
        <v>0.25</v>
      </c>
      <c r="F62" s="2826">
        <v>0.25</v>
      </c>
      <c r="G62" s="2826">
        <v>0.15</v>
      </c>
    </row>
    <row r="63" spans="1:7" ht="19.5" customHeight="1">
      <c r="A63" s="2858" t="s">
        <v>2583</v>
      </c>
      <c r="B63" s="2826">
        <v>0.6</v>
      </c>
      <c r="C63" s="2826">
        <v>0.3</v>
      </c>
      <c r="D63" s="2826">
        <v>0.25</v>
      </c>
      <c r="E63" s="2826">
        <v>0.25</v>
      </c>
      <c r="F63" s="2826">
        <v>0.25</v>
      </c>
      <c r="G63" s="2826">
        <v>0.15</v>
      </c>
    </row>
    <row r="64" spans="1:7" ht="19.5" customHeight="1">
      <c r="A64" s="2858" t="s">
        <v>2584</v>
      </c>
      <c r="B64" s="2826">
        <v>0.6</v>
      </c>
      <c r="C64" s="2826">
        <v>0.3</v>
      </c>
      <c r="D64" s="2826">
        <v>0.25</v>
      </c>
      <c r="E64" s="2826">
        <v>0.25</v>
      </c>
      <c r="F64" s="2826">
        <v>0.25</v>
      </c>
      <c r="G64" s="2826">
        <v>0.15</v>
      </c>
    </row>
    <row r="65" spans="1:7" ht="19.5" customHeight="1">
      <c r="A65" s="2858" t="s">
        <v>2585</v>
      </c>
      <c r="B65" s="2826">
        <v>0.6</v>
      </c>
      <c r="C65" s="2826">
        <v>0.3</v>
      </c>
      <c r="D65" s="2826">
        <v>0.25</v>
      </c>
      <c r="E65" s="2826">
        <v>0.25</v>
      </c>
      <c r="F65" s="2826">
        <v>0.25</v>
      </c>
      <c r="G65" s="2826">
        <v>0.15</v>
      </c>
    </row>
    <row r="66" spans="1:7" ht="19.5" customHeight="1">
      <c r="A66" s="2858" t="s">
        <v>2586</v>
      </c>
      <c r="B66" s="2826">
        <v>0.5</v>
      </c>
      <c r="C66" s="2826">
        <v>0.2</v>
      </c>
      <c r="D66" s="2826">
        <v>0.2</v>
      </c>
      <c r="E66" s="2826">
        <v>0.2</v>
      </c>
      <c r="F66" s="2826">
        <v>0.2</v>
      </c>
      <c r="G66" s="2826">
        <v>0.1</v>
      </c>
    </row>
    <row r="67" spans="1:7" ht="19.5" customHeight="1">
      <c r="A67" s="2858" t="s">
        <v>2587</v>
      </c>
      <c r="B67" s="2826">
        <v>0.5</v>
      </c>
      <c r="C67" s="2826">
        <v>0.2</v>
      </c>
      <c r="D67" s="2826">
        <v>0.2</v>
      </c>
      <c r="E67" s="2826">
        <v>0.2</v>
      </c>
      <c r="F67" s="2826">
        <v>0.2</v>
      </c>
      <c r="G67" s="2826">
        <v>0.1</v>
      </c>
    </row>
    <row r="68" spans="1:7" ht="19.5" customHeight="1">
      <c r="A68" s="2858" t="s">
        <v>2588</v>
      </c>
      <c r="B68" s="2826">
        <v>0.5</v>
      </c>
      <c r="C68" s="2826">
        <v>0.2</v>
      </c>
      <c r="D68" s="2826">
        <v>0.2</v>
      </c>
      <c r="E68" s="2826">
        <v>0.2</v>
      </c>
      <c r="F68" s="2826">
        <v>0.2</v>
      </c>
      <c r="G68" s="2826">
        <v>0.1</v>
      </c>
    </row>
    <row r="69" spans="1:7" ht="19.5" customHeight="1">
      <c r="A69" s="2858" t="s">
        <v>2589</v>
      </c>
      <c r="B69" s="2826">
        <v>0.5</v>
      </c>
      <c r="C69" s="2826">
        <v>0.2</v>
      </c>
      <c r="D69" s="2826">
        <v>0.2</v>
      </c>
      <c r="E69" s="2826">
        <v>0.2</v>
      </c>
      <c r="F69" s="2826">
        <v>0.2</v>
      </c>
      <c r="G69" s="2826">
        <v>0.1</v>
      </c>
    </row>
    <row r="70" spans="1:7" ht="19.5" customHeight="1">
      <c r="A70" s="2858" t="s">
        <v>2590</v>
      </c>
      <c r="B70" s="2826">
        <v>0.5</v>
      </c>
      <c r="C70" s="2826">
        <v>0.2</v>
      </c>
      <c r="D70" s="2826">
        <v>0.2</v>
      </c>
      <c r="E70" s="2826">
        <v>0.2</v>
      </c>
      <c r="F70" s="2826">
        <v>0.2</v>
      </c>
      <c r="G70" s="2826">
        <v>0.1</v>
      </c>
    </row>
    <row r="72" spans="1:7" ht="19.5" customHeight="1">
      <c r="A72" s="2840"/>
      <c r="B72" s="2859"/>
      <c r="C72" s="2859"/>
      <c r="D72" s="2859" t="s">
        <v>2627</v>
      </c>
      <c r="E72" s="2859"/>
      <c r="F72" s="2859"/>
    </row>
    <row r="73" spans="1:7" ht="19.5" customHeight="1">
      <c r="A73" s="2852" t="s">
        <v>2628</v>
      </c>
      <c r="B73" s="2852" t="s">
        <v>2629</v>
      </c>
      <c r="C73" s="2852" t="s">
        <v>2630</v>
      </c>
      <c r="D73" s="2852" t="s">
        <v>2631</v>
      </c>
      <c r="E73" s="2852" t="s">
        <v>2632</v>
      </c>
      <c r="F73" s="2852" t="s">
        <v>2633</v>
      </c>
    </row>
    <row r="74" spans="1:7" ht="13.5">
      <c r="A74" s="2852"/>
      <c r="B74" s="2852"/>
      <c r="C74" s="2852" t="s">
        <v>2634</v>
      </c>
      <c r="D74" s="2852"/>
      <c r="E74" s="2852" t="s">
        <v>2605</v>
      </c>
      <c r="F74" s="2852" t="s">
        <v>2605</v>
      </c>
    </row>
    <row r="75" spans="1:7" ht="13.5">
      <c r="A75" s="2852">
        <v>1</v>
      </c>
      <c r="B75" s="3568" t="s">
        <v>2635</v>
      </c>
      <c r="C75" s="2826" t="s">
        <v>2636</v>
      </c>
      <c r="D75" s="2826" t="s">
        <v>2637</v>
      </c>
      <c r="E75" s="2852">
        <v>0.2</v>
      </c>
      <c r="F75" s="2852">
        <v>25</v>
      </c>
    </row>
    <row r="76" spans="1:7" ht="24">
      <c r="A76" s="2852">
        <v>2</v>
      </c>
      <c r="B76" s="3570"/>
      <c r="C76" s="2826" t="s">
        <v>2638</v>
      </c>
      <c r="D76" s="2826" t="s">
        <v>2639</v>
      </c>
      <c r="E76" s="2852">
        <v>0.2</v>
      </c>
      <c r="F76" s="2852">
        <v>25</v>
      </c>
    </row>
    <row r="77" spans="1:7" ht="24">
      <c r="A77" s="2852">
        <v>3</v>
      </c>
      <c r="B77" s="3570"/>
      <c r="C77" s="2826" t="s">
        <v>2640</v>
      </c>
      <c r="D77" s="2826" t="s">
        <v>2641</v>
      </c>
      <c r="E77" s="2852">
        <v>0.2</v>
      </c>
      <c r="F77" s="2852">
        <v>25</v>
      </c>
    </row>
    <row r="78" spans="1:7" ht="13.5">
      <c r="A78" s="2852">
        <v>4</v>
      </c>
      <c r="B78" s="3570"/>
      <c r="C78" s="2826" t="s">
        <v>2642</v>
      </c>
      <c r="D78" s="2826" t="s">
        <v>2643</v>
      </c>
      <c r="E78" s="2852">
        <v>0.15</v>
      </c>
      <c r="F78" s="2852">
        <v>20</v>
      </c>
    </row>
    <row r="79" spans="1:7" ht="24">
      <c r="A79" s="2852">
        <v>5</v>
      </c>
      <c r="B79" s="3570"/>
      <c r="C79" s="2826" t="s">
        <v>2644</v>
      </c>
      <c r="D79" s="2826" t="s">
        <v>2645</v>
      </c>
      <c r="E79" s="2852">
        <v>0.15</v>
      </c>
      <c r="F79" s="2852">
        <v>20</v>
      </c>
    </row>
    <row r="80" spans="1:7" ht="24">
      <c r="A80" s="2852">
        <v>6</v>
      </c>
      <c r="B80" s="3570"/>
      <c r="C80" s="2826" t="s">
        <v>2646</v>
      </c>
      <c r="D80" s="2826" t="s">
        <v>2647</v>
      </c>
      <c r="E80" s="2852">
        <v>0.15</v>
      </c>
      <c r="F80" s="2852">
        <v>20</v>
      </c>
    </row>
    <row r="81" spans="1:6" ht="24">
      <c r="A81" s="2852">
        <v>7</v>
      </c>
      <c r="B81" s="3570"/>
      <c r="C81" s="2826" t="s">
        <v>2648</v>
      </c>
      <c r="D81" s="2826" t="s">
        <v>2649</v>
      </c>
      <c r="E81" s="2852">
        <v>0.15</v>
      </c>
      <c r="F81" s="2852">
        <v>20</v>
      </c>
    </row>
    <row r="82" spans="1:6" ht="24">
      <c r="A82" s="2852">
        <v>8</v>
      </c>
      <c r="B82" s="3570"/>
      <c r="C82" s="2826" t="s">
        <v>2650</v>
      </c>
      <c r="D82" s="2826" t="s">
        <v>2651</v>
      </c>
      <c r="E82" s="2852">
        <v>0.1</v>
      </c>
      <c r="F82" s="2852">
        <v>15</v>
      </c>
    </row>
    <row r="83" spans="1:6" ht="24">
      <c r="A83" s="2852">
        <v>9</v>
      </c>
      <c r="B83" s="3570"/>
      <c r="C83" s="2826" t="s">
        <v>2652</v>
      </c>
      <c r="D83" s="2826" t="s">
        <v>2653</v>
      </c>
      <c r="E83" s="2852">
        <v>0.1</v>
      </c>
      <c r="F83" s="2852">
        <v>15</v>
      </c>
    </row>
    <row r="84" spans="1:6" ht="24">
      <c r="A84" s="2852">
        <v>10</v>
      </c>
      <c r="B84" s="3570"/>
      <c r="C84" s="2826" t="s">
        <v>2654</v>
      </c>
      <c r="D84" s="2826" t="s">
        <v>2655</v>
      </c>
      <c r="E84" s="2852">
        <v>0.1</v>
      </c>
      <c r="F84" s="2852">
        <v>15</v>
      </c>
    </row>
    <row r="85" spans="1:6" ht="24">
      <c r="A85" s="2852">
        <v>11</v>
      </c>
      <c r="B85" s="3570"/>
      <c r="C85" s="2826" t="s">
        <v>2656</v>
      </c>
      <c r="D85" s="2826" t="s">
        <v>2657</v>
      </c>
      <c r="E85" s="2852">
        <v>0.1</v>
      </c>
      <c r="F85" s="2852">
        <v>15</v>
      </c>
    </row>
    <row r="86" spans="1:6" ht="24">
      <c r="A86" s="2852">
        <v>12</v>
      </c>
      <c r="B86" s="3570"/>
      <c r="C86" s="2826" t="s">
        <v>2658</v>
      </c>
      <c r="D86" s="2826" t="s">
        <v>2659</v>
      </c>
      <c r="E86" s="2852">
        <v>0.1</v>
      </c>
      <c r="F86" s="2852">
        <v>15</v>
      </c>
    </row>
    <row r="87" spans="1:6" ht="13.5">
      <c r="A87" s="2852">
        <v>13</v>
      </c>
      <c r="B87" s="3570"/>
      <c r="C87" s="2826" t="s">
        <v>2660</v>
      </c>
      <c r="D87" s="2826" t="s">
        <v>2661</v>
      </c>
      <c r="E87" s="2852">
        <v>0.1</v>
      </c>
      <c r="F87" s="2852">
        <v>15</v>
      </c>
    </row>
    <row r="88" spans="1:6" ht="13.5">
      <c r="A88" s="2852">
        <v>14</v>
      </c>
      <c r="B88" s="3570"/>
      <c r="C88" s="2826" t="s">
        <v>2662</v>
      </c>
      <c r="D88" s="2826" t="s">
        <v>2663</v>
      </c>
      <c r="E88" s="2852">
        <v>0.1</v>
      </c>
      <c r="F88" s="2852">
        <v>15</v>
      </c>
    </row>
    <row r="89" spans="1:6" ht="13.5">
      <c r="A89" s="2852">
        <v>15</v>
      </c>
      <c r="B89" s="3570"/>
      <c r="C89" s="2826" t="s">
        <v>2664</v>
      </c>
      <c r="D89" s="2826" t="s">
        <v>2665</v>
      </c>
      <c r="E89" s="2852">
        <v>0.1</v>
      </c>
      <c r="F89" s="2852">
        <v>15</v>
      </c>
    </row>
    <row r="90" spans="1:6" ht="24">
      <c r="A90" s="2852">
        <v>16</v>
      </c>
      <c r="B90" s="3570"/>
      <c r="C90" s="2826" t="s">
        <v>2666</v>
      </c>
      <c r="D90" s="2826" t="s">
        <v>2667</v>
      </c>
      <c r="E90" s="2852">
        <v>0.1</v>
      </c>
      <c r="F90" s="2852">
        <v>15</v>
      </c>
    </row>
    <row r="91" spans="1:6" ht="24">
      <c r="A91" s="2852">
        <v>17</v>
      </c>
      <c r="B91" s="3569"/>
      <c r="C91" s="2826" t="s">
        <v>2668</v>
      </c>
      <c r="D91" s="2826" t="s">
        <v>2669</v>
      </c>
      <c r="E91" s="2852">
        <v>0.1</v>
      </c>
      <c r="F91" s="2852">
        <v>15</v>
      </c>
    </row>
    <row r="92" spans="1:6" ht="13.5">
      <c r="A92" s="2852">
        <v>18</v>
      </c>
      <c r="B92" s="3568" t="s">
        <v>2670</v>
      </c>
      <c r="C92" s="2826" t="s">
        <v>2671</v>
      </c>
      <c r="D92" s="2826" t="s">
        <v>2672</v>
      </c>
      <c r="E92" s="2852">
        <v>0.2</v>
      </c>
      <c r="F92" s="2852">
        <v>25</v>
      </c>
    </row>
    <row r="93" spans="1:6" ht="24">
      <c r="A93" s="2852">
        <v>19</v>
      </c>
      <c r="B93" s="3570"/>
      <c r="C93" s="2826" t="s">
        <v>2673</v>
      </c>
      <c r="D93" s="2826" t="s">
        <v>2674</v>
      </c>
      <c r="E93" s="2852">
        <v>0.2</v>
      </c>
      <c r="F93" s="2852">
        <v>25</v>
      </c>
    </row>
    <row r="94" spans="1:6" ht="13.5">
      <c r="A94" s="2852">
        <v>20</v>
      </c>
      <c r="B94" s="3570"/>
      <c r="C94" s="2826" t="s">
        <v>2675</v>
      </c>
      <c r="D94" s="2826" t="s">
        <v>2676</v>
      </c>
      <c r="E94" s="2852">
        <v>0.15</v>
      </c>
      <c r="F94" s="2852">
        <v>20</v>
      </c>
    </row>
    <row r="95" spans="1:6" ht="13.5">
      <c r="A95" s="2852">
        <v>21</v>
      </c>
      <c r="B95" s="3570"/>
      <c r="C95" s="2826" t="s">
        <v>2677</v>
      </c>
      <c r="D95" s="2826" t="s">
        <v>2678</v>
      </c>
      <c r="E95" s="2852">
        <v>0.15</v>
      </c>
      <c r="F95" s="2852">
        <v>20</v>
      </c>
    </row>
    <row r="96" spans="1:6" ht="13.5">
      <c r="A96" s="2852">
        <v>22</v>
      </c>
      <c r="B96" s="3570"/>
      <c r="C96" s="2826" t="s">
        <v>2679</v>
      </c>
      <c r="D96" s="2826" t="s">
        <v>2680</v>
      </c>
      <c r="E96" s="2852">
        <v>0.15</v>
      </c>
      <c r="F96" s="2852">
        <v>20</v>
      </c>
    </row>
    <row r="97" spans="1:6" ht="36">
      <c r="A97" s="2852">
        <v>23</v>
      </c>
      <c r="B97" s="3570"/>
      <c r="C97" s="2826" t="s">
        <v>2681</v>
      </c>
      <c r="D97" s="2826" t="s">
        <v>2682</v>
      </c>
      <c r="E97" s="2852">
        <v>0.15</v>
      </c>
      <c r="F97" s="2852">
        <v>20</v>
      </c>
    </row>
    <row r="98" spans="1:6" ht="13.5">
      <c r="A98" s="2852">
        <v>24</v>
      </c>
      <c r="B98" s="3570"/>
      <c r="C98" s="2826" t="s">
        <v>2683</v>
      </c>
      <c r="D98" s="2826" t="s">
        <v>2684</v>
      </c>
      <c r="E98" s="2852">
        <v>0.1</v>
      </c>
      <c r="F98" s="2852">
        <v>15</v>
      </c>
    </row>
    <row r="99" spans="1:6" ht="13.5">
      <c r="A99" s="2852">
        <v>25</v>
      </c>
      <c r="B99" s="3570"/>
      <c r="C99" s="2826" t="s">
        <v>2685</v>
      </c>
      <c r="D99" s="2826" t="s">
        <v>2686</v>
      </c>
      <c r="E99" s="2852">
        <v>0.1</v>
      </c>
      <c r="F99" s="2852">
        <v>15</v>
      </c>
    </row>
    <row r="100" spans="1:6" ht="24">
      <c r="A100" s="2852">
        <v>26</v>
      </c>
      <c r="B100" s="3570"/>
      <c r="C100" s="2826" t="s">
        <v>2687</v>
      </c>
      <c r="D100" s="2826" t="s">
        <v>2688</v>
      </c>
      <c r="E100" s="2852">
        <v>0.1</v>
      </c>
      <c r="F100" s="2852">
        <v>15</v>
      </c>
    </row>
    <row r="101" spans="1:6" ht="24">
      <c r="A101" s="2852">
        <v>27</v>
      </c>
      <c r="B101" s="3570"/>
      <c r="C101" s="2826" t="s">
        <v>2689</v>
      </c>
      <c r="D101" s="2826" t="s">
        <v>2690</v>
      </c>
      <c r="E101" s="2852">
        <v>0.1</v>
      </c>
      <c r="F101" s="2852">
        <v>15</v>
      </c>
    </row>
    <row r="102" spans="1:6" ht="13.5">
      <c r="A102" s="2852">
        <v>28</v>
      </c>
      <c r="B102" s="3570"/>
      <c r="C102" s="2826" t="s">
        <v>2691</v>
      </c>
      <c r="D102" s="2826" t="s">
        <v>2692</v>
      </c>
      <c r="E102" s="2852">
        <v>0.1</v>
      </c>
      <c r="F102" s="2852">
        <v>15</v>
      </c>
    </row>
    <row r="103" spans="1:6" ht="13.5">
      <c r="A103" s="2852">
        <v>29</v>
      </c>
      <c r="B103" s="3570"/>
      <c r="C103" s="2826" t="s">
        <v>2693</v>
      </c>
      <c r="D103" s="2826" t="s">
        <v>2694</v>
      </c>
      <c r="E103" s="2852">
        <v>0.1</v>
      </c>
      <c r="F103" s="2852">
        <v>15</v>
      </c>
    </row>
    <row r="104" spans="1:6" ht="13.5">
      <c r="A104" s="2852">
        <v>30</v>
      </c>
      <c r="B104" s="3570"/>
      <c r="C104" s="2826" t="s">
        <v>2695</v>
      </c>
      <c r="D104" s="2826" t="s">
        <v>2696</v>
      </c>
      <c r="E104" s="2852">
        <v>0.1</v>
      </c>
      <c r="F104" s="2852">
        <v>15</v>
      </c>
    </row>
    <row r="105" spans="1:6" ht="24">
      <c r="A105" s="2852">
        <v>31</v>
      </c>
      <c r="B105" s="3570"/>
      <c r="C105" s="2826" t="s">
        <v>2697</v>
      </c>
      <c r="D105" s="2826" t="s">
        <v>2698</v>
      </c>
      <c r="E105" s="2852">
        <v>0.1</v>
      </c>
      <c r="F105" s="2852">
        <v>15</v>
      </c>
    </row>
    <row r="106" spans="1:6" ht="24">
      <c r="A106" s="2852">
        <v>32</v>
      </c>
      <c r="B106" s="3570"/>
      <c r="C106" s="2826" t="s">
        <v>2699</v>
      </c>
      <c r="D106" s="2826" t="s">
        <v>2700</v>
      </c>
      <c r="E106" s="2852">
        <v>0.1</v>
      </c>
      <c r="F106" s="2852">
        <v>15</v>
      </c>
    </row>
    <row r="107" spans="1:6" ht="24">
      <c r="A107" s="2852">
        <v>33</v>
      </c>
      <c r="B107" s="3570"/>
      <c r="C107" s="2826" t="s">
        <v>2701</v>
      </c>
      <c r="D107" s="2826" t="s">
        <v>2702</v>
      </c>
      <c r="E107" s="2852">
        <v>0.1</v>
      </c>
      <c r="F107" s="2852">
        <v>15</v>
      </c>
    </row>
    <row r="108" spans="1:6" ht="24">
      <c r="A108" s="2852">
        <v>34</v>
      </c>
      <c r="B108" s="3569"/>
      <c r="C108" s="2826" t="s">
        <v>2703</v>
      </c>
      <c r="D108" s="2826" t="s">
        <v>2704</v>
      </c>
      <c r="E108" s="2852">
        <v>0.1</v>
      </c>
      <c r="F108" s="2852">
        <v>15</v>
      </c>
    </row>
    <row r="109" spans="1:6" ht="24">
      <c r="A109" s="2852">
        <v>35</v>
      </c>
      <c r="B109" s="3568" t="s">
        <v>2705</v>
      </c>
      <c r="C109" s="2852" t="s">
        <v>2706</v>
      </c>
      <c r="D109" s="2826" t="s">
        <v>2707</v>
      </c>
      <c r="E109" s="2852">
        <v>0.15</v>
      </c>
      <c r="F109" s="2852">
        <v>20</v>
      </c>
    </row>
    <row r="110" spans="1:6" ht="13.5">
      <c r="A110" s="2852">
        <v>36</v>
      </c>
      <c r="B110" s="3570"/>
      <c r="C110" s="2852" t="s">
        <v>2708</v>
      </c>
      <c r="D110" s="2826" t="s">
        <v>2709</v>
      </c>
      <c r="E110" s="2852">
        <v>0.15</v>
      </c>
      <c r="F110" s="2852">
        <v>20</v>
      </c>
    </row>
    <row r="111" spans="1:6" ht="13.5">
      <c r="A111" s="2852">
        <v>37</v>
      </c>
      <c r="B111" s="3570"/>
      <c r="C111" s="2852" t="s">
        <v>2710</v>
      </c>
      <c r="D111" s="2826" t="s">
        <v>2711</v>
      </c>
      <c r="E111" s="2852">
        <v>0.15</v>
      </c>
      <c r="F111" s="2852">
        <v>20</v>
      </c>
    </row>
    <row r="112" spans="1:6" ht="13.5">
      <c r="A112" s="2852">
        <v>38</v>
      </c>
      <c r="B112" s="3570"/>
      <c r="C112" s="2852" t="s">
        <v>2712</v>
      </c>
      <c r="D112" s="2826" t="s">
        <v>2713</v>
      </c>
      <c r="E112" s="2852">
        <v>0.1</v>
      </c>
      <c r="F112" s="2852">
        <v>15</v>
      </c>
    </row>
    <row r="113" spans="1:6" ht="24">
      <c r="A113" s="2852">
        <v>39</v>
      </c>
      <c r="B113" s="3570"/>
      <c r="C113" s="2852" t="s">
        <v>2714</v>
      </c>
      <c r="D113" s="2826" t="s">
        <v>2715</v>
      </c>
      <c r="E113" s="2852">
        <v>0.1</v>
      </c>
      <c r="F113" s="2852">
        <v>15</v>
      </c>
    </row>
    <row r="114" spans="1:6" ht="24">
      <c r="A114" s="2852">
        <v>40</v>
      </c>
      <c r="B114" s="3569"/>
      <c r="C114" s="2852" t="s">
        <v>2716</v>
      </c>
      <c r="D114" s="2826" t="s">
        <v>2717</v>
      </c>
      <c r="E114" s="2852">
        <v>0.1</v>
      </c>
      <c r="F114" s="2852">
        <v>15</v>
      </c>
    </row>
    <row r="115" spans="1:6" ht="13.5">
      <c r="A115" s="2852">
        <v>41</v>
      </c>
      <c r="B115" s="3567" t="s">
        <v>2718</v>
      </c>
      <c r="C115" s="2852" t="s">
        <v>2719</v>
      </c>
      <c r="D115" s="2826" t="s">
        <v>2720</v>
      </c>
      <c r="E115" s="2852">
        <v>0.1</v>
      </c>
      <c r="F115" s="2852">
        <v>15</v>
      </c>
    </row>
    <row r="116" spans="1:6" ht="13.5">
      <c r="A116" s="2852">
        <v>42</v>
      </c>
      <c r="B116" s="3567"/>
      <c r="C116" s="2852" t="s">
        <v>2721</v>
      </c>
      <c r="D116" s="2826" t="s">
        <v>2722</v>
      </c>
      <c r="E116" s="2852">
        <v>0.1</v>
      </c>
      <c r="F116" s="2852">
        <v>15</v>
      </c>
    </row>
    <row r="117" spans="1:6" ht="24">
      <c r="A117" s="2852">
        <v>43</v>
      </c>
      <c r="B117" s="3567"/>
      <c r="C117" s="2852" t="s">
        <v>2723</v>
      </c>
      <c r="D117" s="2826" t="s">
        <v>2724</v>
      </c>
      <c r="E117" s="2852">
        <v>0.1</v>
      </c>
      <c r="F117" s="2852">
        <v>15</v>
      </c>
    </row>
    <row r="118" spans="1:6" ht="13.5">
      <c r="A118" s="2852">
        <v>44</v>
      </c>
      <c r="B118" s="3568" t="s">
        <v>2725</v>
      </c>
      <c r="C118" s="2852" t="s">
        <v>2726</v>
      </c>
      <c r="D118" s="2826" t="s">
        <v>2727</v>
      </c>
      <c r="E118" s="2852">
        <v>0.1</v>
      </c>
      <c r="F118" s="2852">
        <v>15</v>
      </c>
    </row>
    <row r="119" spans="1:6" ht="24">
      <c r="A119" s="2852">
        <v>45</v>
      </c>
      <c r="B119" s="3569"/>
      <c r="C119" s="2826" t="s">
        <v>2728</v>
      </c>
      <c r="D119" s="2826" t="s">
        <v>2729</v>
      </c>
      <c r="E119" s="2852">
        <v>0.1</v>
      </c>
      <c r="F119" s="2852">
        <v>15</v>
      </c>
    </row>
    <row r="120" spans="1:6" ht="24">
      <c r="A120" s="2852">
        <v>46</v>
      </c>
      <c r="B120" s="3568" t="s">
        <v>2730</v>
      </c>
      <c r="C120" s="2852" t="s">
        <v>2731</v>
      </c>
      <c r="D120" s="2826" t="s">
        <v>2732</v>
      </c>
      <c r="E120" s="2852">
        <v>0.1</v>
      </c>
      <c r="F120" s="2852">
        <v>15</v>
      </c>
    </row>
    <row r="121" spans="1:6" ht="24">
      <c r="A121" s="2852">
        <v>47</v>
      </c>
      <c r="B121" s="3569"/>
      <c r="C121" s="2852" t="s">
        <v>2733</v>
      </c>
      <c r="D121" s="2826" t="s">
        <v>2734</v>
      </c>
      <c r="E121" s="2852">
        <v>0.1</v>
      </c>
      <c r="F121" s="2852">
        <v>15</v>
      </c>
    </row>
    <row r="122" spans="1:6" ht="13.5">
      <c r="A122" s="2852">
        <v>48</v>
      </c>
      <c r="B122" s="3568" t="s">
        <v>2735</v>
      </c>
      <c r="C122" s="2852" t="s">
        <v>2736</v>
      </c>
      <c r="D122" s="2826" t="s">
        <v>2737</v>
      </c>
      <c r="E122" s="2852">
        <v>0.1</v>
      </c>
      <c r="F122" s="2852">
        <v>15</v>
      </c>
    </row>
    <row r="123" spans="1:6" ht="13.5">
      <c r="A123" s="2852">
        <v>49</v>
      </c>
      <c r="B123" s="3569"/>
      <c r="C123" s="2852" t="s">
        <v>2738</v>
      </c>
      <c r="D123" s="2826" t="s">
        <v>2739</v>
      </c>
      <c r="E123" s="2852">
        <v>0.1</v>
      </c>
      <c r="F123" s="2852">
        <v>15</v>
      </c>
    </row>
    <row r="124" spans="1:6" ht="24">
      <c r="A124" s="2852">
        <v>50</v>
      </c>
      <c r="B124" s="3567" t="s">
        <v>2740</v>
      </c>
      <c r="C124" s="2852" t="s">
        <v>2741</v>
      </c>
      <c r="D124" s="2826" t="s">
        <v>2742</v>
      </c>
      <c r="E124" s="2852">
        <v>0.1</v>
      </c>
      <c r="F124" s="2852">
        <v>15</v>
      </c>
    </row>
    <row r="125" spans="1:6" ht="24">
      <c r="A125" s="2852">
        <v>51</v>
      </c>
      <c r="B125" s="3567"/>
      <c r="C125" s="2852" t="s">
        <v>2743</v>
      </c>
      <c r="D125" s="2826" t="s">
        <v>2744</v>
      </c>
      <c r="E125" s="2852">
        <v>0.1</v>
      </c>
      <c r="F125" s="2852">
        <v>15</v>
      </c>
    </row>
    <row r="126" spans="1:6" ht="24">
      <c r="A126" s="2852">
        <v>52</v>
      </c>
      <c r="B126" s="3567" t="s">
        <v>2745</v>
      </c>
      <c r="C126" s="2852" t="s">
        <v>2746</v>
      </c>
      <c r="D126" s="2826" t="s">
        <v>2747</v>
      </c>
      <c r="E126" s="2852">
        <v>0.1</v>
      </c>
      <c r="F126" s="2852">
        <v>15</v>
      </c>
    </row>
    <row r="127" spans="1:6" ht="24">
      <c r="A127" s="2852">
        <v>53</v>
      </c>
      <c r="B127" s="3567"/>
      <c r="C127" s="2852" t="s">
        <v>2748</v>
      </c>
      <c r="D127" s="2826" t="s">
        <v>2749</v>
      </c>
      <c r="E127" s="2852">
        <v>0.1</v>
      </c>
      <c r="F127" s="2852">
        <v>15</v>
      </c>
    </row>
    <row r="128" spans="1:6" ht="13.5">
      <c r="A128" s="2852">
        <v>54</v>
      </c>
      <c r="B128" s="2852" t="s">
        <v>2750</v>
      </c>
      <c r="C128" s="2852" t="s">
        <v>2751</v>
      </c>
      <c r="D128" s="2826" t="s">
        <v>2752</v>
      </c>
      <c r="E128" s="2852">
        <v>0.1</v>
      </c>
      <c r="F128" s="2852">
        <v>15</v>
      </c>
    </row>
    <row r="129" spans="1:6" ht="13.5">
      <c r="A129" s="2852">
        <v>55</v>
      </c>
      <c r="B129" s="3567" t="s">
        <v>2753</v>
      </c>
      <c r="C129" s="2852" t="s">
        <v>2754</v>
      </c>
      <c r="D129" s="2826" t="s">
        <v>2755</v>
      </c>
      <c r="E129" s="2852">
        <v>0.1</v>
      </c>
      <c r="F129" s="2852">
        <v>15</v>
      </c>
    </row>
    <row r="130" spans="1:6" ht="13.5">
      <c r="A130" s="2852">
        <v>56</v>
      </c>
      <c r="B130" s="3567"/>
      <c r="C130" s="2852" t="s">
        <v>2756</v>
      </c>
      <c r="D130" s="2826" t="s">
        <v>2757</v>
      </c>
      <c r="E130" s="2852">
        <v>0.1</v>
      </c>
      <c r="F130" s="2852">
        <v>15</v>
      </c>
    </row>
    <row r="131" spans="1:6" ht="24">
      <c r="A131" s="2852">
        <v>57</v>
      </c>
      <c r="B131" s="3567"/>
      <c r="C131" s="2852" t="s">
        <v>2758</v>
      </c>
      <c r="D131" s="2826" t="s">
        <v>2759</v>
      </c>
      <c r="E131" s="2852">
        <v>0.1</v>
      </c>
      <c r="F131" s="2852">
        <v>15</v>
      </c>
    </row>
    <row r="132" spans="1:6" ht="24">
      <c r="A132" s="2852">
        <v>58</v>
      </c>
      <c r="B132" s="3567" t="s">
        <v>2760</v>
      </c>
      <c r="C132" s="2852" t="s">
        <v>2761</v>
      </c>
      <c r="D132" s="2826" t="s">
        <v>2762</v>
      </c>
      <c r="E132" s="2852">
        <v>0.1</v>
      </c>
      <c r="F132" s="2852">
        <v>15</v>
      </c>
    </row>
    <row r="133" spans="1:6" ht="13.5">
      <c r="A133" s="2852">
        <v>59</v>
      </c>
      <c r="B133" s="3567"/>
      <c r="C133" s="2852" t="s">
        <v>2763</v>
      </c>
      <c r="D133" s="2826" t="s">
        <v>2764</v>
      </c>
      <c r="E133" s="2852">
        <v>0.1</v>
      </c>
      <c r="F133" s="2852">
        <v>15</v>
      </c>
    </row>
    <row r="134" spans="1:6" ht="13.5">
      <c r="A134" s="2852">
        <v>60</v>
      </c>
      <c r="B134" s="3568" t="s">
        <v>2765</v>
      </c>
      <c r="C134" s="2852" t="s">
        <v>2766</v>
      </c>
      <c r="D134" s="2826" t="s">
        <v>2767</v>
      </c>
      <c r="E134" s="2852">
        <v>0.1</v>
      </c>
      <c r="F134" s="2852">
        <v>15</v>
      </c>
    </row>
    <row r="135" spans="1:6" ht="13.5">
      <c r="A135" s="2852">
        <v>61</v>
      </c>
      <c r="B135" s="3569"/>
      <c r="C135" s="2852" t="s">
        <v>2768</v>
      </c>
      <c r="D135" s="2826" t="s">
        <v>2769</v>
      </c>
      <c r="E135" s="2852">
        <v>0.1</v>
      </c>
      <c r="F135" s="2852">
        <v>15</v>
      </c>
    </row>
    <row r="136" spans="1:6" ht="24">
      <c r="A136" s="2852">
        <v>62</v>
      </c>
      <c r="B136" s="2852" t="s">
        <v>2770</v>
      </c>
      <c r="C136" s="2852" t="s">
        <v>2771</v>
      </c>
      <c r="D136" s="2826" t="s">
        <v>2772</v>
      </c>
      <c r="E136" s="2852">
        <v>0.1</v>
      </c>
      <c r="F136" s="2852">
        <v>15</v>
      </c>
    </row>
    <row r="137" spans="1:6" ht="13.5">
      <c r="A137" s="2852">
        <v>63</v>
      </c>
      <c r="B137" s="3567" t="s">
        <v>2773</v>
      </c>
      <c r="C137" s="2852" t="s">
        <v>2774</v>
      </c>
      <c r="D137" s="2826" t="s">
        <v>2775</v>
      </c>
      <c r="E137" s="2852">
        <v>0.1</v>
      </c>
      <c r="F137" s="2852">
        <v>15</v>
      </c>
    </row>
    <row r="138" spans="1:6" ht="13.5">
      <c r="A138" s="2852">
        <v>64</v>
      </c>
      <c r="B138" s="3567"/>
      <c r="C138" s="2852" t="s">
        <v>2776</v>
      </c>
      <c r="D138" s="2826" t="s">
        <v>2777</v>
      </c>
      <c r="E138" s="2852">
        <v>0.1</v>
      </c>
      <c r="F138" s="2852">
        <v>15</v>
      </c>
    </row>
    <row r="139" spans="1:6" ht="13.5">
      <c r="A139" s="2852">
        <v>65</v>
      </c>
      <c r="B139" s="2852" t="s">
        <v>2778</v>
      </c>
      <c r="C139" s="2852" t="s">
        <v>2779</v>
      </c>
      <c r="D139" s="2826" t="s">
        <v>2780</v>
      </c>
      <c r="E139" s="2852">
        <v>0.1</v>
      </c>
      <c r="F139" s="2852">
        <v>15</v>
      </c>
    </row>
    <row r="140" spans="1:6" ht="13.5">
      <c r="A140" s="2852"/>
      <c r="B140" s="2852"/>
      <c r="C140" s="2852"/>
      <c r="D140" s="2852"/>
      <c r="E140" s="2852" t="s">
        <v>2781</v>
      </c>
      <c r="F140" s="2852" t="s">
        <v>2781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2782</v>
      </c>
      <c r="B1" s="2860"/>
      <c r="C1" s="2860"/>
      <c r="D1" s="2860"/>
      <c r="E1" s="2860"/>
      <c r="F1" s="2860"/>
      <c r="G1" s="2860"/>
      <c r="H1" s="2860"/>
      <c r="I1" s="2860"/>
      <c r="J1" s="2860"/>
      <c r="K1" s="2860"/>
      <c r="L1" s="2860"/>
      <c r="M1" s="2860"/>
      <c r="N1" s="701"/>
    </row>
    <row r="2" spans="1:20">
      <c r="A2" s="2861" t="s">
        <v>2783</v>
      </c>
      <c r="B2" s="2862" t="s">
        <v>2579</v>
      </c>
      <c r="C2" s="2862" t="s">
        <v>2580</v>
      </c>
      <c r="D2" s="2862" t="s">
        <v>2581</v>
      </c>
      <c r="E2" s="2862" t="s">
        <v>2582</v>
      </c>
      <c r="F2" s="2862" t="s">
        <v>2583</v>
      </c>
      <c r="G2" s="2862" t="s">
        <v>2584</v>
      </c>
      <c r="H2" s="2863" t="s">
        <v>2585</v>
      </c>
      <c r="I2" s="2863" t="s">
        <v>2586</v>
      </c>
      <c r="J2" s="2864" t="s">
        <v>2587</v>
      </c>
      <c r="K2" s="2864" t="s">
        <v>2588</v>
      </c>
      <c r="L2" s="2864" t="s">
        <v>2589</v>
      </c>
      <c r="M2" s="2865" t="s">
        <v>2590</v>
      </c>
      <c r="Q2" s="2875" t="s">
        <v>2788</v>
      </c>
      <c r="R2" s="2875" t="s">
        <v>2789</v>
      </c>
      <c r="S2" s="2875" t="s">
        <v>2790</v>
      </c>
      <c r="T2" s="2875" t="s">
        <v>2791</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2784</v>
      </c>
      <c r="B93" s="2860"/>
      <c r="C93" s="2860"/>
      <c r="D93" s="2860"/>
      <c r="E93" s="2860"/>
      <c r="F93" s="2860"/>
      <c r="G93" s="2860"/>
      <c r="H93" s="2860"/>
      <c r="I93" s="2860"/>
      <c r="J93" s="2860"/>
      <c r="K93" s="2860"/>
      <c r="L93" s="2860"/>
      <c r="M93" s="2860"/>
    </row>
    <row r="94" spans="1:20">
      <c r="A94" s="2861" t="s">
        <v>2783</v>
      </c>
      <c r="B94" s="2862" t="s">
        <v>2579</v>
      </c>
      <c r="C94" s="2862" t="s">
        <v>2580</v>
      </c>
      <c r="D94" s="2862" t="s">
        <v>2581</v>
      </c>
      <c r="E94" s="2862" t="s">
        <v>2582</v>
      </c>
      <c r="F94" s="2862" t="s">
        <v>2583</v>
      </c>
      <c r="G94" s="2862" t="s">
        <v>2584</v>
      </c>
      <c r="H94" s="2863" t="s">
        <v>2585</v>
      </c>
      <c r="I94" s="2863" t="s">
        <v>2586</v>
      </c>
      <c r="J94" s="2864" t="s">
        <v>2587</v>
      </c>
      <c r="K94" s="2864" t="s">
        <v>2588</v>
      </c>
      <c r="L94" s="2864" t="s">
        <v>2589</v>
      </c>
      <c r="M94" s="2865" t="s">
        <v>2590</v>
      </c>
      <c r="N94">
        <f>SUMPRODUCT((A95:A184=ROUNDDOWN(基准地价修正!G3,1))*(B94:M94=基准地价修正!G2)*(B95:M184))</f>
        <v>1</v>
      </c>
      <c r="Q94" s="2875" t="s">
        <v>2788</v>
      </c>
      <c r="R94" s="2875" t="s">
        <v>2789</v>
      </c>
      <c r="S94" s="2875" t="s">
        <v>2790</v>
      </c>
      <c r="T94" s="2875" t="s">
        <v>2791</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1"/>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1"/>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2785</v>
      </c>
      <c r="B185" s="2860"/>
      <c r="C185" s="2860"/>
      <c r="D185" s="2860"/>
      <c r="E185" s="2860"/>
      <c r="F185" s="2860"/>
      <c r="G185" s="2860"/>
      <c r="H185" s="2860"/>
      <c r="I185" s="2860"/>
      <c r="J185" s="2860"/>
      <c r="K185" s="2860"/>
      <c r="L185" s="2860"/>
      <c r="M185" s="2860"/>
    </row>
    <row r="186" spans="1:20">
      <c r="A186" s="2861" t="s">
        <v>2783</v>
      </c>
      <c r="B186" s="2862" t="s">
        <v>2579</v>
      </c>
      <c r="C186" s="2862" t="s">
        <v>2580</v>
      </c>
      <c r="D186" s="2862" t="s">
        <v>2581</v>
      </c>
      <c r="E186" s="2862" t="s">
        <v>2582</v>
      </c>
      <c r="F186" s="2862" t="s">
        <v>2583</v>
      </c>
      <c r="G186" s="2862" t="s">
        <v>2584</v>
      </c>
      <c r="H186" s="2863" t="s">
        <v>2585</v>
      </c>
      <c r="I186" s="2863" t="s">
        <v>2586</v>
      </c>
      <c r="J186" s="2864" t="s">
        <v>2587</v>
      </c>
      <c r="K186" s="2864" t="s">
        <v>2588</v>
      </c>
      <c r="L186" s="2864" t="s">
        <v>2589</v>
      </c>
      <c r="M186" s="2865" t="s">
        <v>2590</v>
      </c>
      <c r="Q186" s="2875" t="s">
        <v>2788</v>
      </c>
      <c r="R186" s="2875" t="s">
        <v>2789</v>
      </c>
      <c r="S186" s="2875" t="s">
        <v>2790</v>
      </c>
      <c r="T186" s="2875" t="s">
        <v>2791</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2786</v>
      </c>
      <c r="B277" s="2860"/>
      <c r="C277" s="2860"/>
      <c r="D277" s="2860"/>
      <c r="E277" s="2860"/>
      <c r="F277" s="2860"/>
      <c r="G277" s="2860"/>
      <c r="H277" s="2860"/>
      <c r="I277" s="2860"/>
      <c r="J277" s="2860"/>
      <c r="K277" s="2860"/>
      <c r="L277" s="2860"/>
      <c r="M277" s="2860"/>
    </row>
    <row r="278" spans="1:21">
      <c r="A278" s="2861" t="s">
        <v>2783</v>
      </c>
      <c r="B278" s="2862" t="s">
        <v>2579</v>
      </c>
      <c r="C278" s="2862" t="s">
        <v>2580</v>
      </c>
      <c r="D278" s="2862" t="s">
        <v>2581</v>
      </c>
      <c r="E278" s="2862" t="s">
        <v>2582</v>
      </c>
      <c r="F278" s="2862" t="s">
        <v>2583</v>
      </c>
      <c r="G278" s="2862" t="s">
        <v>2584</v>
      </c>
      <c r="H278" s="2863" t="s">
        <v>2585</v>
      </c>
      <c r="I278" s="2863" t="s">
        <v>2586</v>
      </c>
      <c r="J278" s="2864" t="s">
        <v>2587</v>
      </c>
      <c r="K278" s="2864" t="s">
        <v>2588</v>
      </c>
      <c r="L278" s="2864" t="s">
        <v>2589</v>
      </c>
      <c r="M278" s="2865" t="s">
        <v>2590</v>
      </c>
      <c r="Q278" s="2875" t="s">
        <v>2788</v>
      </c>
      <c r="R278" s="2875" t="s">
        <v>2789</v>
      </c>
      <c r="S278" s="2875" t="s">
        <v>2792</v>
      </c>
      <c r="T278" s="2875" t="s">
        <v>2793</v>
      </c>
      <c r="U278" s="2875" t="s">
        <v>2791</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2787</v>
      </c>
      <c r="B369" s="2873"/>
      <c r="C369" s="2873"/>
      <c r="D369" s="2873"/>
      <c r="E369" s="2873"/>
      <c r="F369" s="2873"/>
      <c r="G369" s="2873"/>
      <c r="H369" s="2873"/>
      <c r="I369" s="2873"/>
      <c r="J369" s="2873"/>
      <c r="K369" s="2873"/>
      <c r="L369" s="2873"/>
      <c r="M369" s="2873"/>
    </row>
    <row r="370" spans="1:20">
      <c r="A370" s="2861" t="s">
        <v>2783</v>
      </c>
      <c r="B370" s="2862" t="s">
        <v>2579</v>
      </c>
      <c r="C370" s="2862" t="s">
        <v>2580</v>
      </c>
      <c r="D370" s="2862" t="s">
        <v>2581</v>
      </c>
      <c r="E370" s="2862" t="s">
        <v>2582</v>
      </c>
      <c r="F370" s="2862" t="s">
        <v>2583</v>
      </c>
      <c r="G370" s="2862" t="s">
        <v>2584</v>
      </c>
      <c r="H370" s="2863" t="s">
        <v>2585</v>
      </c>
      <c r="I370" s="2863" t="s">
        <v>2586</v>
      </c>
      <c r="J370" s="2864" t="s">
        <v>2587</v>
      </c>
      <c r="K370" s="2864" t="s">
        <v>2588</v>
      </c>
      <c r="L370" s="2864" t="s">
        <v>2589</v>
      </c>
      <c r="M370" s="2865" t="s">
        <v>2590</v>
      </c>
      <c r="N370">
        <f>SUMPRODUCT((A371:A460=ROUNDDOWN(基准地价修正!G3,1))*(B370:M370=基准地价修正!G2)*(B371:M460))</f>
        <v>0.95120000000000005</v>
      </c>
      <c r="Q370" s="2875" t="s">
        <v>2788</v>
      </c>
      <c r="R370" s="2875" t="s">
        <v>2789</v>
      </c>
      <c r="S370" s="2875" t="s">
        <v>2790</v>
      </c>
      <c r="T370" s="2875" t="s">
        <v>2791</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30034</v>
      </c>
      <c r="C2" s="2" t="s">
        <v>106</v>
      </c>
      <c r="D2" s="191"/>
      <c r="E2" s="191"/>
      <c r="F2" s="191"/>
      <c r="G2" s="191"/>
    </row>
    <row r="3" spans="1:7" s="192" customFormat="1" ht="18" customHeight="1" thickBot="1">
      <c r="A3" s="195" t="s">
        <v>58</v>
      </c>
      <c r="B3" s="196">
        <f ca="1">ROUND(B2*10000/'数据-汇总表'!E3,0)</f>
        <v>71869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6" t="s">
        <v>346</v>
      </c>
      <c r="B6" s="207" t="s">
        <v>64</v>
      </c>
      <c r="C6" s="208">
        <v>20000</v>
      </c>
      <c r="D6" s="209"/>
      <c r="E6" s="210"/>
      <c r="F6" s="210"/>
      <c r="G6" s="211"/>
    </row>
    <row r="7" spans="1:7" s="206" customFormat="1" ht="13.5" customHeight="1">
      <c r="A7" s="726" t="s">
        <v>347</v>
      </c>
      <c r="B7" s="207" t="s">
        <v>30</v>
      </c>
      <c r="C7" s="212">
        <f>ROUND(C6*F7,0)</f>
        <v>610</v>
      </c>
      <c r="D7" s="212"/>
      <c r="E7" s="210"/>
      <c r="F7" s="213">
        <f>'数据-取费表'!B48+'数据-取费表'!B49</f>
        <v>3.0499999999999999E-2</v>
      </c>
      <c r="G7" s="211"/>
    </row>
    <row r="8" spans="1:7" s="215" customFormat="1">
      <c r="A8" s="726" t="s">
        <v>348</v>
      </c>
      <c r="B8" s="207" t="s">
        <v>65</v>
      </c>
      <c r="C8" s="212" t="str">
        <f>IF(G8="已包含在土地购买价格中","0",'数据-取费表'!B29)</f>
        <v>0</v>
      </c>
      <c r="D8" s="214"/>
      <c r="E8" s="212"/>
      <c r="F8" s="213"/>
      <c r="G8" s="1" t="s">
        <v>451</v>
      </c>
    </row>
    <row r="9" spans="1:7" s="206" customFormat="1" ht="13.5" customHeight="1">
      <c r="A9" s="727" t="s">
        <v>355</v>
      </c>
      <c r="B9" s="216" t="s">
        <v>66</v>
      </c>
      <c r="C9" s="217">
        <f>ROUND(D9*E9/10000,0)</f>
        <v>0</v>
      </c>
      <c r="D9" s="789">
        <f>'数据-汇总表'!E5</f>
        <v>0</v>
      </c>
      <c r="E9" s="217">
        <f>'数据-取费表'!B27</f>
        <v>160</v>
      </c>
      <c r="F9" s="213"/>
      <c r="G9" s="218"/>
    </row>
    <row r="10" spans="1:7" s="206" customFormat="1" ht="13.5" customHeight="1">
      <c r="A10" s="727" t="s">
        <v>356</v>
      </c>
      <c r="B10" s="216" t="s">
        <v>67</v>
      </c>
      <c r="C10" s="217">
        <f>ROUND(D10*E10/10000,0)</f>
        <v>84</v>
      </c>
      <c r="D10" s="789">
        <f>'数据-汇总表'!E6</f>
        <v>4179.0200000000004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5" t="s">
        <v>417</v>
      </c>
      <c r="B19" s="202" t="s">
        <v>84</v>
      </c>
      <c r="C19" s="203">
        <f>IF(G19="已包含在土地取得成本中","0",ROUND(D19*E19/10000,0))</f>
        <v>84</v>
      </c>
      <c r="D19" s="204">
        <f>'数据-汇总表'!E3</f>
        <v>4179.0200000000004</v>
      </c>
      <c r="E19" s="203">
        <f>'数据-取费表'!B31</f>
        <v>200</v>
      </c>
      <c r="F19" s="223"/>
      <c r="G19" s="1" t="s">
        <v>436</v>
      </c>
    </row>
    <row r="20" spans="1:7" s="206" customFormat="1" ht="13.5" customHeight="1">
      <c r="A20" s="725" t="s">
        <v>419</v>
      </c>
      <c r="B20" s="202" t="s">
        <v>77</v>
      </c>
      <c r="C20" s="224">
        <f>ROUND((C5+C19)*F20,0)</f>
        <v>414</v>
      </c>
      <c r="D20" s="224"/>
      <c r="E20" s="224"/>
      <c r="F20" s="225">
        <f>'数据-取费表'!B37</f>
        <v>0.02</v>
      </c>
      <c r="G20" s="998" t="s">
        <v>430</v>
      </c>
    </row>
    <row r="21" spans="1:7" s="206" customFormat="1" ht="13.5" customHeight="1">
      <c r="A21" s="725" t="s">
        <v>421</v>
      </c>
      <c r="B21" s="202" t="s">
        <v>78</v>
      </c>
      <c r="C21" s="227">
        <f>F21</f>
        <v>0.02</v>
      </c>
      <c r="D21" s="228" t="s">
        <v>99</v>
      </c>
      <c r="E21" s="224"/>
      <c r="F21" s="225">
        <f>'数据-取费表'!B38</f>
        <v>0.02</v>
      </c>
      <c r="G21" s="226" t="s">
        <v>79</v>
      </c>
    </row>
    <row r="22" spans="1:7" s="206" customFormat="1" ht="13.5" customHeight="1">
      <c r="A22" s="725" t="s">
        <v>341</v>
      </c>
      <c r="B22" s="202" t="s">
        <v>80</v>
      </c>
      <c r="C22" s="1035">
        <f ca="1">ROUND(SUM(C23:C25),0)</f>
        <v>1272</v>
      </c>
      <c r="D22" s="227">
        <f ca="1">C26</f>
        <v>5.9999999999999995E-4</v>
      </c>
      <c r="E22" s="228" t="s">
        <v>99</v>
      </c>
      <c r="F22" s="229">
        <f ca="1">'数据-取费表'!B40</f>
        <v>0.03</v>
      </c>
      <c r="G22" s="998" t="str">
        <f>IF('数据-取费表'!B22&lt;=1,"单利计息","复利计息")</f>
        <v>复利计息</v>
      </c>
    </row>
    <row r="23" spans="1:7" s="206" customFormat="1" ht="13.5" customHeight="1">
      <c r="A23" s="728" t="s">
        <v>349</v>
      </c>
      <c r="B23" s="207" t="s">
        <v>423</v>
      </c>
      <c r="C23" s="1036">
        <f ca="1">ROUND(IF('数据-取费表'!B22&lt;=1,C5*F22*'数据-取费表'!B23,C5*(POWER((1+F22),'数据-取费表'!B23)-1)),0)</f>
        <v>1255</v>
      </c>
      <c r="D23" s="230"/>
      <c r="E23" s="230"/>
      <c r="F23" s="231"/>
      <c r="G23" s="232" t="s">
        <v>81</v>
      </c>
    </row>
    <row r="24" spans="1:7" s="206" customFormat="1" ht="13.5" customHeight="1">
      <c r="A24" s="728" t="s">
        <v>347</v>
      </c>
      <c r="B24" s="207" t="s">
        <v>418</v>
      </c>
      <c r="C24" s="1036">
        <f ca="1">ROUND(IF('数据-取费表'!B22&lt;=1,C19*F22*('数据-取费表'!B19/2+'数据-取费表'!B21),C19*(POWER((1+F22),('数据-取费表'!B19/2+'数据-取费表'!B21))-1)),0)</f>
        <v>5</v>
      </c>
      <c r="D24" s="230"/>
      <c r="E24" s="230"/>
      <c r="F24" s="231"/>
      <c r="G24" s="232" t="s">
        <v>82</v>
      </c>
    </row>
    <row r="25" spans="1:7" s="206" customFormat="1" ht="24">
      <c r="A25" s="728" t="s">
        <v>348</v>
      </c>
      <c r="B25" s="207" t="s">
        <v>420</v>
      </c>
      <c r="C25" s="1036">
        <f ca="1">ROUND(IF('数据-取费表'!B22&lt;=1,C20*F22*'数据-取费表'!B23/2,C20*(POWER((1+F22),'数据-取费表'!B23/2)-1)),0)</f>
        <v>12</v>
      </c>
      <c r="D25" s="230"/>
      <c r="E25" s="233"/>
      <c r="F25" s="231"/>
      <c r="G25" s="234" t="s">
        <v>83</v>
      </c>
    </row>
    <row r="26" spans="1:7" s="206" customFormat="1">
      <c r="A26" s="728" t="s">
        <v>350</v>
      </c>
      <c r="B26" s="207" t="s">
        <v>422</v>
      </c>
      <c r="C26" s="230">
        <f ca="1">ROUND(IF('数据-取费表'!B22&lt;=1,F21*F22*'数据-取费表'!B23/2,F21*(POWER((1+F22),'数据-取费表'!B23/2)-1)),4)</f>
        <v>5.9999999999999995E-4</v>
      </c>
      <c r="D26" s="230"/>
      <c r="E26" s="233"/>
      <c r="F26" s="231"/>
      <c r="G26" s="235"/>
    </row>
    <row r="27" spans="1:7" s="206" customFormat="1" ht="24.75">
      <c r="A27" s="725" t="s">
        <v>342</v>
      </c>
      <c r="B27" s="236" t="s">
        <v>85</v>
      </c>
      <c r="C27" s="237">
        <f>C28</f>
        <v>3377</v>
      </c>
      <c r="D27" s="227">
        <f>C29</f>
        <v>3.2000000000000002E-3</v>
      </c>
      <c r="E27" s="228" t="s">
        <v>99</v>
      </c>
      <c r="F27" s="238">
        <f>'数据-取费表'!Q16</f>
        <v>0.16</v>
      </c>
      <c r="G27" s="239" t="s">
        <v>431</v>
      </c>
    </row>
    <row r="28" spans="1:7" s="206" customFormat="1" ht="13.5" customHeight="1">
      <c r="A28" s="728" t="s">
        <v>349</v>
      </c>
      <c r="B28" s="240" t="s">
        <v>424</v>
      </c>
      <c r="C28" s="241">
        <f>ROUND((C5+C19+C20)*F27*'数据-取费表'!B21/'数据-取费表'!B20,0)</f>
        <v>3377</v>
      </c>
      <c r="D28" s="227"/>
      <c r="E28" s="228"/>
      <c r="F28" s="238"/>
      <c r="G28" s="239"/>
    </row>
    <row r="29" spans="1:7" s="206" customFormat="1" ht="13.5" customHeight="1">
      <c r="A29" s="728" t="s">
        <v>347</v>
      </c>
      <c r="B29" s="240" t="s">
        <v>425</v>
      </c>
      <c r="C29" s="230">
        <f>ROUND(C21*F27*'数据-取费表'!B21/'数据-取费表'!B20,4)</f>
        <v>3.2000000000000002E-3</v>
      </c>
      <c r="D29" s="227"/>
      <c r="E29" s="228"/>
      <c r="F29" s="238"/>
      <c r="G29" s="239"/>
    </row>
    <row r="30" spans="1:7" s="206" customFormat="1" ht="13.5" customHeight="1">
      <c r="A30" s="725"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27910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2097</v>
      </c>
      <c r="D33" s="224"/>
      <c r="E33" s="204"/>
      <c r="F33" s="233"/>
      <c r="G33" s="226"/>
    </row>
    <row r="34" spans="1:7" s="250" customFormat="1" ht="13.5" customHeight="1">
      <c r="A34" s="728" t="s">
        <v>349</v>
      </c>
      <c r="B34" s="207" t="s">
        <v>32</v>
      </c>
      <c r="C34" s="212">
        <f>IF(F34=100%,'数据-取费表'!M16-SUMIF('数据-取费表'!C:C,"公共配套",'数据-取费表'!M:M),'数据-取费表'!O16-SUMIF('数据-取费表'!C:C,"公共配套",'数据-取费表'!O:O))</f>
        <v>1881</v>
      </c>
      <c r="D34" s="209"/>
      <c r="E34" s="212"/>
      <c r="F34" s="249">
        <f>IF('数据-取费表'!B24=0,1,'数据-取费表'!N16)</f>
        <v>1</v>
      </c>
      <c r="G34" s="211" t="s">
        <v>89</v>
      </c>
    </row>
    <row r="35" spans="1:7" ht="13.5" customHeight="1">
      <c r="A35" s="728" t="s">
        <v>351</v>
      </c>
      <c r="B35" s="207" t="s">
        <v>33</v>
      </c>
      <c r="C35" s="212">
        <f>ROUND(C34*F35,0)</f>
        <v>94</v>
      </c>
      <c r="D35" s="212"/>
      <c r="E35" s="212"/>
      <c r="F35" s="251">
        <f>'数据-取费表'!B33</f>
        <v>0.05</v>
      </c>
      <c r="G35" s="211" t="s">
        <v>90</v>
      </c>
    </row>
    <row r="36" spans="1:7" ht="24">
      <c r="A36" s="728"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28" t="s">
        <v>353</v>
      </c>
      <c r="B37" s="207" t="s">
        <v>91</v>
      </c>
      <c r="C37" s="241">
        <f>ROUND(E37*D37*F34/10000,0)</f>
        <v>84</v>
      </c>
      <c r="D37" s="209">
        <f>'数据-汇总表'!E3</f>
        <v>4179.0200000000004</v>
      </c>
      <c r="E37" s="241">
        <f>'数据-取费表'!B35</f>
        <v>200</v>
      </c>
      <c r="F37" s="251"/>
      <c r="G37" s="253" t="s">
        <v>92</v>
      </c>
    </row>
    <row r="38" spans="1:7" ht="13.5" customHeight="1">
      <c r="A38" s="728" t="s">
        <v>354</v>
      </c>
      <c r="B38" s="207" t="s">
        <v>36</v>
      </c>
      <c r="C38" s="212">
        <f>ROUND(C34*F38,0)</f>
        <v>38</v>
      </c>
      <c r="D38" s="212"/>
      <c r="E38" s="212"/>
      <c r="F38" s="251">
        <f>'数据-取费表'!B36</f>
        <v>0.02</v>
      </c>
      <c r="G38" s="211" t="s">
        <v>90</v>
      </c>
    </row>
    <row r="39" spans="1:7" s="206" customFormat="1" ht="13.5" customHeight="1">
      <c r="A39" s="725" t="s">
        <v>338</v>
      </c>
      <c r="B39" s="202" t="s">
        <v>77</v>
      </c>
      <c r="C39" s="224">
        <f>ROUND(C33*F20,0)</f>
        <v>42</v>
      </c>
      <c r="D39" s="224"/>
      <c r="E39" s="224"/>
      <c r="F39" s="225"/>
      <c r="G39" s="998" t="s">
        <v>433</v>
      </c>
    </row>
    <row r="40" spans="1:7" s="206" customFormat="1" ht="13.5" customHeight="1">
      <c r="A40" s="725" t="s">
        <v>339</v>
      </c>
      <c r="B40" s="202" t="s">
        <v>78</v>
      </c>
      <c r="C40" s="254">
        <f>F21</f>
        <v>0.02</v>
      </c>
      <c r="D40" s="228" t="s">
        <v>102</v>
      </c>
      <c r="E40" s="224"/>
      <c r="F40" s="225"/>
      <c r="G40" s="226" t="s">
        <v>93</v>
      </c>
    </row>
    <row r="41" spans="1:7" s="206" customFormat="1" ht="13.5" customHeight="1">
      <c r="A41" s="725" t="s">
        <v>340</v>
      </c>
      <c r="B41" s="202" t="s">
        <v>80</v>
      </c>
      <c r="C41" s="224">
        <f ca="1">ROUND(SUM(C42:C43),0)</f>
        <v>64</v>
      </c>
      <c r="D41" s="227">
        <f ca="1">C44</f>
        <v>5.9999999999999995E-4</v>
      </c>
      <c r="E41" s="228" t="s">
        <v>102</v>
      </c>
      <c r="F41" s="229"/>
      <c r="G41" s="998" t="str">
        <f>IF('数据-取费表'!B22&lt;=1,"单利计息","复利计息")</f>
        <v>复利计息</v>
      </c>
    </row>
    <row r="42" spans="1:7" ht="13.5" customHeight="1">
      <c r="A42" s="728" t="s">
        <v>349</v>
      </c>
      <c r="B42" s="207" t="s">
        <v>423</v>
      </c>
      <c r="C42" s="230">
        <f ca="1">ROUND(IF('数据-取费表'!B22&lt;=1,C33*F22*'数据-取费表'!B21/2,C33*(POWER((1+F22),'数据-取费表'!B21/2)-1)),0)</f>
        <v>63</v>
      </c>
      <c r="D42" s="230"/>
      <c r="E42" s="230"/>
      <c r="F42" s="231"/>
      <c r="G42" s="3439" t="s">
        <v>94</v>
      </c>
    </row>
    <row r="43" spans="1:7" ht="13.5" customHeight="1">
      <c r="A43" s="728" t="s">
        <v>347</v>
      </c>
      <c r="B43" s="207" t="s">
        <v>426</v>
      </c>
      <c r="C43" s="230">
        <f ca="1">ROUND(IF('数据-取费表'!B22&lt;=1,C39*F22*'数据-取费表'!B21/2,C39*(POWER((1+F22),'数据-取费表'!B21/2)-1)),0)</f>
        <v>1</v>
      </c>
      <c r="D43" s="230"/>
      <c r="E43" s="230"/>
      <c r="F43" s="231"/>
      <c r="G43" s="3440"/>
    </row>
    <row r="44" spans="1:7" ht="13.5" customHeight="1">
      <c r="A44" s="728" t="s">
        <v>348</v>
      </c>
      <c r="B44" s="207" t="s">
        <v>428</v>
      </c>
      <c r="C44" s="230">
        <f ca="1">ROUND(IF('数据-取费表'!B22&lt;=1,C40*F22*'数据-取费表'!B21/2,C40*(POWER((1+F22),'数据-取费表'!B21/2)-1)),4)</f>
        <v>5.9999999999999995E-4</v>
      </c>
      <c r="D44" s="230"/>
      <c r="E44" s="230"/>
      <c r="F44" s="231"/>
      <c r="G44" s="3441"/>
    </row>
    <row r="45" spans="1:7" s="206" customFormat="1" ht="13.5" customHeight="1">
      <c r="A45" s="725" t="s">
        <v>341</v>
      </c>
      <c r="B45" s="236" t="s">
        <v>85</v>
      </c>
      <c r="C45" s="237">
        <f>C46</f>
        <v>342</v>
      </c>
      <c r="D45" s="227">
        <f>C47</f>
        <v>3.2000000000000002E-3</v>
      </c>
      <c r="E45" s="228" t="s">
        <v>102</v>
      </c>
      <c r="F45" s="238"/>
      <c r="G45" s="239" t="s">
        <v>434</v>
      </c>
    </row>
    <row r="46" spans="1:7" s="206" customFormat="1" ht="13.5" customHeight="1">
      <c r="A46" s="728" t="s">
        <v>349</v>
      </c>
      <c r="B46" s="240" t="s">
        <v>427</v>
      </c>
      <c r="C46" s="241">
        <f>ROUND((C33+C39)*F27,0)</f>
        <v>342</v>
      </c>
      <c r="D46" s="255"/>
      <c r="E46" s="228"/>
      <c r="F46" s="238"/>
      <c r="G46" s="239"/>
    </row>
    <row r="47" spans="1:7" s="206" customFormat="1" ht="13.5" customHeight="1">
      <c r="A47" s="728" t="s">
        <v>347</v>
      </c>
      <c r="B47" s="240" t="s">
        <v>429</v>
      </c>
      <c r="C47" s="230">
        <f>ROUND(C40*F27,4)</f>
        <v>3.2000000000000002E-3</v>
      </c>
      <c r="D47" s="255"/>
      <c r="E47" s="228"/>
      <c r="F47" s="238"/>
      <c r="G47" s="239"/>
    </row>
    <row r="48" spans="1:7" s="206" customFormat="1" ht="13.5" customHeight="1">
      <c r="A48" s="725" t="s">
        <v>342</v>
      </c>
      <c r="B48" s="202" t="s">
        <v>95</v>
      </c>
      <c r="C48" s="254">
        <f>F30</f>
        <v>5.6000000000000001E-2</v>
      </c>
      <c r="D48" s="228" t="s">
        <v>103</v>
      </c>
      <c r="E48" s="224"/>
      <c r="F48" s="229"/>
      <c r="G48" s="226" t="s">
        <v>96</v>
      </c>
    </row>
    <row r="49" spans="1:7" ht="16.5" customHeight="1">
      <c r="A49" s="725" t="s">
        <v>343</v>
      </c>
      <c r="B49" s="202" t="s">
        <v>104</v>
      </c>
      <c r="C49" s="224">
        <f ca="1">ROUND((C33+C39+C41+C45)/(1-C40-D41-D45-C48/(1+'数据-取费表'!B42)),0)</f>
        <v>2758</v>
      </c>
      <c r="D49" s="224"/>
      <c r="E49" s="224"/>
      <c r="F49" s="256"/>
      <c r="G49" s="226" t="s">
        <v>435</v>
      </c>
    </row>
    <row r="50" spans="1:7" s="250" customFormat="1" ht="24">
      <c r="A50" s="725" t="s">
        <v>344</v>
      </c>
      <c r="B50" s="202" t="s">
        <v>97</v>
      </c>
      <c r="C50" s="224"/>
      <c r="D50" s="224"/>
      <c r="E50" s="224"/>
      <c r="F50" s="256">
        <f>IF('数据-取费表'!B24=0,'数据-取费表'!N16,1)</f>
        <v>0.77</v>
      </c>
      <c r="G50" s="239" t="s">
        <v>98</v>
      </c>
    </row>
    <row r="51" spans="1:7" ht="16.5" customHeight="1">
      <c r="A51" s="725" t="s">
        <v>345</v>
      </c>
      <c r="B51" s="202" t="s">
        <v>105</v>
      </c>
      <c r="C51" s="224">
        <f ca="1">ROUND(C49*F50,0)</f>
        <v>2124</v>
      </c>
      <c r="D51" s="224"/>
      <c r="E51" s="224"/>
      <c r="F51" s="256"/>
      <c r="G51" s="226" t="s">
        <v>37</v>
      </c>
    </row>
    <row r="52" spans="1:7" s="200" customFormat="1" ht="16.5" thickBot="1">
      <c r="A52" s="257" t="s">
        <v>38</v>
      </c>
      <c r="B52" s="258"/>
      <c r="C52" s="259">
        <f ca="1">C31+C51</f>
        <v>30034</v>
      </c>
      <c r="D52" s="258"/>
      <c r="E52" s="258"/>
      <c r="F52" s="258"/>
      <c r="G52" s="260"/>
    </row>
    <row r="55" spans="1:7" ht="15">
      <c r="B55" s="262" t="s">
        <v>39</v>
      </c>
      <c r="C55" s="263"/>
    </row>
    <row r="56" spans="1:7">
      <c r="B56" s="265" t="s">
        <v>40</v>
      </c>
      <c r="C56" s="266">
        <f ca="1">ROUND(C51/C52,3)</f>
        <v>7.0999999999999994E-2</v>
      </c>
    </row>
    <row r="57" spans="1:7">
      <c r="B57" s="265" t="s">
        <v>41</v>
      </c>
      <c r="C57" s="267">
        <f ca="1">1-C56</f>
        <v>0.92900000000000005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5" t="str">
        <f>IF(项目基本情况!B9="房地产市场价值","估价结果一览表","结果表-2")</f>
        <v>结果表-2</v>
      </c>
      <c r="B1" s="3275"/>
      <c r="C1" s="3275"/>
      <c r="D1" s="3275"/>
      <c r="E1" s="3275"/>
      <c r="F1" s="3275"/>
      <c r="G1" s="3275"/>
      <c r="H1" s="3275"/>
      <c r="I1" s="3275"/>
    </row>
    <row r="2" spans="1:9" ht="30" customHeight="1" thickTop="1">
      <c r="A2" s="3276" t="s">
        <v>924</v>
      </c>
      <c r="B2" s="3276" t="s">
        <v>925</v>
      </c>
      <c r="C2" s="3276" t="s">
        <v>926</v>
      </c>
      <c r="D2" s="3276" t="str">
        <f>'结果表-203'!D116</f>
        <v>出让国有建设用地使用权价值</v>
      </c>
      <c r="E2" s="3276"/>
      <c r="F2" s="3276" t="str">
        <f>'结果表-203'!F116</f>
        <v>在建建筑物价值</v>
      </c>
      <c r="G2" s="3276"/>
      <c r="H2" s="3276" t="str">
        <f>IF(项目基本情况!B9="房地产市场价值","房地产市场价值","房地产价值")</f>
        <v>房地产价值</v>
      </c>
      <c r="I2" s="3276"/>
    </row>
    <row r="3" spans="1:9" ht="15">
      <c r="A3" s="3271"/>
      <c r="B3" s="3271"/>
      <c r="C3" s="3271"/>
      <c r="D3" s="795" t="s">
        <v>921</v>
      </c>
      <c r="E3" s="795" t="s">
        <v>927</v>
      </c>
      <c r="F3" s="795" t="s">
        <v>921</v>
      </c>
      <c r="G3" s="795" t="s">
        <v>922</v>
      </c>
      <c r="H3" s="795" t="s">
        <v>921</v>
      </c>
      <c r="I3" s="795" t="s">
        <v>922</v>
      </c>
    </row>
    <row r="4" spans="1:9" ht="15">
      <c r="A4" s="1397" t="str">
        <f>项目基本情况!S2</f>
        <v>北京市房地产</v>
      </c>
      <c r="B4" s="795">
        <f>项目基本情况!C17</f>
        <v>4179.0200000000004</v>
      </c>
      <c r="C4" s="795">
        <f>项目基本情况!C18</f>
        <v>0</v>
      </c>
      <c r="D4" s="795">
        <f ca="1">'结果表-203'!D118</f>
        <v>2555</v>
      </c>
      <c r="E4" s="795">
        <f ca="1">'结果表-203'!E118</f>
        <v>15886</v>
      </c>
      <c r="F4" s="795">
        <f ca="1">'结果表-203'!F118</f>
        <v>893</v>
      </c>
      <c r="G4" s="795">
        <f ca="1">'结果表-203'!G118</f>
        <v>5553</v>
      </c>
      <c r="H4" s="795">
        <f ca="1">'结果表-203'!H118</f>
        <v>3448</v>
      </c>
      <c r="I4" s="795">
        <f ca="1">'结果表-203'!I118</f>
        <v>21439</v>
      </c>
    </row>
    <row r="5" spans="1:9" ht="30" customHeight="1">
      <c r="A5" s="3271" t="s">
        <v>923</v>
      </c>
      <c r="B5" s="3271"/>
      <c r="C5" s="3271"/>
      <c r="D5" s="3271" t="str">
        <f ca="1">'结果表-203'!D119</f>
        <v>贰仟伍佰伍拾伍万元整</v>
      </c>
      <c r="E5" s="3271"/>
      <c r="F5" s="3271" t="str">
        <f ca="1">'结果表-203'!F119</f>
        <v>捌佰玖拾叁万元整</v>
      </c>
      <c r="G5" s="3271"/>
      <c r="H5" s="3271" t="str">
        <f ca="1">'结果表-203'!H119</f>
        <v>叁仟肆佰肆拾捌万元整</v>
      </c>
      <c r="I5" s="3271"/>
    </row>
    <row r="6" spans="1:9" ht="15.75">
      <c r="A6" s="3270" t="str">
        <f>'结果表-203'!A120</f>
        <v>估价师知悉的法定优先受偿款</v>
      </c>
      <c r="B6" s="3270"/>
      <c r="C6" s="3270"/>
      <c r="D6" s="3270">
        <f>'结果表-203'!D120</f>
        <v>0</v>
      </c>
      <c r="E6" s="3270"/>
      <c r="F6" s="3270"/>
      <c r="G6" s="3270"/>
      <c r="H6" s="3270"/>
      <c r="I6" s="3270"/>
    </row>
    <row r="7" spans="1:9" ht="15">
      <c r="A7" s="3271" t="s">
        <v>923</v>
      </c>
      <c r="B7" s="3271"/>
      <c r="C7" s="3271"/>
      <c r="D7" s="3272" t="str">
        <f>'结果表-203'!D121</f>
        <v>零元整</v>
      </c>
      <c r="E7" s="3273"/>
      <c r="F7" s="3273"/>
      <c r="G7" s="3273"/>
      <c r="H7" s="3273"/>
      <c r="I7" s="3274"/>
    </row>
    <row r="8" spans="1:9" ht="15.75">
      <c r="A8" s="3270" t="str">
        <f>'结果表-203'!A122</f>
        <v>房地产抵押价值</v>
      </c>
      <c r="B8" s="3270"/>
      <c r="C8" s="3270"/>
      <c r="D8" s="3270">
        <f ca="1">'结果表-203'!D122</f>
        <v>3448</v>
      </c>
      <c r="E8" s="3270"/>
      <c r="F8" s="3270"/>
      <c r="G8" s="3270"/>
      <c r="H8" s="3270"/>
      <c r="I8" s="3270"/>
    </row>
    <row r="9" spans="1:9" ht="15">
      <c r="A9" s="3271" t="s">
        <v>923</v>
      </c>
      <c r="B9" s="3271"/>
      <c r="C9" s="3271"/>
      <c r="D9" s="3271" t="str">
        <f ca="1">'结果表-203'!D123</f>
        <v>叁仟肆佰肆拾捌万元整</v>
      </c>
      <c r="E9" s="3271"/>
      <c r="F9" s="3271"/>
      <c r="G9" s="3271"/>
      <c r="H9" s="3271"/>
      <c r="I9" s="3271"/>
    </row>
    <row r="10" spans="1:9" ht="15.75">
      <c r="A10" s="3270" t="str">
        <f>'结果表-203'!A124</f>
        <v/>
      </c>
      <c r="B10" s="3270"/>
      <c r="C10" s="3270"/>
      <c r="D10" s="3270" t="str">
        <f>'结果表-203'!D124</f>
        <v>——</v>
      </c>
      <c r="E10" s="3270"/>
      <c r="F10" s="3270"/>
      <c r="G10" s="3270"/>
      <c r="H10" s="3270"/>
      <c r="I10" s="3270"/>
    </row>
    <row r="11" spans="1:9" ht="15">
      <c r="A11" s="3271" t="s">
        <v>923</v>
      </c>
      <c r="B11" s="3271"/>
      <c r="C11" s="3271"/>
      <c r="D11" s="3271" t="e">
        <f>'结果表-203'!D125</f>
        <v>#VALUE!</v>
      </c>
      <c r="E11" s="3271"/>
      <c r="F11" s="3271"/>
      <c r="G11" s="3271"/>
      <c r="H11" s="3271"/>
      <c r="I11" s="3271"/>
    </row>
    <row r="12" spans="1:9" ht="15.75">
      <c r="A12" s="3270" t="str">
        <f>'结果表-203'!A126</f>
        <v>抵押净值</v>
      </c>
      <c r="B12" s="3270"/>
      <c r="C12" s="3270"/>
      <c r="D12" s="3270">
        <f ca="1">'结果表-203'!D126</f>
        <v>3446</v>
      </c>
      <c r="E12" s="3270"/>
      <c r="F12" s="3270"/>
      <c r="G12" s="3270"/>
      <c r="H12" s="3270"/>
      <c r="I12" s="3270"/>
    </row>
    <row r="13" spans="1:9" ht="15.75" thickBot="1">
      <c r="A13" s="3268" t="s">
        <v>923</v>
      </c>
      <c r="B13" s="3268"/>
      <c r="C13" s="3268"/>
      <c r="D13" s="3268" t="str">
        <f ca="1">'结果表-203'!D127</f>
        <v>叁仟肆佰肆拾陆万元整</v>
      </c>
      <c r="E13" s="3268"/>
      <c r="F13" s="3268"/>
      <c r="G13" s="3268"/>
      <c r="H13" s="3268"/>
      <c r="I13" s="3268"/>
    </row>
    <row r="14" spans="1:9" ht="15" thickTop="1">
      <c r="A14" s="3269" t="s">
        <v>928</v>
      </c>
      <c r="B14" s="3269"/>
      <c r="C14" s="3269"/>
      <c r="D14" s="3269"/>
      <c r="E14" s="3269"/>
      <c r="F14" s="3269"/>
      <c r="G14" s="3269"/>
      <c r="H14" s="3269"/>
      <c r="I14" s="3269"/>
    </row>
    <row r="16" spans="1:9" ht="18.75">
      <c r="A16" s="1398"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81" t="s">
        <v>3165</v>
      </c>
      <c r="B1" s="3581"/>
    </row>
    <row r="2" spans="1:7" ht="14.25" thickBot="1">
      <c r="A2" s="2963"/>
      <c r="B2" s="2963"/>
    </row>
    <row r="3" spans="1:7" ht="14.25" thickBot="1">
      <c r="A3" s="2963"/>
      <c r="B3" s="2963"/>
      <c r="C3" s="2964" t="s">
        <v>2795</v>
      </c>
      <c r="D3" s="2964" t="s">
        <v>2851</v>
      </c>
      <c r="E3" s="2964" t="s">
        <v>2797</v>
      </c>
      <c r="F3" s="2964" t="s">
        <v>2852</v>
      </c>
      <c r="G3" s="2964" t="s">
        <v>2615</v>
      </c>
    </row>
    <row r="4" spans="1:7" ht="14.25" thickBot="1">
      <c r="A4" s="2965" t="s">
        <v>2850</v>
      </c>
      <c r="B4" s="2966" t="s">
        <v>2856</v>
      </c>
      <c r="C4" s="2964"/>
      <c r="D4" s="2964"/>
      <c r="E4" s="2964"/>
      <c r="F4" s="2964"/>
      <c r="G4" s="2964"/>
    </row>
    <row r="5" spans="1:7">
      <c r="A5" s="2967" t="s">
        <v>2824</v>
      </c>
      <c r="B5" s="2968" t="s">
        <v>2838</v>
      </c>
      <c r="C5" s="2969">
        <v>9.8000000000000004E-2</v>
      </c>
      <c r="D5" s="2969">
        <v>8.6999999999999994E-2</v>
      </c>
      <c r="E5" s="2969">
        <v>8.6999999999999994E-2</v>
      </c>
      <c r="F5" s="2969">
        <v>9.8000000000000004E-2</v>
      </c>
      <c r="G5" s="2970">
        <v>9.5000000000000001E-2</v>
      </c>
    </row>
    <row r="6" spans="1:7">
      <c r="A6" s="2971" t="s">
        <v>144</v>
      </c>
      <c r="B6" s="2972" t="s">
        <v>2853</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2839</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2889</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2907</v>
      </c>
      <c r="C29" s="2981"/>
      <c r="D29" s="2977">
        <v>5.1999999999999998E-2</v>
      </c>
      <c r="E29" s="2977">
        <v>7.0000000000000007E-2</v>
      </c>
      <c r="F29" s="2981"/>
      <c r="G29" s="2979">
        <v>7.0999999999999994E-2</v>
      </c>
    </row>
    <row r="30" spans="1:7">
      <c r="A30" s="2982" t="s">
        <v>296</v>
      </c>
      <c r="B30" s="2968" t="s">
        <v>2840</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2826</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2910</v>
      </c>
      <c r="C50" s="2973">
        <v>9.8000000000000004E-2</v>
      </c>
      <c r="D50" s="2973">
        <v>7.2999999999999995E-2</v>
      </c>
      <c r="E50" s="2973">
        <v>7.0999999999999994E-2</v>
      </c>
      <c r="F50" s="2984"/>
      <c r="G50" s="2974">
        <v>7.2999999999999995E-2</v>
      </c>
    </row>
    <row r="51" spans="1:7">
      <c r="A51" s="2983" t="s">
        <v>296</v>
      </c>
      <c r="B51" s="2972" t="s">
        <v>2912</v>
      </c>
      <c r="C51" s="2973">
        <v>9.9000000000000005E-2</v>
      </c>
      <c r="D51" s="2973">
        <v>8.5000000000000006E-2</v>
      </c>
      <c r="E51" s="2973">
        <v>6.3E-2</v>
      </c>
      <c r="F51" s="2984"/>
      <c r="G51" s="2974">
        <v>9.6000000000000002E-2</v>
      </c>
    </row>
    <row r="52" spans="1:7">
      <c r="A52" s="2983" t="s">
        <v>296</v>
      </c>
      <c r="B52" s="2972" t="s">
        <v>2916</v>
      </c>
      <c r="C52" s="2973">
        <v>7.3999999999999996E-2</v>
      </c>
      <c r="D52" s="2973">
        <v>9.6000000000000002E-2</v>
      </c>
      <c r="E52" s="2973">
        <v>0.05</v>
      </c>
      <c r="F52" s="2984"/>
      <c r="G52" s="2974">
        <v>9.8000000000000004E-2</v>
      </c>
    </row>
    <row r="53" spans="1:7">
      <c r="A53" s="2983" t="s">
        <v>296</v>
      </c>
      <c r="B53" s="2972" t="s">
        <v>2921</v>
      </c>
      <c r="C53" s="2973">
        <v>8.5999999999999993E-2</v>
      </c>
      <c r="D53" s="2984"/>
      <c r="E53" s="2973">
        <v>9.1999999999999998E-2</v>
      </c>
      <c r="F53" s="2984"/>
      <c r="G53" s="2985"/>
    </row>
    <row r="54" spans="1:7" ht="14.25" thickBot="1">
      <c r="A54" s="2986" t="s">
        <v>296</v>
      </c>
      <c r="B54" s="2976" t="s">
        <v>2924</v>
      </c>
      <c r="C54" s="2977">
        <v>9.6000000000000002E-2</v>
      </c>
      <c r="D54" s="2978"/>
      <c r="E54" s="2987"/>
      <c r="F54" s="2978"/>
      <c r="G54" s="2988"/>
    </row>
    <row r="55" spans="1:7">
      <c r="A55" s="2982" t="s">
        <v>110</v>
      </c>
      <c r="B55" s="2968" t="s">
        <v>2841</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2922</v>
      </c>
      <c r="C78" s="2973">
        <v>0.1</v>
      </c>
      <c r="D78" s="2973">
        <v>8.5000000000000006E-2</v>
      </c>
      <c r="E78" s="2973">
        <v>9.6000000000000002E-2</v>
      </c>
      <c r="F78" s="2984"/>
      <c r="G78" s="2974">
        <v>9.6000000000000002E-2</v>
      </c>
    </row>
    <row r="79" spans="1:7">
      <c r="A79" s="2983" t="s">
        <v>110</v>
      </c>
      <c r="B79" s="2972" t="s">
        <v>2925</v>
      </c>
      <c r="C79" s="2973">
        <v>0.05</v>
      </c>
      <c r="D79" s="2973">
        <v>9.6000000000000002E-2</v>
      </c>
      <c r="E79" s="2973">
        <v>9.5000000000000001E-2</v>
      </c>
      <c r="F79" s="2984"/>
      <c r="G79" s="2974">
        <v>9.8000000000000004E-2</v>
      </c>
    </row>
    <row r="80" spans="1:7">
      <c r="A80" s="2983" t="s">
        <v>110</v>
      </c>
      <c r="B80" s="2972" t="s">
        <v>2929</v>
      </c>
      <c r="C80" s="2973">
        <v>8.5999999999999993E-2</v>
      </c>
      <c r="D80" s="2989"/>
      <c r="E80" s="2973">
        <v>0.1</v>
      </c>
      <c r="F80" s="2984"/>
      <c r="G80" s="2985"/>
    </row>
    <row r="81" spans="1:7">
      <c r="A81" s="2983" t="s">
        <v>110</v>
      </c>
      <c r="B81" s="2972" t="s">
        <v>2934</v>
      </c>
      <c r="C81" s="2973">
        <v>9.6000000000000002E-2</v>
      </c>
      <c r="D81" s="2984"/>
      <c r="E81" s="2973">
        <v>9.8000000000000004E-2</v>
      </c>
      <c r="F81" s="2984"/>
      <c r="G81" s="2985"/>
    </row>
    <row r="82" spans="1:7">
      <c r="A82" s="2983" t="s">
        <v>110</v>
      </c>
      <c r="B82" s="2972" t="s">
        <v>2941</v>
      </c>
      <c r="C82" s="2989"/>
      <c r="D82" s="2984"/>
      <c r="E82" s="2973">
        <v>7.6999999999999999E-2</v>
      </c>
      <c r="F82" s="2984"/>
      <c r="G82" s="2985"/>
    </row>
    <row r="83" spans="1:7">
      <c r="A83" s="2983" t="s">
        <v>110</v>
      </c>
      <c r="B83" s="2972" t="s">
        <v>2947</v>
      </c>
      <c r="C83" s="2984"/>
      <c r="D83" s="2984"/>
      <c r="E83" s="2984"/>
      <c r="F83" s="2973">
        <v>0.1</v>
      </c>
      <c r="G83" s="2990"/>
    </row>
    <row r="84" spans="1:7">
      <c r="A84" s="2983" t="s">
        <v>110</v>
      </c>
      <c r="B84" s="2972" t="s">
        <v>2954</v>
      </c>
      <c r="C84" s="2984"/>
      <c r="D84" s="2984"/>
      <c r="E84" s="2984"/>
      <c r="F84" s="2973">
        <v>0.1</v>
      </c>
      <c r="G84" s="2990"/>
    </row>
    <row r="85" spans="1:7">
      <c r="A85" s="2983" t="s">
        <v>110</v>
      </c>
      <c r="B85" s="2972" t="s">
        <v>2961</v>
      </c>
      <c r="C85" s="2984"/>
      <c r="D85" s="2984"/>
      <c r="E85" s="2984"/>
      <c r="F85" s="2973">
        <v>0.1</v>
      </c>
      <c r="G85" s="2990"/>
    </row>
    <row r="86" spans="1:7" ht="14.25" thickBot="1">
      <c r="A86" s="2986" t="s">
        <v>110</v>
      </c>
      <c r="B86" s="2976" t="s">
        <v>2966</v>
      </c>
      <c r="C86" s="2977">
        <v>9.8000000000000004E-2</v>
      </c>
      <c r="D86" s="2977">
        <v>9.8000000000000004E-2</v>
      </c>
      <c r="E86" s="2977">
        <v>9.6000000000000002E-2</v>
      </c>
      <c r="F86" s="2987"/>
      <c r="G86" s="2979">
        <v>0.1</v>
      </c>
    </row>
    <row r="87" spans="1:7">
      <c r="A87" s="2982" t="s">
        <v>303</v>
      </c>
      <c r="B87" s="2968" t="s">
        <v>2842</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2935</v>
      </c>
      <c r="C113" s="2973">
        <v>0.1</v>
      </c>
      <c r="D113" s="2973">
        <v>0.1</v>
      </c>
      <c r="E113" s="2984"/>
      <c r="F113" s="2984"/>
      <c r="G113" s="2974">
        <v>0.1</v>
      </c>
    </row>
    <row r="114" spans="1:7">
      <c r="A114" s="2983" t="s">
        <v>303</v>
      </c>
      <c r="B114" s="2972" t="s">
        <v>2942</v>
      </c>
      <c r="C114" s="2973">
        <v>9.7000000000000003E-2</v>
      </c>
      <c r="D114" s="2973">
        <v>9.7000000000000003E-2</v>
      </c>
      <c r="E114" s="2984"/>
      <c r="F114" s="2984"/>
      <c r="G114" s="2974">
        <v>9.9000000000000005E-2</v>
      </c>
    </row>
    <row r="115" spans="1:7">
      <c r="A115" s="2983" t="s">
        <v>303</v>
      </c>
      <c r="B115" s="2972" t="s">
        <v>2948</v>
      </c>
      <c r="C115" s="2973">
        <v>0.1</v>
      </c>
      <c r="D115" s="2973">
        <v>0.1</v>
      </c>
      <c r="E115" s="2984"/>
      <c r="F115" s="2984"/>
      <c r="G115" s="2974">
        <v>0.1</v>
      </c>
    </row>
    <row r="116" spans="1:7">
      <c r="A116" s="2983" t="s">
        <v>303</v>
      </c>
      <c r="B116" s="2972" t="s">
        <v>2955</v>
      </c>
      <c r="C116" s="2973">
        <v>0.1</v>
      </c>
      <c r="D116" s="2973">
        <v>0.1</v>
      </c>
      <c r="E116" s="2984"/>
      <c r="F116" s="2984"/>
      <c r="G116" s="2974">
        <v>0.1</v>
      </c>
    </row>
    <row r="117" spans="1:7">
      <c r="A117" s="2983" t="s">
        <v>303</v>
      </c>
      <c r="B117" s="2972" t="s">
        <v>2962</v>
      </c>
      <c r="C117" s="2973">
        <v>9.7000000000000003E-2</v>
      </c>
      <c r="D117" s="2973">
        <v>9.7000000000000003E-2</v>
      </c>
      <c r="E117" s="2984"/>
      <c r="F117" s="2984"/>
      <c r="G117" s="2974">
        <v>9.7000000000000003E-2</v>
      </c>
    </row>
    <row r="118" spans="1:7">
      <c r="A118" s="2983" t="s">
        <v>303</v>
      </c>
      <c r="B118" s="2972" t="s">
        <v>2967</v>
      </c>
      <c r="C118" s="2973">
        <v>0.1</v>
      </c>
      <c r="D118" s="2973">
        <v>0.1</v>
      </c>
      <c r="E118" s="2984"/>
      <c r="F118" s="2984"/>
      <c r="G118" s="2974">
        <v>0.1</v>
      </c>
    </row>
    <row r="119" spans="1:7">
      <c r="A119" s="2983" t="s">
        <v>303</v>
      </c>
      <c r="B119" s="2972" t="s">
        <v>2971</v>
      </c>
      <c r="C119" s="2973">
        <v>5.0999999999999997E-2</v>
      </c>
      <c r="D119" s="2973">
        <v>5.1999999999999998E-2</v>
      </c>
      <c r="E119" s="2984"/>
      <c r="F119" s="2989"/>
      <c r="G119" s="2974">
        <v>0.06</v>
      </c>
    </row>
    <row r="120" spans="1:7">
      <c r="A120" s="2983" t="s">
        <v>303</v>
      </c>
      <c r="B120" s="2972" t="s">
        <v>2975</v>
      </c>
      <c r="C120" s="2984"/>
      <c r="D120" s="2984"/>
      <c r="E120" s="2984"/>
      <c r="F120" s="2973">
        <v>0.1</v>
      </c>
      <c r="G120" s="2990"/>
    </row>
    <row r="121" spans="1:7">
      <c r="A121" s="2983" t="s">
        <v>303</v>
      </c>
      <c r="B121" s="2972" t="s">
        <v>2980</v>
      </c>
      <c r="C121" s="2984"/>
      <c r="D121" s="2984"/>
      <c r="E121" s="2984"/>
      <c r="F121" s="2973">
        <v>0.1</v>
      </c>
      <c r="G121" s="2990"/>
    </row>
    <row r="122" spans="1:7">
      <c r="A122" s="2983" t="s">
        <v>303</v>
      </c>
      <c r="B122" s="2972" t="s">
        <v>2985</v>
      </c>
      <c r="C122" s="2973">
        <v>0.1</v>
      </c>
      <c r="D122" s="2973">
        <v>0.1</v>
      </c>
      <c r="E122" s="2973">
        <v>9.8000000000000004E-2</v>
      </c>
      <c r="F122" s="2973">
        <v>0.1</v>
      </c>
      <c r="G122" s="2974">
        <v>0.1</v>
      </c>
    </row>
    <row r="123" spans="1:7">
      <c r="A123" s="2983" t="s">
        <v>303</v>
      </c>
      <c r="B123" s="2972" t="s">
        <v>2990</v>
      </c>
      <c r="C123" s="2973">
        <v>0.1</v>
      </c>
      <c r="D123" s="2973">
        <v>0.1</v>
      </c>
      <c r="E123" s="2973">
        <v>9.8000000000000004E-2</v>
      </c>
      <c r="F123" s="2973">
        <v>0.1</v>
      </c>
      <c r="G123" s="2974">
        <v>0.1</v>
      </c>
    </row>
    <row r="124" spans="1:7">
      <c r="A124" s="2983" t="s">
        <v>303</v>
      </c>
      <c r="B124" s="2972" t="s">
        <v>2995</v>
      </c>
      <c r="C124" s="2973">
        <v>0.1</v>
      </c>
      <c r="D124" s="2973">
        <v>0.1</v>
      </c>
      <c r="E124" s="2973">
        <v>9.8000000000000004E-2</v>
      </c>
      <c r="F124" s="2989"/>
      <c r="G124" s="2974">
        <v>0.1</v>
      </c>
    </row>
    <row r="125" spans="1:7">
      <c r="A125" s="2983" t="s">
        <v>303</v>
      </c>
      <c r="B125" s="2972" t="s">
        <v>3000</v>
      </c>
      <c r="C125" s="2973">
        <v>9.8000000000000004E-2</v>
      </c>
      <c r="D125" s="2973">
        <v>9.8000000000000004E-2</v>
      </c>
      <c r="E125" s="2973">
        <v>9.6000000000000002E-2</v>
      </c>
      <c r="F125" s="2989"/>
      <c r="G125" s="2974">
        <v>0.1</v>
      </c>
    </row>
    <row r="126" spans="1:7" ht="14.25" thickBot="1">
      <c r="A126" s="2986" t="s">
        <v>303</v>
      </c>
      <c r="B126" s="2976" t="s">
        <v>3166</v>
      </c>
      <c r="C126" s="2977">
        <v>0.1</v>
      </c>
      <c r="D126" s="2977">
        <v>0.1</v>
      </c>
      <c r="E126" s="2977">
        <v>9.8000000000000004E-2</v>
      </c>
      <c r="F126" s="2977">
        <v>0.1</v>
      </c>
      <c r="G126" s="2979">
        <v>0.1</v>
      </c>
    </row>
    <row r="127" spans="1:7">
      <c r="A127" s="2982" t="s">
        <v>29</v>
      </c>
      <c r="B127" s="2968" t="s">
        <v>2843</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2913</v>
      </c>
      <c r="C148" s="2973">
        <v>0.13</v>
      </c>
      <c r="D148" s="2973">
        <v>0.13</v>
      </c>
      <c r="E148" s="2973">
        <v>0.13</v>
      </c>
      <c r="F148" s="2984"/>
      <c r="G148" s="2974">
        <v>0.13</v>
      </c>
    </row>
    <row r="149" spans="1:7">
      <c r="A149" s="2983" t="s">
        <v>29</v>
      </c>
      <c r="B149" s="2972" t="s">
        <v>2917</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2936</v>
      </c>
      <c r="C153" s="2973">
        <v>0.13</v>
      </c>
      <c r="D153" s="2973">
        <v>0.13</v>
      </c>
      <c r="E153" s="2973">
        <v>0.13</v>
      </c>
      <c r="F153" s="2973">
        <v>0.13</v>
      </c>
      <c r="G153" s="2974">
        <v>0.13</v>
      </c>
    </row>
    <row r="154" spans="1:7">
      <c r="A154" s="2983" t="s">
        <v>29</v>
      </c>
      <c r="B154" s="2972" t="s">
        <v>2943</v>
      </c>
      <c r="C154" s="2973">
        <v>0.121</v>
      </c>
      <c r="D154" s="2973">
        <v>0.121</v>
      </c>
      <c r="E154" s="2973">
        <v>0.105</v>
      </c>
      <c r="F154" s="2973">
        <v>0.121</v>
      </c>
      <c r="G154" s="2974">
        <v>0.123</v>
      </c>
    </row>
    <row r="155" spans="1:7">
      <c r="A155" s="2983" t="s">
        <v>29</v>
      </c>
      <c r="B155" s="2972" t="s">
        <v>2949</v>
      </c>
      <c r="C155" s="2973">
        <v>0.1</v>
      </c>
      <c r="D155" s="2973">
        <v>0.1</v>
      </c>
      <c r="E155" s="2973">
        <v>0.1</v>
      </c>
      <c r="F155" s="2973">
        <v>0.1</v>
      </c>
      <c r="G155" s="2974">
        <v>0.1</v>
      </c>
    </row>
    <row r="156" spans="1:7">
      <c r="A156" s="2983" t="s">
        <v>29</v>
      </c>
      <c r="B156" s="2972" t="s">
        <v>2956</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2976</v>
      </c>
      <c r="C160" s="2973">
        <v>0.13</v>
      </c>
      <c r="D160" s="2973">
        <v>0.13</v>
      </c>
      <c r="E160" s="2973">
        <v>0.124</v>
      </c>
      <c r="F160" s="2973">
        <v>0.126</v>
      </c>
      <c r="G160" s="2974">
        <v>0.13</v>
      </c>
    </row>
    <row r="161" spans="1:7">
      <c r="A161" s="2983" t="s">
        <v>29</v>
      </c>
      <c r="B161" s="2972" t="s">
        <v>2981</v>
      </c>
      <c r="C161" s="2973">
        <v>0.13</v>
      </c>
      <c r="D161" s="2973">
        <v>0.13</v>
      </c>
      <c r="E161" s="2973">
        <v>0.124</v>
      </c>
      <c r="F161" s="2973">
        <v>0.127</v>
      </c>
      <c r="G161" s="2974">
        <v>0.13</v>
      </c>
    </row>
    <row r="162" spans="1:7">
      <c r="A162" s="2983" t="s">
        <v>29</v>
      </c>
      <c r="B162" s="2972" t="s">
        <v>2986</v>
      </c>
      <c r="C162" s="2973">
        <v>0.1</v>
      </c>
      <c r="D162" s="2973">
        <v>0.1</v>
      </c>
      <c r="E162" s="2973">
        <v>0.1</v>
      </c>
      <c r="F162" s="2973">
        <v>0.121</v>
      </c>
      <c r="G162" s="2974">
        <v>0.105</v>
      </c>
    </row>
    <row r="163" spans="1:7">
      <c r="A163" s="2983" t="s">
        <v>29</v>
      </c>
      <c r="B163" s="2972" t="s">
        <v>2991</v>
      </c>
      <c r="C163" s="2973">
        <v>0.1</v>
      </c>
      <c r="D163" s="2973">
        <v>0.1</v>
      </c>
      <c r="E163" s="2973">
        <v>0.1</v>
      </c>
      <c r="F163" s="2973">
        <v>0.1</v>
      </c>
      <c r="G163" s="2974">
        <v>0.1</v>
      </c>
    </row>
    <row r="164" spans="1:7">
      <c r="A164" s="2983" t="s">
        <v>29</v>
      </c>
      <c r="B164" s="2972" t="s">
        <v>2996</v>
      </c>
      <c r="C164" s="2989"/>
      <c r="D164" s="2989"/>
      <c r="E164" s="2989"/>
      <c r="F164" s="2973">
        <v>0.1</v>
      </c>
      <c r="G164" s="2985"/>
    </row>
    <row r="165" spans="1:7">
      <c r="A165" s="2983" t="s">
        <v>29</v>
      </c>
      <c r="B165" s="2972" t="s">
        <v>3167</v>
      </c>
      <c r="C165" s="2973">
        <v>0.126</v>
      </c>
      <c r="D165" s="2973">
        <v>0.126</v>
      </c>
      <c r="E165" s="2973">
        <v>0.11899999999999999</v>
      </c>
      <c r="F165" s="2973">
        <v>0.13</v>
      </c>
      <c r="G165" s="2974">
        <v>0.128</v>
      </c>
    </row>
    <row r="166" spans="1:7">
      <c r="A166" s="2983" t="s">
        <v>29</v>
      </c>
      <c r="B166" s="2972" t="s">
        <v>3006</v>
      </c>
      <c r="C166" s="2973">
        <v>0.129</v>
      </c>
      <c r="D166" s="2973">
        <v>0.129</v>
      </c>
      <c r="E166" s="2973">
        <v>0.123</v>
      </c>
      <c r="F166" s="2973">
        <v>0.128</v>
      </c>
      <c r="G166" s="2974">
        <v>0.13</v>
      </c>
    </row>
    <row r="167" spans="1:7">
      <c r="A167" s="2983" t="s">
        <v>29</v>
      </c>
      <c r="B167" s="2972" t="s">
        <v>3010</v>
      </c>
      <c r="C167" s="2973">
        <v>0.125</v>
      </c>
      <c r="D167" s="2973">
        <v>0.125</v>
      </c>
      <c r="E167" s="2973">
        <v>0.11700000000000001</v>
      </c>
      <c r="F167" s="2973">
        <v>0.13</v>
      </c>
      <c r="G167" s="2974">
        <v>0.126</v>
      </c>
    </row>
    <row r="168" spans="1:7">
      <c r="A168" s="2983" t="s">
        <v>29</v>
      </c>
      <c r="B168" s="2972" t="s">
        <v>3015</v>
      </c>
      <c r="C168" s="2973">
        <v>0.128</v>
      </c>
      <c r="D168" s="2973">
        <v>0.128</v>
      </c>
      <c r="E168" s="2973">
        <v>0.123</v>
      </c>
      <c r="F168" s="2984"/>
      <c r="G168" s="2974">
        <v>0.13</v>
      </c>
    </row>
    <row r="169" spans="1:7">
      <c r="A169" s="2983" t="s">
        <v>29</v>
      </c>
      <c r="B169" s="2972" t="s">
        <v>3168</v>
      </c>
      <c r="C169" s="2989"/>
      <c r="D169" s="2989"/>
      <c r="E169" s="2989"/>
      <c r="F169" s="2973">
        <v>0.05</v>
      </c>
      <c r="G169" s="2985"/>
    </row>
    <row r="170" spans="1:7">
      <c r="A170" s="2983" t="s">
        <v>29</v>
      </c>
      <c r="B170" s="2972" t="s">
        <v>3169</v>
      </c>
      <c r="C170" s="2989"/>
      <c r="D170" s="2989"/>
      <c r="E170" s="2989"/>
      <c r="F170" s="2973">
        <v>0.05</v>
      </c>
      <c r="G170" s="2985"/>
    </row>
    <row r="171" spans="1:7">
      <c r="A171" s="2983" t="s">
        <v>29</v>
      </c>
      <c r="B171" s="2972" t="s">
        <v>3170</v>
      </c>
      <c r="C171" s="2989"/>
      <c r="D171" s="2989"/>
      <c r="E171" s="2989"/>
      <c r="F171" s="2973">
        <v>0.05</v>
      </c>
      <c r="G171" s="2990"/>
    </row>
    <row r="172" spans="1:7">
      <c r="A172" s="2983" t="s">
        <v>29</v>
      </c>
      <c r="B172" s="2972" t="s">
        <v>3171</v>
      </c>
      <c r="C172" s="2989"/>
      <c r="D172" s="2989"/>
      <c r="E172" s="2989"/>
      <c r="F172" s="2973">
        <v>0.05</v>
      </c>
      <c r="G172" s="2990"/>
    </row>
    <row r="173" spans="1:7">
      <c r="A173" s="2983" t="s">
        <v>29</v>
      </c>
      <c r="B173" s="2972" t="s">
        <v>3172</v>
      </c>
      <c r="C173" s="2989"/>
      <c r="D173" s="2989"/>
      <c r="E173" s="2989"/>
      <c r="F173" s="2973">
        <v>0.05</v>
      </c>
      <c r="G173" s="2985"/>
    </row>
    <row r="174" spans="1:7">
      <c r="A174" s="2983" t="s">
        <v>29</v>
      </c>
      <c r="B174" s="2972" t="s">
        <v>3173</v>
      </c>
      <c r="C174" s="2989"/>
      <c r="D174" s="2989"/>
      <c r="E174" s="2989"/>
      <c r="F174" s="2973">
        <v>0.05</v>
      </c>
      <c r="G174" s="2985"/>
    </row>
    <row r="175" spans="1:7">
      <c r="A175" s="2983" t="s">
        <v>29</v>
      </c>
      <c r="B175" s="2972" t="s">
        <v>3174</v>
      </c>
      <c r="C175" s="2989"/>
      <c r="D175" s="2989"/>
      <c r="E175" s="2989"/>
      <c r="F175" s="2973">
        <v>0.05</v>
      </c>
      <c r="G175" s="2985"/>
    </row>
    <row r="176" spans="1:7">
      <c r="A176" s="2983" t="s">
        <v>29</v>
      </c>
      <c r="B176" s="2972" t="s">
        <v>3175</v>
      </c>
      <c r="C176" s="2989"/>
      <c r="D176" s="2989"/>
      <c r="E176" s="2989"/>
      <c r="F176" s="2973">
        <v>0.05</v>
      </c>
      <c r="G176" s="2985"/>
    </row>
    <row r="177" spans="1:7">
      <c r="A177" s="2983" t="s">
        <v>29</v>
      </c>
      <c r="B177" s="2972" t="s">
        <v>3176</v>
      </c>
      <c r="C177" s="2984"/>
      <c r="D177" s="2984"/>
      <c r="E177" s="2984"/>
      <c r="F177" s="2973">
        <v>0.05</v>
      </c>
      <c r="G177" s="2990"/>
    </row>
    <row r="178" spans="1:7">
      <c r="A178" s="2983" t="s">
        <v>29</v>
      </c>
      <c r="B178" s="2972" t="s">
        <v>3177</v>
      </c>
      <c r="C178" s="2984"/>
      <c r="D178" s="2984"/>
      <c r="E178" s="2984"/>
      <c r="F178" s="2973">
        <v>0.05</v>
      </c>
      <c r="G178" s="2990"/>
    </row>
    <row r="179" spans="1:7">
      <c r="A179" s="2983" t="s">
        <v>29</v>
      </c>
      <c r="B179" s="2972" t="s">
        <v>3178</v>
      </c>
      <c r="C179" s="2984"/>
      <c r="D179" s="2984"/>
      <c r="E179" s="2984"/>
      <c r="F179" s="2973">
        <v>0.05</v>
      </c>
      <c r="G179" s="2990"/>
    </row>
    <row r="180" spans="1:7">
      <c r="A180" s="2983" t="s">
        <v>29</v>
      </c>
      <c r="B180" s="2972" t="s">
        <v>3179</v>
      </c>
      <c r="C180" s="2984"/>
      <c r="D180" s="2984"/>
      <c r="E180" s="2984"/>
      <c r="F180" s="2973">
        <v>0.05</v>
      </c>
      <c r="G180" s="2990"/>
    </row>
    <row r="181" spans="1:7">
      <c r="A181" s="2983" t="s">
        <v>29</v>
      </c>
      <c r="B181" s="2972" t="s">
        <v>3180</v>
      </c>
      <c r="C181" s="2984"/>
      <c r="D181" s="2984"/>
      <c r="E181" s="2984"/>
      <c r="F181" s="2973">
        <v>0.05</v>
      </c>
      <c r="G181" s="2990"/>
    </row>
    <row r="182" spans="1:7">
      <c r="A182" s="2983" t="s">
        <v>29</v>
      </c>
      <c r="B182" s="2972" t="s">
        <v>3181</v>
      </c>
      <c r="C182" s="2984"/>
      <c r="D182" s="2984"/>
      <c r="E182" s="2984"/>
      <c r="F182" s="2973">
        <v>0.05</v>
      </c>
      <c r="G182" s="2990"/>
    </row>
    <row r="183" spans="1:7">
      <c r="A183" s="2983" t="s">
        <v>29</v>
      </c>
      <c r="B183" s="2972" t="s">
        <v>3182</v>
      </c>
      <c r="C183" s="2984"/>
      <c r="D183" s="2984"/>
      <c r="E183" s="2984"/>
      <c r="F183" s="2973">
        <v>0.05</v>
      </c>
      <c r="G183" s="2990"/>
    </row>
    <row r="184" spans="1:7">
      <c r="A184" s="2983" t="s">
        <v>29</v>
      </c>
      <c r="B184" s="2972" t="s">
        <v>3183</v>
      </c>
      <c r="C184" s="2984"/>
      <c r="D184" s="2984"/>
      <c r="E184" s="2984"/>
      <c r="F184" s="2973">
        <v>0.05</v>
      </c>
      <c r="G184" s="2990"/>
    </row>
    <row r="185" spans="1:7">
      <c r="A185" s="2983" t="s">
        <v>29</v>
      </c>
      <c r="B185" s="2972" t="s">
        <v>3184</v>
      </c>
      <c r="C185" s="2984"/>
      <c r="D185" s="2984"/>
      <c r="E185" s="2984"/>
      <c r="F185" s="2973">
        <v>0.05</v>
      </c>
      <c r="G185" s="2990"/>
    </row>
    <row r="186" spans="1:7">
      <c r="A186" s="2983" t="s">
        <v>29</v>
      </c>
      <c r="B186" s="2972" t="s">
        <v>3185</v>
      </c>
      <c r="C186" s="2984"/>
      <c r="D186" s="2984"/>
      <c r="E186" s="2984"/>
      <c r="F186" s="2973">
        <v>0.05</v>
      </c>
      <c r="G186" s="2990"/>
    </row>
    <row r="187" spans="1:7">
      <c r="A187" s="2983" t="s">
        <v>29</v>
      </c>
      <c r="B187" s="2972" t="s">
        <v>3186</v>
      </c>
      <c r="C187" s="2984"/>
      <c r="D187" s="2984"/>
      <c r="E187" s="2984"/>
      <c r="F187" s="2973">
        <v>0.05</v>
      </c>
      <c r="G187" s="2990"/>
    </row>
    <row r="188" spans="1:7">
      <c r="A188" s="2983" t="s">
        <v>29</v>
      </c>
      <c r="B188" s="2972" t="s">
        <v>3187</v>
      </c>
      <c r="C188" s="2984"/>
      <c r="D188" s="2984"/>
      <c r="E188" s="2984"/>
      <c r="F188" s="2973">
        <v>0.05</v>
      </c>
      <c r="G188" s="2990"/>
    </row>
    <row r="189" spans="1:7" ht="14.25" thickBot="1">
      <c r="A189" s="2986" t="s">
        <v>29</v>
      </c>
      <c r="B189" s="2976" t="s">
        <v>3188</v>
      </c>
      <c r="C189" s="2978"/>
      <c r="D189" s="2978"/>
      <c r="E189" s="2978"/>
      <c r="F189" s="2977">
        <v>0.05</v>
      </c>
      <c r="G189" s="2991"/>
    </row>
    <row r="190" spans="1:7">
      <c r="A190" s="2982" t="s">
        <v>304</v>
      </c>
      <c r="B190" s="2968" t="s">
        <v>2844</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2880</v>
      </c>
      <c r="C199" s="2973">
        <v>0.13</v>
      </c>
      <c r="D199" s="2973">
        <v>0.13</v>
      </c>
      <c r="E199" s="2973">
        <v>0.13</v>
      </c>
      <c r="F199" s="2973">
        <v>0.13</v>
      </c>
      <c r="G199" s="2974">
        <v>0.13</v>
      </c>
    </row>
    <row r="200" spans="1:7">
      <c r="A200" s="2983" t="s">
        <v>304</v>
      </c>
      <c r="B200" s="2972" t="s">
        <v>2883</v>
      </c>
      <c r="C200" s="2989"/>
      <c r="D200" s="2989"/>
      <c r="E200" s="2989"/>
      <c r="F200" s="2973">
        <v>0.13</v>
      </c>
      <c r="G200" s="2985"/>
    </row>
    <row r="201" spans="1:7">
      <c r="A201" s="2983" t="s">
        <v>304</v>
      </c>
      <c r="B201" s="2972" t="s">
        <v>2888</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2891</v>
      </c>
      <c r="C203" s="2973">
        <v>0.129</v>
      </c>
      <c r="D203" s="2973">
        <v>0.129</v>
      </c>
      <c r="E203" s="2973">
        <v>0.13</v>
      </c>
      <c r="F203" s="2973">
        <v>0.13</v>
      </c>
      <c r="G203" s="2974">
        <v>0.13</v>
      </c>
    </row>
    <row r="204" spans="1:7">
      <c r="A204" s="2983" t="s">
        <v>304</v>
      </c>
      <c r="B204" s="2972" t="s">
        <v>2894</v>
      </c>
      <c r="C204" s="2973">
        <v>0.129</v>
      </c>
      <c r="D204" s="2973">
        <v>0.129</v>
      </c>
      <c r="E204" s="2973">
        <v>0.123</v>
      </c>
      <c r="F204" s="2973">
        <v>0.13</v>
      </c>
      <c r="G204" s="2974">
        <v>0.13</v>
      </c>
    </row>
    <row r="205" spans="1:7">
      <c r="A205" s="2983" t="s">
        <v>304</v>
      </c>
      <c r="B205" s="2972" t="s">
        <v>2896</v>
      </c>
      <c r="C205" s="2973">
        <v>0.13</v>
      </c>
      <c r="D205" s="2973">
        <v>0.13</v>
      </c>
      <c r="E205" s="2973">
        <v>0.13</v>
      </c>
      <c r="F205" s="2973">
        <v>0.13</v>
      </c>
      <c r="G205" s="2974">
        <v>0.13</v>
      </c>
    </row>
    <row r="206" spans="1:7">
      <c r="A206" s="2983" t="s">
        <v>304</v>
      </c>
      <c r="B206" s="2972" t="s">
        <v>2899</v>
      </c>
      <c r="C206" s="2973">
        <v>0.13</v>
      </c>
      <c r="D206" s="2973">
        <v>0.13</v>
      </c>
      <c r="E206" s="2973">
        <v>0.13</v>
      </c>
      <c r="F206" s="2973">
        <v>0.128</v>
      </c>
      <c r="G206" s="2974">
        <v>0.13</v>
      </c>
    </row>
    <row r="207" spans="1:7">
      <c r="A207" s="2983" t="s">
        <v>304</v>
      </c>
      <c r="B207" s="2972" t="s">
        <v>2901</v>
      </c>
      <c r="C207" s="2973">
        <v>0.13</v>
      </c>
      <c r="D207" s="2973">
        <v>0.13</v>
      </c>
      <c r="E207" s="2973">
        <v>0.13</v>
      </c>
      <c r="F207" s="2973">
        <v>0.13</v>
      </c>
      <c r="G207" s="2974">
        <v>0.13</v>
      </c>
    </row>
    <row r="208" spans="1:7">
      <c r="A208" s="2983" t="s">
        <v>304</v>
      </c>
      <c r="B208" s="2972" t="s">
        <v>2904</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2911</v>
      </c>
      <c r="C210" s="2973">
        <v>0.121</v>
      </c>
      <c r="D210" s="2973">
        <v>0.121</v>
      </c>
      <c r="E210" s="2973">
        <v>0.125</v>
      </c>
      <c r="F210" s="2973">
        <v>0.13</v>
      </c>
      <c r="G210" s="2974">
        <v>0.123</v>
      </c>
    </row>
    <row r="211" spans="1:7">
      <c r="A211" s="2983" t="s">
        <v>304</v>
      </c>
      <c r="B211" s="2972" t="s">
        <v>2914</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2926</v>
      </c>
      <c r="C214" s="2973">
        <v>0.128</v>
      </c>
      <c r="D214" s="2973">
        <v>0.128</v>
      </c>
      <c r="E214" s="2973">
        <v>0.13</v>
      </c>
      <c r="F214" s="2973">
        <v>0.13</v>
      </c>
      <c r="G214" s="2974">
        <v>0.13</v>
      </c>
    </row>
    <row r="215" spans="1:7">
      <c r="A215" s="2983" t="s">
        <v>304</v>
      </c>
      <c r="B215" s="2972" t="s">
        <v>2930</v>
      </c>
      <c r="C215" s="2973">
        <v>0.13</v>
      </c>
      <c r="D215" s="2973">
        <v>0.13</v>
      </c>
      <c r="E215" s="2973">
        <v>0.13</v>
      </c>
      <c r="F215" s="2973">
        <v>0.129</v>
      </c>
      <c r="G215" s="2974">
        <v>0.13</v>
      </c>
    </row>
    <row r="216" spans="1:7">
      <c r="A216" s="2983" t="s">
        <v>304</v>
      </c>
      <c r="B216" s="2972" t="s">
        <v>2937</v>
      </c>
      <c r="C216" s="2973">
        <v>0.13</v>
      </c>
      <c r="D216" s="2973">
        <v>0.13</v>
      </c>
      <c r="E216" s="2973">
        <v>0.13</v>
      </c>
      <c r="F216" s="2973">
        <v>0.13</v>
      </c>
      <c r="G216" s="2974">
        <v>0.13</v>
      </c>
    </row>
    <row r="217" spans="1:7">
      <c r="A217" s="2983" t="s">
        <v>304</v>
      </c>
      <c r="B217" s="2972" t="s">
        <v>2944</v>
      </c>
      <c r="C217" s="2973">
        <v>0.129</v>
      </c>
      <c r="D217" s="2973">
        <v>0.129</v>
      </c>
      <c r="E217" s="2973">
        <v>0.13</v>
      </c>
      <c r="F217" s="2973">
        <v>0.13</v>
      </c>
      <c r="G217" s="2974">
        <v>0.13</v>
      </c>
    </row>
    <row r="218" spans="1:7">
      <c r="A218" s="2983" t="s">
        <v>304</v>
      </c>
      <c r="B218" s="2972" t="s">
        <v>2950</v>
      </c>
      <c r="C218" s="2984"/>
      <c r="D218" s="2984"/>
      <c r="E218" s="2984"/>
      <c r="F218" s="2973">
        <v>0.05</v>
      </c>
      <c r="G218" s="2990"/>
    </row>
    <row r="219" spans="1:7">
      <c r="A219" s="2983" t="s">
        <v>304</v>
      </c>
      <c r="B219" s="2972" t="s">
        <v>2957</v>
      </c>
      <c r="C219" s="2984"/>
      <c r="D219" s="2984"/>
      <c r="E219" s="2984"/>
      <c r="F219" s="2973">
        <v>0.05</v>
      </c>
      <c r="G219" s="2990"/>
    </row>
    <row r="220" spans="1:7">
      <c r="A220" s="2983" t="s">
        <v>304</v>
      </c>
      <c r="B220" s="2972" t="s">
        <v>2963</v>
      </c>
      <c r="C220" s="2984"/>
      <c r="D220" s="2984"/>
      <c r="E220" s="2984"/>
      <c r="F220" s="2973">
        <v>0.05</v>
      </c>
      <c r="G220" s="2990"/>
    </row>
    <row r="221" spans="1:7">
      <c r="A221" s="2983" t="s">
        <v>304</v>
      </c>
      <c r="B221" s="2972" t="s">
        <v>2968</v>
      </c>
      <c r="C221" s="2984"/>
      <c r="D221" s="2984"/>
      <c r="E221" s="2984"/>
      <c r="F221" s="2973">
        <v>0.05</v>
      </c>
      <c r="G221" s="2990"/>
    </row>
    <row r="222" spans="1:7">
      <c r="A222" s="2983" t="s">
        <v>304</v>
      </c>
      <c r="B222" s="2972" t="s">
        <v>2972</v>
      </c>
      <c r="C222" s="2984"/>
      <c r="D222" s="2984"/>
      <c r="E222" s="2984"/>
      <c r="F222" s="2973">
        <v>0.05</v>
      </c>
      <c r="G222" s="2990"/>
    </row>
    <row r="223" spans="1:7">
      <c r="A223" s="2983" t="s">
        <v>304</v>
      </c>
      <c r="B223" s="2972" t="s">
        <v>2977</v>
      </c>
      <c r="C223" s="2984"/>
      <c r="D223" s="2984"/>
      <c r="E223" s="2984"/>
      <c r="F223" s="2973">
        <v>0.05</v>
      </c>
      <c r="G223" s="2990"/>
    </row>
    <row r="224" spans="1:7">
      <c r="A224" s="2983" t="s">
        <v>304</v>
      </c>
      <c r="B224" s="2972" t="s">
        <v>2982</v>
      </c>
      <c r="C224" s="2984"/>
      <c r="D224" s="2984"/>
      <c r="E224" s="2984"/>
      <c r="F224" s="2973">
        <v>0.05</v>
      </c>
      <c r="G224" s="2990"/>
    </row>
    <row r="225" spans="1:7">
      <c r="A225" s="2983" t="s">
        <v>304</v>
      </c>
      <c r="B225" s="2972" t="s">
        <v>2987</v>
      </c>
      <c r="C225" s="2984"/>
      <c r="D225" s="2984"/>
      <c r="E225" s="2984"/>
      <c r="F225" s="2973">
        <v>0.05</v>
      </c>
      <c r="G225" s="2990"/>
    </row>
    <row r="226" spans="1:7">
      <c r="A226" s="2983" t="s">
        <v>304</v>
      </c>
      <c r="B226" s="2972" t="s">
        <v>3189</v>
      </c>
      <c r="C226" s="2984"/>
      <c r="D226" s="2984"/>
      <c r="E226" s="2984"/>
      <c r="F226" s="2973">
        <v>0.05</v>
      </c>
      <c r="G226" s="2990"/>
    </row>
    <row r="227" spans="1:7">
      <c r="A227" s="2983" t="s">
        <v>304</v>
      </c>
      <c r="B227" s="2972" t="s">
        <v>3190</v>
      </c>
      <c r="C227" s="2984"/>
      <c r="D227" s="2984"/>
      <c r="E227" s="2984"/>
      <c r="F227" s="2973">
        <v>0.05</v>
      </c>
      <c r="G227" s="2990"/>
    </row>
    <row r="228" spans="1:7">
      <c r="A228" s="2983" t="s">
        <v>304</v>
      </c>
      <c r="B228" s="2972" t="s">
        <v>3191</v>
      </c>
      <c r="C228" s="2984"/>
      <c r="D228" s="2984"/>
      <c r="E228" s="2984"/>
      <c r="F228" s="2973">
        <v>0.05</v>
      </c>
      <c r="G228" s="2990"/>
    </row>
    <row r="229" spans="1:7">
      <c r="A229" s="2983" t="s">
        <v>304</v>
      </c>
      <c r="B229" s="2972" t="s">
        <v>3192</v>
      </c>
      <c r="C229" s="2984"/>
      <c r="D229" s="2984"/>
      <c r="E229" s="2984"/>
      <c r="F229" s="2973">
        <v>0.05</v>
      </c>
      <c r="G229" s="2990"/>
    </row>
    <row r="230" spans="1:7">
      <c r="A230" s="2983" t="s">
        <v>304</v>
      </c>
      <c r="B230" s="2972" t="s">
        <v>3193</v>
      </c>
      <c r="C230" s="2984"/>
      <c r="D230" s="2984"/>
      <c r="E230" s="2984"/>
      <c r="F230" s="2973">
        <v>0.05</v>
      </c>
      <c r="G230" s="2990"/>
    </row>
    <row r="231" spans="1:7">
      <c r="A231" s="2983" t="s">
        <v>304</v>
      </c>
      <c r="B231" s="2972" t="s">
        <v>3194</v>
      </c>
      <c r="C231" s="2984"/>
      <c r="D231" s="2984"/>
      <c r="E231" s="2984"/>
      <c r="F231" s="2973">
        <v>0.05</v>
      </c>
      <c r="G231" s="2990"/>
    </row>
    <row r="232" spans="1:7">
      <c r="A232" s="2983" t="s">
        <v>304</v>
      </c>
      <c r="B232" s="2972" t="s">
        <v>3195</v>
      </c>
      <c r="C232" s="2984"/>
      <c r="D232" s="2984"/>
      <c r="E232" s="2984"/>
      <c r="F232" s="2973">
        <v>0.05</v>
      </c>
      <c r="G232" s="2990"/>
    </row>
    <row r="233" spans="1:7" ht="14.25" thickBot="1">
      <c r="A233" s="2986" t="s">
        <v>304</v>
      </c>
      <c r="B233" s="2976" t="s">
        <v>3196</v>
      </c>
      <c r="C233" s="2978"/>
      <c r="D233" s="2978"/>
      <c r="E233" s="2978"/>
      <c r="F233" s="2977">
        <v>0.05</v>
      </c>
      <c r="G233" s="2991"/>
    </row>
    <row r="234" spans="1:7">
      <c r="A234" s="2982" t="s">
        <v>305</v>
      </c>
      <c r="B234" s="2968" t="s">
        <v>2845</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2865</v>
      </c>
      <c r="C238" s="2973">
        <v>0.14899999999999999</v>
      </c>
      <c r="D238" s="2973">
        <v>0.14899999999999999</v>
      </c>
      <c r="E238" s="2973">
        <v>0.15</v>
      </c>
      <c r="F238" s="2973">
        <v>0.15</v>
      </c>
      <c r="G238" s="2974">
        <v>0.15</v>
      </c>
    </row>
    <row r="239" spans="1:7">
      <c r="A239" s="2983" t="s">
        <v>305</v>
      </c>
      <c r="B239" s="2972" t="s">
        <v>2869</v>
      </c>
      <c r="C239" s="2973">
        <v>0.15</v>
      </c>
      <c r="D239" s="2973">
        <v>0.15</v>
      </c>
      <c r="E239" s="2973">
        <v>0.15</v>
      </c>
      <c r="F239" s="2973">
        <v>0.15</v>
      </c>
      <c r="G239" s="2974">
        <v>0.15</v>
      </c>
    </row>
    <row r="240" spans="1:7">
      <c r="A240" s="2983" t="s">
        <v>305</v>
      </c>
      <c r="B240" s="2972" t="s">
        <v>2874</v>
      </c>
      <c r="C240" s="2973">
        <v>0.15</v>
      </c>
      <c r="D240" s="2973">
        <v>0.15</v>
      </c>
      <c r="E240" s="2973">
        <v>0.15</v>
      </c>
      <c r="F240" s="2973">
        <v>0.15</v>
      </c>
      <c r="G240" s="2974">
        <v>0.15</v>
      </c>
    </row>
    <row r="241" spans="1:7">
      <c r="A241" s="2983" t="s">
        <v>305</v>
      </c>
      <c r="B241" s="2972" t="s">
        <v>2878</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2884</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2892</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2897</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2905</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2918</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2927</v>
      </c>
      <c r="C258" s="2973">
        <v>0.14299999999999999</v>
      </c>
      <c r="D258" s="2973">
        <v>0.14299999999999999</v>
      </c>
      <c r="E258" s="2973">
        <v>0.15</v>
      </c>
      <c r="F258" s="2973">
        <v>0.14799999999999999</v>
      </c>
      <c r="G258" s="2974">
        <v>0.14599999999999999</v>
      </c>
    </row>
    <row r="259" spans="1:7">
      <c r="A259" s="2983" t="s">
        <v>305</v>
      </c>
      <c r="B259" s="2972" t="s">
        <v>2931</v>
      </c>
      <c r="C259" s="2973">
        <v>0.14399999999999999</v>
      </c>
      <c r="D259" s="2973">
        <v>0.14399999999999999</v>
      </c>
      <c r="E259" s="2973">
        <v>0.14899999999999999</v>
      </c>
      <c r="F259" s="2973">
        <v>0.14699999999999999</v>
      </c>
      <c r="G259" s="2974">
        <v>0.14599999999999999</v>
      </c>
    </row>
    <row r="260" spans="1:7">
      <c r="A260" s="2983" t="s">
        <v>305</v>
      </c>
      <c r="B260" s="2972" t="s">
        <v>2938</v>
      </c>
      <c r="C260" s="2973">
        <v>0.109</v>
      </c>
      <c r="D260" s="2973">
        <v>0.111</v>
      </c>
      <c r="E260" s="2973">
        <v>0.13100000000000001</v>
      </c>
      <c r="F260" s="2973">
        <v>0.126</v>
      </c>
      <c r="G260" s="2974">
        <v>0.11899999999999999</v>
      </c>
    </row>
    <row r="261" spans="1:7">
      <c r="A261" s="2983" t="s">
        <v>305</v>
      </c>
      <c r="B261" s="2972" t="s">
        <v>2945</v>
      </c>
      <c r="C261" s="2973">
        <v>0.1</v>
      </c>
      <c r="D261" s="2973">
        <v>0.1</v>
      </c>
      <c r="E261" s="2973">
        <v>0.11799999999999999</v>
      </c>
      <c r="F261" s="2973">
        <v>0.108</v>
      </c>
      <c r="G261" s="2974">
        <v>0.107</v>
      </c>
    </row>
    <row r="262" spans="1:7">
      <c r="A262" s="2983" t="s">
        <v>305</v>
      </c>
      <c r="B262" s="2972" t="s">
        <v>2951</v>
      </c>
      <c r="C262" s="2973">
        <v>0.1</v>
      </c>
      <c r="D262" s="2973">
        <v>0.1</v>
      </c>
      <c r="E262" s="2973">
        <v>0.1</v>
      </c>
      <c r="F262" s="2973">
        <v>0.14099999999999999</v>
      </c>
      <c r="G262" s="2974">
        <v>0.1</v>
      </c>
    </row>
    <row r="263" spans="1:7">
      <c r="A263" s="2983" t="s">
        <v>305</v>
      </c>
      <c r="B263" s="2972" t="s">
        <v>2958</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2969</v>
      </c>
      <c r="C265" s="2984"/>
      <c r="D265" s="2984"/>
      <c r="E265" s="2984"/>
      <c r="F265" s="2973">
        <v>0.05</v>
      </c>
      <c r="G265" s="2990"/>
    </row>
    <row r="266" spans="1:7">
      <c r="A266" s="2983" t="s">
        <v>305</v>
      </c>
      <c r="B266" s="2972" t="s">
        <v>2973</v>
      </c>
      <c r="C266" s="2984"/>
      <c r="D266" s="2984"/>
      <c r="E266" s="2984"/>
      <c r="F266" s="2973">
        <v>0.05</v>
      </c>
      <c r="G266" s="2990"/>
    </row>
    <row r="267" spans="1:7">
      <c r="A267" s="2983" t="s">
        <v>305</v>
      </c>
      <c r="B267" s="2972" t="s">
        <v>2978</v>
      </c>
      <c r="C267" s="2984"/>
      <c r="D267" s="2984"/>
      <c r="E267" s="2984"/>
      <c r="F267" s="2973">
        <v>0.05</v>
      </c>
      <c r="G267" s="2990"/>
    </row>
    <row r="268" spans="1:7">
      <c r="A268" s="2983" t="s">
        <v>305</v>
      </c>
      <c r="B268" s="2972" t="s">
        <v>2983</v>
      </c>
      <c r="C268" s="2984"/>
      <c r="D268" s="2984"/>
      <c r="E268" s="2984"/>
      <c r="F268" s="2973">
        <v>0.05</v>
      </c>
      <c r="G268" s="2990"/>
    </row>
    <row r="269" spans="1:7">
      <c r="A269" s="2983" t="s">
        <v>305</v>
      </c>
      <c r="B269" s="2972" t="s">
        <v>2988</v>
      </c>
      <c r="C269" s="2984"/>
      <c r="D269" s="2984"/>
      <c r="E269" s="2984"/>
      <c r="F269" s="2973">
        <v>0.05</v>
      </c>
      <c r="G269" s="2990"/>
    </row>
    <row r="270" spans="1:7">
      <c r="A270" s="2983" t="s">
        <v>305</v>
      </c>
      <c r="B270" s="2972" t="s">
        <v>2993</v>
      </c>
      <c r="C270" s="2984"/>
      <c r="D270" s="2984"/>
      <c r="E270" s="2984"/>
      <c r="F270" s="2973">
        <v>0.05</v>
      </c>
      <c r="G270" s="2990"/>
    </row>
    <row r="271" spans="1:7">
      <c r="A271" s="2983" t="s">
        <v>305</v>
      </c>
      <c r="B271" s="2972" t="s">
        <v>3197</v>
      </c>
      <c r="C271" s="2984"/>
      <c r="D271" s="2984"/>
      <c r="E271" s="2984"/>
      <c r="F271" s="2973">
        <v>0.05</v>
      </c>
      <c r="G271" s="2990"/>
    </row>
    <row r="272" spans="1:7">
      <c r="A272" s="2983" t="s">
        <v>305</v>
      </c>
      <c r="B272" s="2972" t="s">
        <v>3198</v>
      </c>
      <c r="C272" s="2984"/>
      <c r="D272" s="2984"/>
      <c r="E272" s="2984"/>
      <c r="F272" s="2973">
        <v>0.05</v>
      </c>
      <c r="G272" s="2990"/>
    </row>
    <row r="273" spans="1:7">
      <c r="A273" s="2983" t="s">
        <v>305</v>
      </c>
      <c r="B273" s="2972" t="s">
        <v>3199</v>
      </c>
      <c r="C273" s="2984"/>
      <c r="D273" s="2984"/>
      <c r="E273" s="2984"/>
      <c r="F273" s="2973">
        <v>0.05</v>
      </c>
      <c r="G273" s="2990"/>
    </row>
    <row r="274" spans="1:7">
      <c r="A274" s="2983" t="s">
        <v>305</v>
      </c>
      <c r="B274" s="2972" t="s">
        <v>3200</v>
      </c>
      <c r="C274" s="2984"/>
      <c r="D274" s="2984"/>
      <c r="E274" s="2984"/>
      <c r="F274" s="2973">
        <v>0.05</v>
      </c>
      <c r="G274" s="2990"/>
    </row>
    <row r="275" spans="1:7">
      <c r="A275" s="2983" t="s">
        <v>305</v>
      </c>
      <c r="B275" s="2972" t="s">
        <v>3201</v>
      </c>
      <c r="C275" s="2984"/>
      <c r="D275" s="2984"/>
      <c r="E275" s="2984"/>
      <c r="F275" s="2973">
        <v>0.05</v>
      </c>
      <c r="G275" s="2990"/>
    </row>
    <row r="276" spans="1:7" ht="14.25" thickBot="1">
      <c r="A276" s="2986" t="s">
        <v>305</v>
      </c>
      <c r="B276" s="2976" t="s">
        <v>3202</v>
      </c>
      <c r="C276" s="2978"/>
      <c r="D276" s="2978"/>
      <c r="E276" s="2978"/>
      <c r="F276" s="2977">
        <v>0.05</v>
      </c>
      <c r="G276" s="2991"/>
    </row>
    <row r="277" spans="1:7">
      <c r="A277" s="2982" t="s">
        <v>306</v>
      </c>
      <c r="B277" s="2968" t="s">
        <v>2846</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2858</v>
      </c>
      <c r="C279" s="2973">
        <v>0.15</v>
      </c>
      <c r="D279" s="2973">
        <v>0.15</v>
      </c>
      <c r="E279" s="2973">
        <v>0.15</v>
      </c>
      <c r="F279" s="2973">
        <v>0.15</v>
      </c>
      <c r="G279" s="2974">
        <v>0.15</v>
      </c>
    </row>
    <row r="280" spans="1:7">
      <c r="A280" s="2983" t="s">
        <v>306</v>
      </c>
      <c r="B280" s="2972" t="s">
        <v>2862</v>
      </c>
      <c r="C280" s="2973">
        <v>0.15</v>
      </c>
      <c r="D280" s="2973">
        <v>0.15</v>
      </c>
      <c r="E280" s="2973">
        <v>0.15</v>
      </c>
      <c r="F280" s="2973">
        <v>0.15</v>
      </c>
      <c r="G280" s="2974">
        <v>0.15</v>
      </c>
    </row>
    <row r="281" spans="1:7">
      <c r="A281" s="2983" t="s">
        <v>306</v>
      </c>
      <c r="B281" s="2972" t="s">
        <v>2866</v>
      </c>
      <c r="C281" s="2973">
        <v>0.15</v>
      </c>
      <c r="D281" s="2973">
        <v>0.15</v>
      </c>
      <c r="E281" s="2973">
        <v>0.15</v>
      </c>
      <c r="F281" s="2973">
        <v>0.15</v>
      </c>
      <c r="G281" s="2974">
        <v>0.15</v>
      </c>
    </row>
    <row r="282" spans="1:7">
      <c r="A282" s="2983" t="s">
        <v>306</v>
      </c>
      <c r="B282" s="2972" t="s">
        <v>2870</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2885</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2890</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2900</v>
      </c>
      <c r="C293" s="2973">
        <v>0.15</v>
      </c>
      <c r="D293" s="2973">
        <v>0.15</v>
      </c>
      <c r="E293" s="2973">
        <v>0.15</v>
      </c>
      <c r="F293" s="2973">
        <v>0.14499999999999999</v>
      </c>
      <c r="G293" s="2974">
        <v>0.15</v>
      </c>
    </row>
    <row r="294" spans="1:7">
      <c r="A294" s="2983" t="s">
        <v>306</v>
      </c>
      <c r="B294" s="2972" t="s">
        <v>2902</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2919</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2932</v>
      </c>
      <c r="C302" s="2973">
        <v>0.15</v>
      </c>
      <c r="D302" s="2973">
        <v>0.15</v>
      </c>
      <c r="E302" s="2973">
        <v>0.15</v>
      </c>
      <c r="F302" s="2973">
        <v>0.14699999999999999</v>
      </c>
      <c r="G302" s="2974">
        <v>0.15</v>
      </c>
    </row>
    <row r="303" spans="1:7">
      <c r="A303" s="2983" t="s">
        <v>306</v>
      </c>
      <c r="B303" s="2972" t="s">
        <v>2939</v>
      </c>
      <c r="C303" s="2973">
        <v>0.15</v>
      </c>
      <c r="D303" s="2973">
        <v>0.15</v>
      </c>
      <c r="E303" s="2973">
        <v>0.15</v>
      </c>
      <c r="F303" s="2973">
        <v>0.14199999999999999</v>
      </c>
      <c r="G303" s="2974">
        <v>0.15</v>
      </c>
    </row>
    <row r="304" spans="1:7">
      <c r="A304" s="2983" t="s">
        <v>306</v>
      </c>
      <c r="B304" s="2972" t="s">
        <v>2946</v>
      </c>
      <c r="C304" s="2973">
        <v>0.15</v>
      </c>
      <c r="D304" s="2973">
        <v>0.15</v>
      </c>
      <c r="E304" s="2973">
        <v>0.15</v>
      </c>
      <c r="F304" s="2973">
        <v>0.14499999999999999</v>
      </c>
      <c r="G304" s="2974">
        <v>0.15</v>
      </c>
    </row>
    <row r="305" spans="1:7">
      <c r="A305" s="2983" t="s">
        <v>306</v>
      </c>
      <c r="B305" s="2972" t="s">
        <v>2952</v>
      </c>
      <c r="C305" s="2973">
        <v>0.15</v>
      </c>
      <c r="D305" s="2973">
        <v>0.15</v>
      </c>
      <c r="E305" s="2973">
        <v>0.15</v>
      </c>
      <c r="F305" s="2973">
        <v>0.111</v>
      </c>
      <c r="G305" s="2974">
        <v>0.15</v>
      </c>
    </row>
    <row r="306" spans="1:7">
      <c r="A306" s="2983" t="s">
        <v>306</v>
      </c>
      <c r="B306" s="2972" t="s">
        <v>2959</v>
      </c>
      <c r="C306" s="2973">
        <v>0.15</v>
      </c>
      <c r="D306" s="2973">
        <v>0.15</v>
      </c>
      <c r="E306" s="2973">
        <v>0.15</v>
      </c>
      <c r="F306" s="2973">
        <v>0.126</v>
      </c>
      <c r="G306" s="2974">
        <v>0.15</v>
      </c>
    </row>
    <row r="307" spans="1:7">
      <c r="A307" s="2983" t="s">
        <v>306</v>
      </c>
      <c r="B307" s="2972" t="s">
        <v>2964</v>
      </c>
      <c r="C307" s="2973">
        <v>0.15</v>
      </c>
      <c r="D307" s="2973">
        <v>0.15</v>
      </c>
      <c r="E307" s="2973">
        <v>0.15</v>
      </c>
      <c r="F307" s="2973">
        <v>0.12</v>
      </c>
      <c r="G307" s="2974">
        <v>0.15</v>
      </c>
    </row>
    <row r="308" spans="1:7">
      <c r="A308" s="2983" t="s">
        <v>306</v>
      </c>
      <c r="B308" s="2972" t="s">
        <v>2970</v>
      </c>
      <c r="C308" s="2973">
        <v>0.15</v>
      </c>
      <c r="D308" s="2973">
        <v>0.15</v>
      </c>
      <c r="E308" s="2973">
        <v>0.15</v>
      </c>
      <c r="F308" s="2973">
        <v>0.13</v>
      </c>
      <c r="G308" s="2974">
        <v>0.15</v>
      </c>
    </row>
    <row r="309" spans="1:7">
      <c r="A309" s="2983" t="s">
        <v>306</v>
      </c>
      <c r="B309" s="2972" t="s">
        <v>2974</v>
      </c>
      <c r="C309" s="2973">
        <v>0.15</v>
      </c>
      <c r="D309" s="2973">
        <v>0.15</v>
      </c>
      <c r="E309" s="2973">
        <v>0.15</v>
      </c>
      <c r="F309" s="2973">
        <v>0.14099999999999999</v>
      </c>
      <c r="G309" s="2974">
        <v>0.15</v>
      </c>
    </row>
    <row r="310" spans="1:7">
      <c r="A310" s="2983" t="s">
        <v>306</v>
      </c>
      <c r="B310" s="2972" t="s">
        <v>2979</v>
      </c>
      <c r="C310" s="2973">
        <v>0.15</v>
      </c>
      <c r="D310" s="2973">
        <v>0.15</v>
      </c>
      <c r="E310" s="2973">
        <v>0.15</v>
      </c>
      <c r="F310" s="2973">
        <v>0.15</v>
      </c>
      <c r="G310" s="2974">
        <v>0.15</v>
      </c>
    </row>
    <row r="311" spans="1:7">
      <c r="A311" s="2983" t="s">
        <v>306</v>
      </c>
      <c r="B311" s="2972" t="s">
        <v>2984</v>
      </c>
      <c r="C311" s="2973">
        <v>0.13200000000000001</v>
      </c>
      <c r="D311" s="2973">
        <v>0.13300000000000001</v>
      </c>
      <c r="E311" s="2973">
        <v>0.14499999999999999</v>
      </c>
      <c r="F311" s="2973">
        <v>0.14199999999999999</v>
      </c>
      <c r="G311" s="2974">
        <v>0.14000000000000001</v>
      </c>
    </row>
    <row r="312" spans="1:7">
      <c r="A312" s="2983" t="s">
        <v>306</v>
      </c>
      <c r="B312" s="2972" t="s">
        <v>2989</v>
      </c>
      <c r="C312" s="2973">
        <v>0.13800000000000001</v>
      </c>
      <c r="D312" s="2973">
        <v>0.14000000000000001</v>
      </c>
      <c r="E312" s="2973">
        <v>0.14599999999999999</v>
      </c>
      <c r="F312" s="2973">
        <v>0.14899999999999999</v>
      </c>
      <c r="G312" s="2974">
        <v>0.14199999999999999</v>
      </c>
    </row>
    <row r="313" spans="1:7">
      <c r="A313" s="2983" t="s">
        <v>306</v>
      </c>
      <c r="B313" s="2972" t="s">
        <v>2994</v>
      </c>
      <c r="C313" s="2973">
        <v>0.125</v>
      </c>
      <c r="D313" s="2973">
        <v>0.127</v>
      </c>
      <c r="E313" s="2973">
        <v>0.14399999999999999</v>
      </c>
      <c r="F313" s="2973">
        <v>0.115</v>
      </c>
      <c r="G313" s="2974">
        <v>0.13600000000000001</v>
      </c>
    </row>
    <row r="314" spans="1:7">
      <c r="A314" s="2983" t="s">
        <v>306</v>
      </c>
      <c r="B314" s="2972" t="s">
        <v>3203</v>
      </c>
      <c r="C314" s="2989"/>
      <c r="D314" s="2989"/>
      <c r="E314" s="2989"/>
      <c r="F314" s="2973">
        <v>0.05</v>
      </c>
      <c r="G314" s="2990"/>
    </row>
    <row r="315" spans="1:7">
      <c r="A315" s="2983" t="s">
        <v>306</v>
      </c>
      <c r="B315" s="2972" t="s">
        <v>3204</v>
      </c>
      <c r="C315" s="2989"/>
      <c r="D315" s="2989"/>
      <c r="E315" s="2989"/>
      <c r="F315" s="2973">
        <v>0.05</v>
      </c>
      <c r="G315" s="2990"/>
    </row>
    <row r="316" spans="1:7">
      <c r="A316" s="2983" t="s">
        <v>306</v>
      </c>
      <c r="B316" s="2972" t="s">
        <v>3205</v>
      </c>
      <c r="C316" s="2984"/>
      <c r="D316" s="2984"/>
      <c r="E316" s="2984"/>
      <c r="F316" s="2973">
        <v>0.05</v>
      </c>
      <c r="G316" s="2990"/>
    </row>
    <row r="317" spans="1:7">
      <c r="A317" s="2983" t="s">
        <v>306</v>
      </c>
      <c r="B317" s="2972" t="s">
        <v>3206</v>
      </c>
      <c r="C317" s="2984"/>
      <c r="D317" s="2984"/>
      <c r="E317" s="2984"/>
      <c r="F317" s="2973">
        <v>0.05</v>
      </c>
      <c r="G317" s="2990"/>
    </row>
    <row r="318" spans="1:7">
      <c r="A318" s="2983" t="s">
        <v>306</v>
      </c>
      <c r="B318" s="2972" t="s">
        <v>3207</v>
      </c>
      <c r="C318" s="2984"/>
      <c r="D318" s="2984"/>
      <c r="E318" s="2984"/>
      <c r="F318" s="2973">
        <v>0.05</v>
      </c>
      <c r="G318" s="2990"/>
    </row>
    <row r="319" spans="1:7">
      <c r="A319" s="2983" t="s">
        <v>306</v>
      </c>
      <c r="B319" s="2972" t="s">
        <v>3208</v>
      </c>
      <c r="C319" s="2984"/>
      <c r="D319" s="2984"/>
      <c r="E319" s="2984"/>
      <c r="F319" s="2973">
        <v>0.05</v>
      </c>
      <c r="G319" s="2990"/>
    </row>
    <row r="320" spans="1:7">
      <c r="A320" s="2983" t="s">
        <v>306</v>
      </c>
      <c r="B320" s="2972" t="s">
        <v>3209</v>
      </c>
      <c r="C320" s="2984"/>
      <c r="D320" s="2984"/>
      <c r="E320" s="2984"/>
      <c r="F320" s="2973">
        <v>0.05</v>
      </c>
      <c r="G320" s="2990"/>
    </row>
    <row r="321" spans="1:7">
      <c r="A321" s="2983" t="s">
        <v>306</v>
      </c>
      <c r="B321" s="2972" t="s">
        <v>3210</v>
      </c>
      <c r="C321" s="2984"/>
      <c r="D321" s="2984"/>
      <c r="E321" s="2984"/>
      <c r="F321" s="2973">
        <v>0.05</v>
      </c>
      <c r="G321" s="2990"/>
    </row>
    <row r="322" spans="1:7">
      <c r="A322" s="2983" t="s">
        <v>306</v>
      </c>
      <c r="B322" s="2972" t="s">
        <v>3211</v>
      </c>
      <c r="C322" s="2984"/>
      <c r="D322" s="2984"/>
      <c r="E322" s="2984"/>
      <c r="F322" s="2973">
        <v>0.05</v>
      </c>
      <c r="G322" s="2990"/>
    </row>
    <row r="323" spans="1:7">
      <c r="A323" s="2983" t="s">
        <v>306</v>
      </c>
      <c r="B323" s="2972" t="s">
        <v>3212</v>
      </c>
      <c r="C323" s="2984"/>
      <c r="D323" s="2984"/>
      <c r="E323" s="2984"/>
      <c r="F323" s="2973">
        <v>0.05</v>
      </c>
      <c r="G323" s="2990"/>
    </row>
    <row r="324" spans="1:7">
      <c r="A324" s="2983" t="s">
        <v>306</v>
      </c>
      <c r="B324" s="2972" t="s">
        <v>3213</v>
      </c>
      <c r="C324" s="2984"/>
      <c r="D324" s="2984"/>
      <c r="E324" s="2984"/>
      <c r="F324" s="2973">
        <v>0.05</v>
      </c>
      <c r="G324" s="2990"/>
    </row>
    <row r="325" spans="1:7">
      <c r="A325" s="2983" t="s">
        <v>306</v>
      </c>
      <c r="B325" s="2972" t="s">
        <v>3214</v>
      </c>
      <c r="C325" s="2984"/>
      <c r="D325" s="2984"/>
      <c r="E325" s="2984"/>
      <c r="F325" s="2973">
        <v>0.05</v>
      </c>
      <c r="G325" s="2990"/>
    </row>
    <row r="326" spans="1:7" ht="14.25" thickBot="1">
      <c r="A326" s="2986" t="s">
        <v>306</v>
      </c>
      <c r="B326" s="2976" t="s">
        <v>3215</v>
      </c>
      <c r="C326" s="2978"/>
      <c r="D326" s="2978"/>
      <c r="E326" s="2978"/>
      <c r="F326" s="2977">
        <v>0.05</v>
      </c>
      <c r="G326" s="2991"/>
    </row>
    <row r="327" spans="1:7">
      <c r="A327" s="2982" t="s">
        <v>307</v>
      </c>
      <c r="B327" s="2968" t="s">
        <v>2847</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2859</v>
      </c>
      <c r="C329" s="2973">
        <v>0.15</v>
      </c>
      <c r="D329" s="2973">
        <v>0.15</v>
      </c>
      <c r="E329" s="2973">
        <v>0.15</v>
      </c>
      <c r="F329" s="2973">
        <v>0.15</v>
      </c>
      <c r="G329" s="2974">
        <v>0.15</v>
      </c>
    </row>
    <row r="330" spans="1:7">
      <c r="A330" s="2983" t="s">
        <v>307</v>
      </c>
      <c r="B330" s="2972" t="s">
        <v>2863</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2871</v>
      </c>
      <c r="C332" s="2973">
        <v>0.15</v>
      </c>
      <c r="D332" s="2973">
        <v>0.15</v>
      </c>
      <c r="E332" s="2973">
        <v>0.15</v>
      </c>
      <c r="F332" s="2973">
        <v>0.15</v>
      </c>
      <c r="G332" s="2974">
        <v>0.15</v>
      </c>
    </row>
    <row r="333" spans="1:7">
      <c r="A333" s="2983" t="s">
        <v>307</v>
      </c>
      <c r="B333" s="2972" t="s">
        <v>2875</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2881</v>
      </c>
      <c r="C336" s="2973">
        <v>0.15</v>
      </c>
      <c r="D336" s="2973">
        <v>0.15</v>
      </c>
      <c r="E336" s="2973">
        <v>0.15</v>
      </c>
      <c r="F336" s="2973">
        <v>0.14199999999999999</v>
      </c>
      <c r="G336" s="2974">
        <v>0.15</v>
      </c>
    </row>
    <row r="337" spans="1:7">
      <c r="A337" s="2983" t="s">
        <v>307</v>
      </c>
      <c r="B337" s="2972" t="s">
        <v>2886</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2893</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2898</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2906</v>
      </c>
      <c r="C345" s="2973">
        <v>0.15</v>
      </c>
      <c r="D345" s="2973">
        <v>0.15</v>
      </c>
      <c r="E345" s="2973">
        <v>0.15</v>
      </c>
      <c r="F345" s="2973">
        <v>0.13800000000000001</v>
      </c>
      <c r="G345" s="2974">
        <v>0.15</v>
      </c>
    </row>
    <row r="346" spans="1:7">
      <c r="A346" s="2983" t="s">
        <v>307</v>
      </c>
      <c r="B346" s="2972" t="s">
        <v>2908</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2915</v>
      </c>
      <c r="C348" s="2973">
        <v>0.15</v>
      </c>
      <c r="D348" s="2973">
        <v>0.15</v>
      </c>
      <c r="E348" s="2973">
        <v>0.15</v>
      </c>
      <c r="F348" s="2973">
        <v>0.14399999999999999</v>
      </c>
      <c r="G348" s="2974">
        <v>0.15</v>
      </c>
    </row>
    <row r="349" spans="1:7">
      <c r="A349" s="2983" t="s">
        <v>307</v>
      </c>
      <c r="B349" s="2972" t="s">
        <v>2920</v>
      </c>
      <c r="C349" s="2973">
        <v>0.15</v>
      </c>
      <c r="D349" s="2973">
        <v>0.15</v>
      </c>
      <c r="E349" s="2973">
        <v>0.15</v>
      </c>
      <c r="F349" s="2973">
        <v>0.15</v>
      </c>
      <c r="G349" s="2974">
        <v>0.15</v>
      </c>
    </row>
    <row r="350" spans="1:7">
      <c r="A350" s="2983" t="s">
        <v>307</v>
      </c>
      <c r="B350" s="2972" t="s">
        <v>2923</v>
      </c>
      <c r="C350" s="2973">
        <v>0.15</v>
      </c>
      <c r="D350" s="2973">
        <v>0.15</v>
      </c>
      <c r="E350" s="2973">
        <v>0.15</v>
      </c>
      <c r="F350" s="2973">
        <v>0.14699999999999999</v>
      </c>
      <c r="G350" s="2974">
        <v>0.15</v>
      </c>
    </row>
    <row r="351" spans="1:7">
      <c r="A351" s="2983" t="s">
        <v>307</v>
      </c>
      <c r="B351" s="2972" t="s">
        <v>2928</v>
      </c>
      <c r="C351" s="2973">
        <v>0.15</v>
      </c>
      <c r="D351" s="2973">
        <v>0.15</v>
      </c>
      <c r="E351" s="2973">
        <v>0.15</v>
      </c>
      <c r="F351" s="2973">
        <v>0.13</v>
      </c>
      <c r="G351" s="2974">
        <v>0.15</v>
      </c>
    </row>
    <row r="352" spans="1:7">
      <c r="A352" s="2983" t="s">
        <v>307</v>
      </c>
      <c r="B352" s="2972" t="s">
        <v>2933</v>
      </c>
      <c r="C352" s="2973">
        <v>0.15</v>
      </c>
      <c r="D352" s="2973">
        <v>0.15</v>
      </c>
      <c r="E352" s="2973">
        <v>0.15</v>
      </c>
      <c r="F352" s="2973">
        <v>0.14599999999999999</v>
      </c>
      <c r="G352" s="2974">
        <v>0.15</v>
      </c>
    </row>
    <row r="353" spans="1:7">
      <c r="A353" s="2983" t="s">
        <v>307</v>
      </c>
      <c r="B353" s="2972" t="s">
        <v>2940</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2953</v>
      </c>
      <c r="C355" s="2973">
        <v>0.15</v>
      </c>
      <c r="D355" s="2973">
        <v>0.15</v>
      </c>
      <c r="E355" s="2973">
        <v>0.15</v>
      </c>
      <c r="F355" s="2973">
        <v>0.15</v>
      </c>
      <c r="G355" s="2974">
        <v>0.15</v>
      </c>
    </row>
    <row r="356" spans="1:7">
      <c r="A356" s="2983" t="s">
        <v>307</v>
      </c>
      <c r="B356" s="2972" t="s">
        <v>2960</v>
      </c>
      <c r="C356" s="2973">
        <v>0.15</v>
      </c>
      <c r="D356" s="2973">
        <v>0.15</v>
      </c>
      <c r="E356" s="2973">
        <v>0.15</v>
      </c>
      <c r="F356" s="2973">
        <v>0.15</v>
      </c>
      <c r="G356" s="2974">
        <v>0.15</v>
      </c>
    </row>
    <row r="357" spans="1:7" ht="14.25" thickBot="1">
      <c r="A357" s="2986" t="s">
        <v>307</v>
      </c>
      <c r="B357" s="2976" t="s">
        <v>2965</v>
      </c>
      <c r="C357" s="2977">
        <v>0.126</v>
      </c>
      <c r="D357" s="2977">
        <v>0.127</v>
      </c>
      <c r="E357" s="2977">
        <v>0.14299999999999999</v>
      </c>
      <c r="F357" s="2977">
        <v>0.125</v>
      </c>
      <c r="G357" s="2979">
        <v>0.129</v>
      </c>
    </row>
    <row r="358" spans="1:7">
      <c r="A358" s="2982" t="s">
        <v>2834</v>
      </c>
      <c r="B358" s="2968" t="s">
        <v>2848</v>
      </c>
      <c r="C358" s="2969">
        <v>0.15</v>
      </c>
      <c r="D358" s="2969">
        <v>0.15</v>
      </c>
      <c r="E358" s="2969">
        <v>0.15</v>
      </c>
      <c r="F358" s="2969">
        <v>0.15</v>
      </c>
      <c r="G358" s="2970">
        <v>0.15</v>
      </c>
    </row>
    <row r="359" spans="1:7">
      <c r="A359" s="2983" t="s">
        <v>2834</v>
      </c>
      <c r="B359" s="2972" t="s">
        <v>2854</v>
      </c>
      <c r="C359" s="2973">
        <v>0.1</v>
      </c>
      <c r="D359" s="2973">
        <v>0.1</v>
      </c>
      <c r="E359" s="2973">
        <v>0.1</v>
      </c>
      <c r="F359" s="2973">
        <v>0.1</v>
      </c>
      <c r="G359" s="2974">
        <v>0.1</v>
      </c>
    </row>
    <row r="360" spans="1:7">
      <c r="A360" s="2983" t="s">
        <v>2834</v>
      </c>
      <c r="B360" s="2972" t="s">
        <v>2860</v>
      </c>
      <c r="C360" s="2973">
        <v>0.15</v>
      </c>
      <c r="D360" s="2973">
        <v>0.15</v>
      </c>
      <c r="E360" s="2973">
        <v>0.15</v>
      </c>
      <c r="F360" s="2973">
        <v>0.14899999999999999</v>
      </c>
      <c r="G360" s="2974">
        <v>0.15</v>
      </c>
    </row>
    <row r="361" spans="1:7">
      <c r="A361" s="2983" t="s">
        <v>2834</v>
      </c>
      <c r="B361" s="2972" t="s">
        <v>153</v>
      </c>
      <c r="C361" s="2973">
        <v>0.15</v>
      </c>
      <c r="D361" s="2973">
        <v>0.15</v>
      </c>
      <c r="E361" s="2973">
        <v>0.15</v>
      </c>
      <c r="F361" s="2973">
        <v>0.115</v>
      </c>
      <c r="G361" s="2974">
        <v>0.15</v>
      </c>
    </row>
    <row r="362" spans="1:7">
      <c r="A362" s="2983" t="s">
        <v>2834</v>
      </c>
      <c r="B362" s="2972" t="s">
        <v>2867</v>
      </c>
      <c r="C362" s="2973">
        <v>0.15</v>
      </c>
      <c r="D362" s="2973">
        <v>0.15</v>
      </c>
      <c r="E362" s="2973">
        <v>0.15</v>
      </c>
      <c r="F362" s="2973">
        <v>0.106</v>
      </c>
      <c r="G362" s="2974">
        <v>0.15</v>
      </c>
    </row>
    <row r="363" spans="1:7">
      <c r="A363" s="2983" t="s">
        <v>2834</v>
      </c>
      <c r="B363" s="2972" t="s">
        <v>2872</v>
      </c>
      <c r="C363" s="2973">
        <v>0.15</v>
      </c>
      <c r="D363" s="2973">
        <v>0.15</v>
      </c>
      <c r="E363" s="2973">
        <v>0.15</v>
      </c>
      <c r="F363" s="2973">
        <v>0.14699999999999999</v>
      </c>
      <c r="G363" s="2974">
        <v>0.15</v>
      </c>
    </row>
    <row r="364" spans="1:7">
      <c r="A364" s="2983" t="s">
        <v>2834</v>
      </c>
      <c r="B364" s="2972" t="s">
        <v>2876</v>
      </c>
      <c r="C364" s="2973">
        <v>0.15</v>
      </c>
      <c r="D364" s="2973">
        <v>0.15</v>
      </c>
      <c r="E364" s="2973">
        <v>0.15</v>
      </c>
      <c r="F364" s="2973">
        <v>0.14799999999999999</v>
      </c>
      <c r="G364" s="2974">
        <v>0.15</v>
      </c>
    </row>
    <row r="365" spans="1:7">
      <c r="A365" s="2983" t="s">
        <v>2834</v>
      </c>
      <c r="B365" s="2972" t="s">
        <v>200</v>
      </c>
      <c r="C365" s="2973">
        <v>0.15</v>
      </c>
      <c r="D365" s="2973">
        <v>0.15</v>
      </c>
      <c r="E365" s="2973">
        <v>0.15</v>
      </c>
      <c r="F365" s="2973">
        <v>0.15</v>
      </c>
      <c r="G365" s="2974">
        <v>0.15</v>
      </c>
    </row>
    <row r="366" spans="1:7">
      <c r="A366" s="2983" t="s">
        <v>2834</v>
      </c>
      <c r="B366" s="2972" t="s">
        <v>2879</v>
      </c>
      <c r="C366" s="2973">
        <v>0.15</v>
      </c>
      <c r="D366" s="2973">
        <v>0.15</v>
      </c>
      <c r="E366" s="2973">
        <v>0.15</v>
      </c>
      <c r="F366" s="2973">
        <v>0.15</v>
      </c>
      <c r="G366" s="2974">
        <v>0.15</v>
      </c>
    </row>
    <row r="367" spans="1:7">
      <c r="A367" s="2983" t="s">
        <v>2834</v>
      </c>
      <c r="B367" s="2972" t="s">
        <v>2882</v>
      </c>
      <c r="C367" s="2973">
        <v>0.15</v>
      </c>
      <c r="D367" s="2973">
        <v>0.15</v>
      </c>
      <c r="E367" s="2973">
        <v>0.15</v>
      </c>
      <c r="F367" s="2973">
        <v>0.14699999999999999</v>
      </c>
      <c r="G367" s="2974">
        <v>0.15</v>
      </c>
    </row>
    <row r="368" spans="1:7">
      <c r="A368" s="2983" t="s">
        <v>2834</v>
      </c>
      <c r="B368" s="2972" t="s">
        <v>2887</v>
      </c>
      <c r="C368" s="2973">
        <v>0.15</v>
      </c>
      <c r="D368" s="2973">
        <v>0.15</v>
      </c>
      <c r="E368" s="2973">
        <v>0.15</v>
      </c>
      <c r="F368" s="2973">
        <v>0.13600000000000001</v>
      </c>
      <c r="G368" s="2974">
        <v>0.15</v>
      </c>
    </row>
    <row r="369" spans="1:7">
      <c r="A369" s="2983" t="s">
        <v>2834</v>
      </c>
      <c r="B369" s="2972" t="s">
        <v>214</v>
      </c>
      <c r="C369" s="2973">
        <v>0.15</v>
      </c>
      <c r="D369" s="2973">
        <v>0.15</v>
      </c>
      <c r="E369" s="2973">
        <v>0.15</v>
      </c>
      <c r="F369" s="2973">
        <v>0.14399999999999999</v>
      </c>
      <c r="G369" s="2974">
        <v>0.15</v>
      </c>
    </row>
    <row r="370" spans="1:7">
      <c r="A370" s="2983" t="s">
        <v>2834</v>
      </c>
      <c r="B370" s="2972" t="s">
        <v>221</v>
      </c>
      <c r="C370" s="2973">
        <v>0.15</v>
      </c>
      <c r="D370" s="2973">
        <v>0.15</v>
      </c>
      <c r="E370" s="2973">
        <v>0.15</v>
      </c>
      <c r="F370" s="2973">
        <v>0.14599999999999999</v>
      </c>
      <c r="G370" s="2974">
        <v>0.15</v>
      </c>
    </row>
    <row r="371" spans="1:7">
      <c r="A371" s="2983" t="s">
        <v>2834</v>
      </c>
      <c r="B371" s="2972" t="s">
        <v>229</v>
      </c>
      <c r="C371" s="2973">
        <v>0.15</v>
      </c>
      <c r="D371" s="2973">
        <v>0.15</v>
      </c>
      <c r="E371" s="2973">
        <v>0.15</v>
      </c>
      <c r="F371" s="2973">
        <v>0.12</v>
      </c>
      <c r="G371" s="2974">
        <v>0.15</v>
      </c>
    </row>
    <row r="372" spans="1:7">
      <c r="A372" s="2983" t="s">
        <v>2834</v>
      </c>
      <c r="B372" s="2972" t="s">
        <v>2895</v>
      </c>
      <c r="C372" s="2973">
        <v>0.15</v>
      </c>
      <c r="D372" s="2973">
        <v>0.15</v>
      </c>
      <c r="E372" s="2973">
        <v>0.15</v>
      </c>
      <c r="F372" s="2973">
        <v>0.14299999999999999</v>
      </c>
      <c r="G372" s="2974">
        <v>0.15</v>
      </c>
    </row>
    <row r="373" spans="1:7">
      <c r="A373" s="2983" t="s">
        <v>2834</v>
      </c>
      <c r="B373" s="2972" t="s">
        <v>258</v>
      </c>
      <c r="C373" s="2973">
        <v>0.15</v>
      </c>
      <c r="D373" s="2973">
        <v>0.15</v>
      </c>
      <c r="E373" s="2973">
        <v>0.15</v>
      </c>
      <c r="F373" s="2973">
        <v>0.14599999999999999</v>
      </c>
      <c r="G373" s="2974">
        <v>0.15</v>
      </c>
    </row>
    <row r="374" spans="1:7">
      <c r="A374" s="2983" t="s">
        <v>2834</v>
      </c>
      <c r="B374" s="2972" t="s">
        <v>266</v>
      </c>
      <c r="C374" s="2973">
        <v>0.15</v>
      </c>
      <c r="D374" s="2973">
        <v>0.15</v>
      </c>
      <c r="E374" s="2973">
        <v>0.15</v>
      </c>
      <c r="F374" s="2973">
        <v>0.14399999999999999</v>
      </c>
      <c r="G374" s="2974">
        <v>0.15</v>
      </c>
    </row>
    <row r="375" spans="1:7">
      <c r="A375" s="2983" t="s">
        <v>2834</v>
      </c>
      <c r="B375" s="2972" t="s">
        <v>2903</v>
      </c>
      <c r="C375" s="2973">
        <v>0.15</v>
      </c>
      <c r="D375" s="2973">
        <v>0.15</v>
      </c>
      <c r="E375" s="2973">
        <v>0.15</v>
      </c>
      <c r="F375" s="2973">
        <v>0.13</v>
      </c>
      <c r="G375" s="2974">
        <v>0.15</v>
      </c>
    </row>
    <row r="376" spans="1:7">
      <c r="A376" s="2983" t="s">
        <v>2834</v>
      </c>
      <c r="B376" s="2972" t="s">
        <v>277</v>
      </c>
      <c r="C376" s="2973">
        <v>0.15</v>
      </c>
      <c r="D376" s="2973">
        <v>0.15</v>
      </c>
      <c r="E376" s="2973">
        <v>0.15</v>
      </c>
      <c r="F376" s="2973">
        <v>0.14199999999999999</v>
      </c>
      <c r="G376" s="2974">
        <v>0.15</v>
      </c>
    </row>
    <row r="377" spans="1:7" ht="14.25" thickBot="1">
      <c r="A377" s="2986" t="s">
        <v>2834</v>
      </c>
      <c r="B377" s="2976" t="s">
        <v>2909</v>
      </c>
      <c r="C377" s="2977">
        <v>0.15</v>
      </c>
      <c r="D377" s="2977">
        <v>0.15</v>
      </c>
      <c r="E377" s="2977">
        <v>0.15</v>
      </c>
      <c r="F377" s="2977">
        <v>0.14000000000000001</v>
      </c>
      <c r="G377" s="2979">
        <v>0.15</v>
      </c>
    </row>
    <row r="378" spans="1:7">
      <c r="A378" s="2982" t="s">
        <v>2835</v>
      </c>
      <c r="B378" s="2968" t="s">
        <v>2849</v>
      </c>
      <c r="C378" s="2969">
        <v>0.15</v>
      </c>
      <c r="D378" s="2969">
        <v>0.15</v>
      </c>
      <c r="E378" s="2969">
        <v>0.15</v>
      </c>
      <c r="F378" s="2969">
        <v>0.107</v>
      </c>
      <c r="G378" s="2970">
        <v>0.15</v>
      </c>
    </row>
    <row r="379" spans="1:7">
      <c r="A379" s="2983" t="s">
        <v>2835</v>
      </c>
      <c r="B379" s="2972" t="s">
        <v>2855</v>
      </c>
      <c r="C379" s="2973">
        <v>0.15</v>
      </c>
      <c r="D379" s="2973">
        <v>0.15</v>
      </c>
      <c r="E379" s="2973">
        <v>0.15</v>
      </c>
      <c r="F379" s="2973">
        <v>0.115</v>
      </c>
      <c r="G379" s="2974">
        <v>0.14899999999999999</v>
      </c>
    </row>
    <row r="380" spans="1:7">
      <c r="A380" s="2983" t="s">
        <v>2835</v>
      </c>
      <c r="B380" s="2972" t="s">
        <v>2861</v>
      </c>
      <c r="C380" s="2973">
        <v>0.15</v>
      </c>
      <c r="D380" s="2973">
        <v>0.15</v>
      </c>
      <c r="E380" s="2973">
        <v>0.15</v>
      </c>
      <c r="F380" s="2973">
        <v>0.1</v>
      </c>
      <c r="G380" s="2974">
        <v>0.14799999999999999</v>
      </c>
    </row>
    <row r="381" spans="1:7">
      <c r="A381" s="2983" t="s">
        <v>2835</v>
      </c>
      <c r="B381" s="2972" t="s">
        <v>2864</v>
      </c>
      <c r="C381" s="2973">
        <v>0.15</v>
      </c>
      <c r="D381" s="2973">
        <v>0.15</v>
      </c>
      <c r="E381" s="2973">
        <v>0.15</v>
      </c>
      <c r="F381" s="2973">
        <v>0.126</v>
      </c>
      <c r="G381" s="2974">
        <v>0.15</v>
      </c>
    </row>
    <row r="382" spans="1:7">
      <c r="A382" s="2983" t="s">
        <v>2835</v>
      </c>
      <c r="B382" s="2972" t="s">
        <v>2868</v>
      </c>
      <c r="C382" s="2973">
        <v>0.15</v>
      </c>
      <c r="D382" s="2973">
        <v>0.15</v>
      </c>
      <c r="E382" s="2973">
        <v>0.15</v>
      </c>
      <c r="F382" s="2973">
        <v>0.15</v>
      </c>
      <c r="G382" s="2974">
        <v>0.15</v>
      </c>
    </row>
    <row r="383" spans="1:7">
      <c r="A383" s="2983" t="s">
        <v>2835</v>
      </c>
      <c r="B383" s="2972" t="s">
        <v>2873</v>
      </c>
      <c r="C383" s="2973">
        <v>0.15</v>
      </c>
      <c r="D383" s="2973">
        <v>0.15</v>
      </c>
      <c r="E383" s="2973">
        <v>0.15</v>
      </c>
      <c r="F383" s="2973">
        <v>0.14699999999999999</v>
      </c>
      <c r="G383" s="2974">
        <v>0.15</v>
      </c>
    </row>
    <row r="384" spans="1:7" ht="14.25" thickBot="1">
      <c r="A384" s="2993" t="s">
        <v>2835</v>
      </c>
      <c r="B384" s="2994" t="s">
        <v>2877</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8"/>
  </cols>
  <sheetData>
    <row r="1" spans="1:6">
      <c r="A1" s="3582" t="s">
        <v>3216</v>
      </c>
      <c r="B1" s="3582"/>
      <c r="C1" s="3582"/>
      <c r="D1" s="3582"/>
      <c r="E1" s="3582"/>
      <c r="F1" s="3583"/>
    </row>
    <row r="2" spans="1:6">
      <c r="A2" s="2997" t="s">
        <v>3217</v>
      </c>
    </row>
    <row r="3" spans="1:6">
      <c r="A3" s="2997" t="s">
        <v>3218</v>
      </c>
      <c r="F3" s="2998" t="s">
        <v>3219</v>
      </c>
    </row>
    <row r="4" spans="1:6">
      <c r="A4" s="2999" t="s">
        <v>668</v>
      </c>
      <c r="B4" s="2999" t="s">
        <v>669</v>
      </c>
      <c r="C4" s="2999" t="s">
        <v>21</v>
      </c>
      <c r="D4" s="2999" t="s">
        <v>670</v>
      </c>
      <c r="E4" s="2999" t="s">
        <v>3</v>
      </c>
      <c r="F4" s="2999" t="s">
        <v>3220</v>
      </c>
    </row>
    <row r="5" spans="1:6">
      <c r="A5" s="3000" t="s">
        <v>671</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2">
        <f>基准地价修正!G23</f>
        <v>45873</v>
      </c>
      <c r="B1" s="2924" t="s">
        <v>3361</v>
      </c>
      <c r="C1" s="2925"/>
      <c r="D1" s="2925"/>
      <c r="E1" s="2925"/>
      <c r="F1" s="2925"/>
      <c r="G1" s="2925"/>
      <c r="H1" s="2925"/>
      <c r="I1" s="2925"/>
      <c r="J1" s="2891"/>
      <c r="K1" s="2925" t="s">
        <v>454</v>
      </c>
      <c r="L1" s="2925"/>
      <c r="M1" s="2925"/>
      <c r="N1" s="2925"/>
      <c r="O1" s="2925"/>
      <c r="P1" s="2925"/>
      <c r="Q1" s="2891"/>
      <c r="R1" s="3584" t="s">
        <v>456</v>
      </c>
      <c r="S1" s="3585"/>
      <c r="T1" s="3585"/>
      <c r="U1" s="3585"/>
      <c r="V1" s="3585"/>
      <c r="W1" s="3585"/>
      <c r="X1" s="2891"/>
      <c r="Y1" s="3584" t="s">
        <v>457</v>
      </c>
      <c r="Z1" s="3585"/>
      <c r="AA1" s="3585"/>
      <c r="AB1" s="3585"/>
      <c r="AC1" s="3585"/>
      <c r="AD1" s="3585"/>
    </row>
    <row r="2" spans="1:44" s="2004" customFormat="1" ht="14.25" thickBot="1">
      <c r="B2" s="2876"/>
      <c r="C2" s="2877"/>
      <c r="D2" s="2005" t="s">
        <v>2794</v>
      </c>
      <c r="E2" s="2006" t="s">
        <v>2795</v>
      </c>
      <c r="F2" s="2006" t="s">
        <v>2796</v>
      </c>
      <c r="G2" s="2006" t="s">
        <v>2797</v>
      </c>
      <c r="H2" s="2006" t="s">
        <v>2798</v>
      </c>
      <c r="I2" s="2006" t="s">
        <v>2615</v>
      </c>
      <c r="J2" s="2878"/>
      <c r="K2" s="2005" t="s">
        <v>2794</v>
      </c>
      <c r="L2" s="2006" t="s">
        <v>2795</v>
      </c>
      <c r="M2" s="2006" t="s">
        <v>2796</v>
      </c>
      <c r="N2" s="2006" t="s">
        <v>2797</v>
      </c>
      <c r="O2" s="2006" t="s">
        <v>2799</v>
      </c>
      <c r="P2" s="2006" t="s">
        <v>2615</v>
      </c>
      <c r="Q2" s="2878"/>
      <c r="R2" s="2005" t="s">
        <v>2794</v>
      </c>
      <c r="S2" s="2006" t="s">
        <v>2795</v>
      </c>
      <c r="T2" s="2006" t="s">
        <v>2796</v>
      </c>
      <c r="U2" s="2006" t="s">
        <v>2800</v>
      </c>
      <c r="V2" s="2006" t="s">
        <v>2801</v>
      </c>
      <c r="W2" s="2006" t="s">
        <v>2615</v>
      </c>
      <c r="X2" s="2878"/>
      <c r="Y2" s="2005" t="s">
        <v>2794</v>
      </c>
      <c r="Z2" s="2006" t="s">
        <v>2795</v>
      </c>
      <c r="AA2" s="2006" t="s">
        <v>2796</v>
      </c>
      <c r="AB2" s="2006" t="s">
        <v>2802</v>
      </c>
      <c r="AC2" s="2006" t="s">
        <v>2801</v>
      </c>
      <c r="AD2" s="2006" t="s">
        <v>2615</v>
      </c>
      <c r="AF2" t="s">
        <v>3388</v>
      </c>
      <c r="AG2" t="s">
        <v>669</v>
      </c>
      <c r="AH2" t="s">
        <v>21</v>
      </c>
      <c r="AI2" t="s">
        <v>3389</v>
      </c>
      <c r="AJ2" t="s">
        <v>3</v>
      </c>
      <c r="AK2" t="s">
        <v>3390</v>
      </c>
      <c r="AM2" t="s">
        <v>3388</v>
      </c>
      <c r="AN2" t="s">
        <v>669</v>
      </c>
      <c r="AO2" t="s">
        <v>21</v>
      </c>
      <c r="AP2" t="s">
        <v>3389</v>
      </c>
      <c r="AQ2" t="s">
        <v>3</v>
      </c>
      <c r="AR2" t="s">
        <v>3390</v>
      </c>
    </row>
    <row r="3" spans="1:44" s="2881" customFormat="1" ht="12.75">
      <c r="A3" s="2879" t="s">
        <v>2803</v>
      </c>
      <c r="B3" s="2880"/>
      <c r="D3" s="2881">
        <f>ROUND(AVERAGEIF(D4:D24,"&lt;&gt;0"),2)</f>
        <v>0.37</v>
      </c>
      <c r="E3" s="2881">
        <f t="shared" ref="E3:H3" si="0">ROUND(AVERAGEIF(E4:E24,"&lt;&gt;0"),2)</f>
        <v>0.16</v>
      </c>
      <c r="F3" s="2881">
        <f t="shared" si="0"/>
        <v>-0.12</v>
      </c>
      <c r="G3" s="2881">
        <f t="shared" si="0"/>
        <v>0.44</v>
      </c>
      <c r="H3" s="2881">
        <f t="shared" si="0"/>
        <v>0.5</v>
      </c>
      <c r="I3" s="2881">
        <f>F3</f>
        <v>-0.12</v>
      </c>
      <c r="J3" s="2882"/>
      <c r="K3" s="2883">
        <f>ROUND(AVERAGEIF(K4:K24,"&lt;&gt;0"),4)</f>
        <v>3.7000000000000002E-3</v>
      </c>
      <c r="L3" s="2884">
        <f t="shared" ref="L3:O3" si="1">ROUND(AVERAGEIF(L4:L24,"&lt;&gt;0"),4)</f>
        <v>1.6000000000000001E-3</v>
      </c>
      <c r="M3" s="2884">
        <f t="shared" si="1"/>
        <v>-1.1999999999999999E-3</v>
      </c>
      <c r="N3" s="2884">
        <f t="shared" si="1"/>
        <v>4.4000000000000003E-3</v>
      </c>
      <c r="O3" s="2884">
        <f t="shared" si="1"/>
        <v>5.0000000000000001E-3</v>
      </c>
      <c r="P3" s="2884">
        <f>M3</f>
        <v>-1.1999999999999999E-3</v>
      </c>
      <c r="Q3" s="2882"/>
      <c r="R3" s="2885">
        <f>ROUND(SUMPRODUCT(PRODUCT(1+K4:K24)),4)</f>
        <v>1.0680000000000001</v>
      </c>
      <c r="S3" s="2886">
        <f t="shared" ref="S3:V3" si="2">ROUND(SUMPRODUCT(PRODUCT(1+L4:L24)),4)</f>
        <v>1.0290999999999999</v>
      </c>
      <c r="T3" s="2886">
        <f t="shared" si="2"/>
        <v>0.97850000000000004</v>
      </c>
      <c r="U3" s="2886">
        <f t="shared" si="2"/>
        <v>1.0807</v>
      </c>
      <c r="V3" s="2886">
        <f t="shared" si="2"/>
        <v>1.093</v>
      </c>
      <c r="W3" s="2885">
        <f>T3</f>
        <v>0.97850000000000004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3" customFormat="1" ht="12.75">
      <c r="B4" s="2019"/>
      <c r="J4" s="2891"/>
      <c r="K4" s="2892"/>
      <c r="L4" s="2893"/>
      <c r="M4" s="2893"/>
      <c r="N4" s="2893"/>
      <c r="O4" s="2893"/>
      <c r="P4" s="2893"/>
      <c r="Q4" s="2891"/>
      <c r="R4" s="2021"/>
      <c r="S4" s="2894"/>
      <c r="T4" s="2895"/>
      <c r="U4" s="2021"/>
      <c r="V4" s="2896"/>
      <c r="W4" s="2021"/>
      <c r="X4" s="2891"/>
      <c r="Y4" s="2022"/>
      <c r="Z4" s="2897"/>
      <c r="AA4" s="2898"/>
      <c r="AB4" s="2022"/>
      <c r="AC4" s="2899"/>
      <c r="AD4" s="2022"/>
    </row>
    <row r="5" spans="1:44" s="2039" customFormat="1">
      <c r="A5" s="2034" t="s">
        <v>3387</v>
      </c>
      <c r="B5" s="2025">
        <v>2025</v>
      </c>
      <c r="C5" s="2036">
        <v>4</v>
      </c>
      <c r="D5" s="2001">
        <v>0</v>
      </c>
      <c r="E5" s="2001">
        <v>0</v>
      </c>
      <c r="F5" s="2001">
        <v>0</v>
      </c>
      <c r="G5" s="2001">
        <v>0</v>
      </c>
      <c r="H5" s="2001">
        <v>0</v>
      </c>
      <c r="I5" s="2002">
        <f t="shared" ref="I5" si="4">F5</f>
        <v>0</v>
      </c>
      <c r="J5" s="2901"/>
      <c r="K5" s="2037">
        <f t="shared" ref="K5" si="5">D5/100</f>
        <v>0</v>
      </c>
      <c r="L5" s="2022">
        <f t="shared" ref="L5" si="6">E5/100</f>
        <v>0</v>
      </c>
      <c r="M5" s="2022">
        <f t="shared" ref="M5" si="7">F5/100</f>
        <v>0</v>
      </c>
      <c r="N5" s="2022">
        <f t="shared" ref="N5" si="8">G5/100</f>
        <v>0</v>
      </c>
      <c r="O5" s="2022">
        <f t="shared" ref="O5" si="9">H5/100</f>
        <v>0</v>
      </c>
      <c r="P5" s="2022">
        <f t="shared" ref="P5:P11" si="10">M5</f>
        <v>0</v>
      </c>
      <c r="Q5" s="2901"/>
      <c r="R5" s="2021">
        <f>ROUND(IF(项目基本情况!$B$8="出让",SUMPRODUCT(PRODUCT(1+K5:$K$24)),SUMPRODUCT(PRODUCT(1+K5:$K$23))),4)</f>
        <v>1.0577000000000001</v>
      </c>
      <c r="S5" s="2021">
        <f>ROUND(IF(项目基本情况!$B$8="出让",SUMPRODUCT(PRODUCT(1+L5:$L$24)),SUMPRODUCT(PRODUCT(1+L5:$L$23))),4)</f>
        <v>1.0275000000000001</v>
      </c>
      <c r="T5" s="2021">
        <f>ROUND(IF(项目基本情况!$B$8="出让",SUMPRODUCT(PRODUCT(1+M5:$M$24)),SUMPRODUCT(PRODUCT(1+M5:$M$23))),4)</f>
        <v>0.98089999999999999</v>
      </c>
      <c r="U5" s="2021">
        <f>ROUND(IF(项目基本情况!$B$8="出让",SUMPRODUCT(PRODUCT(1+N5:$N$24)),SUMPRODUCT(PRODUCT(1+N5:$N$23))),4)</f>
        <v>1.0689</v>
      </c>
      <c r="V5" s="2021">
        <f>ROUND(IF(项目基本情况!$B$8="出让",SUMPRODUCT(PRODUCT(1+O5:$O$24)),SUMPRODUCT(PRODUCT(1+O5:$O$23))),4)</f>
        <v>1.0891</v>
      </c>
      <c r="W5" s="2021">
        <f t="shared" ref="W5:W11" si="11">T5</f>
        <v>0.98089999999999999</v>
      </c>
      <c r="X5" s="2901"/>
      <c r="Y5" s="2022">
        <f t="shared" ref="Y5:Y11" si="12">IF(D5=0,0,ROUND(AVERAGE(D5:D18)/100,4))</f>
        <v>0</v>
      </c>
      <c r="Z5" s="2022">
        <f t="shared" ref="Z5" si="13">IF(E5=0,0,ROUND(AVERAGE(E5:E18)/100,4))</f>
        <v>0</v>
      </c>
      <c r="AA5" s="2022">
        <f t="shared" ref="AA5" si="14">IF(F5=0,0,ROUND(AVERAGE(F5:F18)/100,4))</f>
        <v>0</v>
      </c>
      <c r="AB5" s="2022">
        <f t="shared" ref="AB5" si="15">IF(G5=0,0,ROUND(AVERAGE(G5:G18)/100,4))</f>
        <v>0</v>
      </c>
      <c r="AC5" s="2022">
        <f t="shared" ref="AC5" si="16">IF(H5=0,0,ROUND(AVERAGE(H5:H18)/100,4))</f>
        <v>0</v>
      </c>
      <c r="AD5" s="2022">
        <f t="shared" ref="AD5" si="17">AA5</f>
        <v>0</v>
      </c>
      <c r="AF5" s="3147">
        <f>$AF$24*R5</f>
        <v>105.77000000000001</v>
      </c>
      <c r="AG5" s="3147">
        <f t="shared" ref="AG5:AK5" si="18">$AF$24*S5</f>
        <v>102.75000000000001</v>
      </c>
      <c r="AH5" s="3147">
        <f t="shared" si="18"/>
        <v>98.09</v>
      </c>
      <c r="AI5" s="3147">
        <f t="shared" si="18"/>
        <v>106.89</v>
      </c>
      <c r="AJ5" s="3147">
        <f t="shared" si="18"/>
        <v>108.91</v>
      </c>
      <c r="AK5" s="3147">
        <f t="shared" si="18"/>
        <v>98.09</v>
      </c>
      <c r="AM5" s="3153">
        <v>100</v>
      </c>
      <c r="AN5" s="3153">
        <v>100</v>
      </c>
      <c r="AO5" s="3153">
        <v>100</v>
      </c>
      <c r="AP5" s="3153">
        <v>100</v>
      </c>
      <c r="AQ5" s="3153">
        <v>100</v>
      </c>
      <c r="AR5" s="3153">
        <v>100</v>
      </c>
    </row>
    <row r="6" spans="1:44" s="2039" customFormat="1" ht="12.75">
      <c r="A6" s="2034" t="s">
        <v>3386</v>
      </c>
      <c r="B6" s="2025">
        <v>2025</v>
      </c>
      <c r="C6" s="2036">
        <v>3</v>
      </c>
      <c r="D6" s="2001">
        <v>0</v>
      </c>
      <c r="E6" s="2001">
        <v>0</v>
      </c>
      <c r="F6" s="2001">
        <v>0</v>
      </c>
      <c r="G6" s="2001">
        <v>0</v>
      </c>
      <c r="H6" s="2001">
        <v>0</v>
      </c>
      <c r="I6" s="2002">
        <f t="shared" ref="I6" si="19">F6</f>
        <v>0</v>
      </c>
      <c r="J6" s="2901"/>
      <c r="K6" s="2037">
        <f t="shared" ref="K6" si="20">D6/100</f>
        <v>0</v>
      </c>
      <c r="L6" s="2022">
        <f t="shared" ref="L6" si="21">E6/100</f>
        <v>0</v>
      </c>
      <c r="M6" s="2022">
        <f t="shared" ref="M6" si="22">F6/100</f>
        <v>0</v>
      </c>
      <c r="N6" s="2022">
        <f t="shared" ref="N6" si="23">G6/100</f>
        <v>0</v>
      </c>
      <c r="O6" s="2022">
        <f t="shared" ref="O6" si="24">H6/100</f>
        <v>0</v>
      </c>
      <c r="P6" s="2022">
        <f t="shared" si="10"/>
        <v>0</v>
      </c>
      <c r="Q6" s="2901"/>
      <c r="R6" s="2021">
        <f>ROUND(IF(项目基本情况!$B$8="出让",SUMPRODUCT(PRODUCT(1+K6:$K$24)),SUMPRODUCT(PRODUCT(1+K6:$K$23))),4)</f>
        <v>1.0577000000000001</v>
      </c>
      <c r="S6" s="2021">
        <f>ROUND(IF(项目基本情况!$B$8="出让",SUMPRODUCT(PRODUCT(1+L6:$L$24)),SUMPRODUCT(PRODUCT(1+L6:$L$23))),4)</f>
        <v>1.0275000000000001</v>
      </c>
      <c r="T6" s="2021">
        <f>ROUND(IF(项目基本情况!$B$8="出让",SUMPRODUCT(PRODUCT(1+M6:$M$24)),SUMPRODUCT(PRODUCT(1+M6:$M$23))),4)</f>
        <v>0.98089999999999999</v>
      </c>
      <c r="U6" s="2021">
        <f>ROUND(IF(项目基本情况!$B$8="出让",SUMPRODUCT(PRODUCT(1+N6:$N$24)),SUMPRODUCT(PRODUCT(1+N6:$N$23))),4)</f>
        <v>1.0689</v>
      </c>
      <c r="V6" s="2021">
        <f>ROUND(IF(项目基本情况!$B$8="出让",SUMPRODUCT(PRODUCT(1+O6:$O$24)),SUMPRODUCT(PRODUCT(1+O6:$O$23))),4)</f>
        <v>1.0891</v>
      </c>
      <c r="W6" s="2021">
        <f t="shared" si="11"/>
        <v>0.98089999999999999</v>
      </c>
      <c r="X6" s="2901"/>
      <c r="Y6" s="2022">
        <f t="shared" si="12"/>
        <v>0</v>
      </c>
      <c r="Z6" s="2022">
        <f t="shared" ref="Z6" si="25">IF(E6=0,0,ROUND(AVERAGE(E6:E19)/100,4))</f>
        <v>0</v>
      </c>
      <c r="AA6" s="2022">
        <f t="shared" ref="AA6" si="26">IF(F6=0,0,ROUND(AVERAGE(F6:F19)/100,4))</f>
        <v>0</v>
      </c>
      <c r="AB6" s="2022">
        <f t="shared" ref="AB6" si="27">IF(G6=0,0,ROUND(AVERAGE(G6:G19)/100,4))</f>
        <v>0</v>
      </c>
      <c r="AC6" s="2022">
        <f t="shared" ref="AC6" si="28">IF(H6=0,0,ROUND(AVERAGE(H6:H19)/100,4))</f>
        <v>0</v>
      </c>
      <c r="AD6" s="2022">
        <f t="shared" ref="AD6" si="29">AA6</f>
        <v>0</v>
      </c>
      <c r="AF6" s="3147">
        <f t="shared" ref="AF6:AF23" si="30">$AF$24*R6</f>
        <v>105.77000000000001</v>
      </c>
      <c r="AG6" s="3147">
        <f t="shared" ref="AG6:AG23" si="31">$AF$24*S6</f>
        <v>102.75000000000001</v>
      </c>
      <c r="AH6" s="3147">
        <f t="shared" ref="AH6:AH23" si="32">$AF$24*T6</f>
        <v>98.09</v>
      </c>
      <c r="AI6" s="3147">
        <f t="shared" ref="AI6:AI23" si="33">$AF$24*U6</f>
        <v>106.89</v>
      </c>
      <c r="AJ6" s="3147">
        <f t="shared" ref="AJ6:AJ23" si="34">$AF$24*V6</f>
        <v>108.91</v>
      </c>
      <c r="AK6" s="3147">
        <f t="shared" ref="AK6:AK23" si="35">$AF$24*W6</f>
        <v>98.09</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2.75">
      <c r="A7" s="2902" t="s">
        <v>3385</v>
      </c>
      <c r="B7" s="2903">
        <v>2025</v>
      </c>
      <c r="C7" s="2904">
        <v>2</v>
      </c>
      <c r="D7" s="2905">
        <v>0.05</v>
      </c>
      <c r="E7" s="2905">
        <v>-0.62</v>
      </c>
      <c r="F7" s="2905">
        <v>-1.05</v>
      </c>
      <c r="G7" s="2905">
        <v>0.09</v>
      </c>
      <c r="H7" s="2906">
        <v>0.17</v>
      </c>
      <c r="I7" s="2907">
        <f t="shared" ref="I7" si="37">F7</f>
        <v>-1.05</v>
      </c>
      <c r="J7" s="2908"/>
      <c r="K7" s="2909">
        <f t="shared" ref="K7" si="38">D7/100</f>
        <v>5.0000000000000001E-4</v>
      </c>
      <c r="L7" s="2910">
        <f t="shared" ref="L7" si="39">E7/100</f>
        <v>-6.1999999999999998E-3</v>
      </c>
      <c r="M7" s="2910">
        <f t="shared" ref="M7" si="40">F7/100</f>
        <v>-1.0500000000000001E-2</v>
      </c>
      <c r="N7" s="2910">
        <f t="shared" ref="N7" si="41">G7/100</f>
        <v>8.9999999999999998E-4</v>
      </c>
      <c r="O7" s="2910">
        <f t="shared" ref="O7" si="42">H7/100</f>
        <v>1.7000000000000001E-3</v>
      </c>
      <c r="P7" s="2910">
        <f t="shared" si="10"/>
        <v>-1.0500000000000001E-2</v>
      </c>
      <c r="Q7" s="2908"/>
      <c r="R7" s="2908">
        <f>ROUND(IF(项目基本情况!$B$8="出让",SUMPRODUCT(PRODUCT(1+K7:$K$24)),SUMPRODUCT(PRODUCT(1+K7:$K$23))),4)</f>
        <v>1.0577000000000001</v>
      </c>
      <c r="S7" s="2908">
        <f>ROUND(IF(项目基本情况!$B$8="出让",SUMPRODUCT(PRODUCT(1+L7:$L$24)),SUMPRODUCT(PRODUCT(1+L7:$L$23))),4)</f>
        <v>1.0275000000000001</v>
      </c>
      <c r="T7" s="2908">
        <f>ROUND(IF(项目基本情况!$B$8="出让",SUMPRODUCT(PRODUCT(1+M7:$M$24)),SUMPRODUCT(PRODUCT(1+M7:$M$23))),4)</f>
        <v>0.98089999999999999</v>
      </c>
      <c r="U7" s="2908">
        <f>ROUND(IF(项目基本情况!$B$8="出让",SUMPRODUCT(PRODUCT(1+N7:$N$24)),SUMPRODUCT(PRODUCT(1+N7:$N$23))),4)</f>
        <v>1.0689</v>
      </c>
      <c r="V7" s="2908">
        <f>ROUND(IF(项目基本情况!$B$8="出让",SUMPRODUCT(PRODUCT(1+O7:$O$24)),SUMPRODUCT(PRODUCT(1+O7:$O$23))),4)</f>
        <v>1.0891</v>
      </c>
      <c r="W7" s="2908">
        <f t="shared" si="11"/>
        <v>0.98089999999999999</v>
      </c>
      <c r="X7" s="2908"/>
      <c r="Y7" s="2910">
        <f t="shared" si="12"/>
        <v>2.3E-3</v>
      </c>
      <c r="Z7" s="2910">
        <f t="shared" ref="Z7" si="43">IF(E7=0,0,ROUND(AVERAGE(E7:E20)/100,4))</f>
        <v>1E-3</v>
      </c>
      <c r="AA7" s="2910">
        <f t="shared" ref="AA7" si="44">IF(F7=0,0,ROUND(AVERAGE(F7:F20)/100,4))</f>
        <v>-1.9E-3</v>
      </c>
      <c r="AB7" s="2910">
        <f t="shared" ref="AB7" si="45">IF(G7=0,0,ROUND(AVERAGE(G7:G20)/100,4))</f>
        <v>2.8999999999999998E-3</v>
      </c>
      <c r="AC7" s="2910">
        <f t="shared" ref="AC7" si="46">IF(H7=0,0,ROUND(AVERAGE(H7:H20)/100,4))</f>
        <v>4.7000000000000002E-3</v>
      </c>
      <c r="AD7" s="2910">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39" customFormat="1" ht="12.75">
      <c r="A8" s="2034" t="s">
        <v>3393</v>
      </c>
      <c r="B8" s="2025">
        <v>2025</v>
      </c>
      <c r="C8" s="2036">
        <v>1</v>
      </c>
      <c r="D8" s="2001">
        <v>0.56999999999999995</v>
      </c>
      <c r="E8" s="2001">
        <v>-0.56999999999999995</v>
      </c>
      <c r="F8" s="2001">
        <v>-0.9</v>
      </c>
      <c r="G8" s="2001">
        <v>1.1200000000000001</v>
      </c>
      <c r="H8" s="2001">
        <v>0.42</v>
      </c>
      <c r="I8" s="2002">
        <f t="shared" ref="I8" si="54">F8</f>
        <v>-0.9</v>
      </c>
      <c r="J8" s="2901"/>
      <c r="K8" s="2037">
        <f t="shared" ref="K8" si="55">D8/100</f>
        <v>5.6999999999999993E-3</v>
      </c>
      <c r="L8" s="2022">
        <f t="shared" ref="L8" si="56">E8/100</f>
        <v>-5.6999999999999993E-3</v>
      </c>
      <c r="M8" s="2022">
        <f t="shared" ref="M8" si="57">F8/100</f>
        <v>-9.0000000000000011E-3</v>
      </c>
      <c r="N8" s="2022">
        <f t="shared" ref="N8" si="58">G8/100</f>
        <v>1.1200000000000002E-2</v>
      </c>
      <c r="O8" s="2022">
        <f t="shared" ref="O8" si="59">H8/100</f>
        <v>4.1999999999999997E-3</v>
      </c>
      <c r="P8" s="2022">
        <f t="shared" si="10"/>
        <v>-9.0000000000000011E-3</v>
      </c>
      <c r="Q8" s="2901"/>
      <c r="R8" s="2021">
        <f>ROUND(IF(项目基本情况!$B$8="出让",SUMPRODUCT(PRODUCT(1+K8:$K$24)),SUMPRODUCT(PRODUCT(1+K8:$K$23))),4)</f>
        <v>1.0571999999999999</v>
      </c>
      <c r="S8" s="2021">
        <f>ROUND(IF(项目基本情况!$B$8="出让",SUMPRODUCT(PRODUCT(1+L8:$L$24)),SUMPRODUCT(PRODUCT(1+L8:$L$23))),4)</f>
        <v>1.0339</v>
      </c>
      <c r="T8" s="2021">
        <f>ROUND(IF(项目基本情况!$B$8="出让",SUMPRODUCT(PRODUCT(1+M8:$M$24)),SUMPRODUCT(PRODUCT(1+M8:$M$23))),4)</f>
        <v>0.99129999999999996</v>
      </c>
      <c r="U8" s="2021">
        <f>ROUND(IF(项目基本情况!$B$8="出让",SUMPRODUCT(PRODUCT(1+N8:$N$24)),SUMPRODUCT(PRODUCT(1+N8:$N$23))),4)</f>
        <v>1.0679000000000001</v>
      </c>
      <c r="V8" s="2021">
        <f>ROUND(IF(项目基本情况!$B$8="出让",SUMPRODUCT(PRODUCT(1+O8:$O$24)),SUMPRODUCT(PRODUCT(1+O8:$O$23))),4)</f>
        <v>1.0871999999999999</v>
      </c>
      <c r="W8" s="2021">
        <f t="shared" si="11"/>
        <v>0.99129999999999996</v>
      </c>
      <c r="X8" s="2901"/>
      <c r="Y8" s="2022">
        <f t="shared" si="12"/>
        <v>3.0000000000000001E-3</v>
      </c>
      <c r="Z8" s="2022">
        <f t="shared" ref="Z8" si="60">IF(E8=0,0,ROUND(AVERAGE(E8:E21)/100,4))</f>
        <v>1.6000000000000001E-3</v>
      </c>
      <c r="AA8" s="2022">
        <f t="shared" ref="AA8" si="61">IF(F8=0,0,ROUND(AVERAGE(F8:F21)/100,4))</f>
        <v>-1.1000000000000001E-3</v>
      </c>
      <c r="AB8" s="2022">
        <f t="shared" ref="AB8" si="62">IF(G8=0,0,ROUND(AVERAGE(G8:G21)/100,4))</f>
        <v>3.7000000000000002E-3</v>
      </c>
      <c r="AC8" s="2022">
        <f t="shared" ref="AC8" si="63">IF(H8=0,0,ROUND(AVERAGE(H8:H21)/100,4))</f>
        <v>4.8999999999999998E-3</v>
      </c>
      <c r="AD8" s="2022">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99.950024987506254</v>
      </c>
      <c r="AN8" s="3147">
        <f t="shared" si="49"/>
        <v>100.6238679814852</v>
      </c>
      <c r="AO8" s="3147">
        <f t="shared" si="50"/>
        <v>101.06114199090449</v>
      </c>
      <c r="AP8" s="3147">
        <f t="shared" si="51"/>
        <v>99.910080927165566</v>
      </c>
      <c r="AQ8" s="3147">
        <f t="shared" si="52"/>
        <v>99.830288509533787</v>
      </c>
      <c r="AR8" s="3147">
        <f t="shared" si="53"/>
        <v>101.06114199090449</v>
      </c>
    </row>
    <row r="9" spans="1:44" s="2039" customFormat="1" ht="12.75">
      <c r="A9" s="2034" t="s">
        <v>3392</v>
      </c>
      <c r="B9" s="2025">
        <v>2024</v>
      </c>
      <c r="C9" s="2036">
        <v>4</v>
      </c>
      <c r="D9" s="2001">
        <v>-1.02</v>
      </c>
      <c r="E9" s="2001">
        <v>-0.48</v>
      </c>
      <c r="F9" s="2001">
        <v>-0.75</v>
      </c>
      <c r="G9" s="2001">
        <v>-1.05</v>
      </c>
      <c r="H9" s="2001">
        <v>0.08</v>
      </c>
      <c r="I9" s="2002">
        <f t="shared" ref="I9" si="65">F9</f>
        <v>-0.75</v>
      </c>
      <c r="J9" s="2901"/>
      <c r="K9" s="2037">
        <f t="shared" ref="K9" si="66">D9/100</f>
        <v>-1.0200000000000001E-2</v>
      </c>
      <c r="L9" s="2022">
        <f t="shared" ref="L9" si="67">E9/100</f>
        <v>-4.7999999999999996E-3</v>
      </c>
      <c r="M9" s="2022">
        <f t="shared" ref="M9" si="68">F9/100</f>
        <v>-7.4999999999999997E-3</v>
      </c>
      <c r="N9" s="2022">
        <f t="shared" ref="N9" si="69">G9/100</f>
        <v>-1.0500000000000001E-2</v>
      </c>
      <c r="O9" s="2022">
        <f t="shared" ref="O9" si="70">H9/100</f>
        <v>8.0000000000000004E-4</v>
      </c>
      <c r="P9" s="2022">
        <f t="shared" si="10"/>
        <v>-7.4999999999999997E-3</v>
      </c>
      <c r="Q9" s="2901"/>
      <c r="R9" s="2021">
        <f>ROUND(IF(项目基本情况!$B$8="出让",SUMPRODUCT(PRODUCT(1+K9:$K$24)),SUMPRODUCT(PRODUCT(1+K9:$K$23))),4)</f>
        <v>1.0511999999999999</v>
      </c>
      <c r="S9" s="2021">
        <f>ROUND(IF(项目基本情况!$B$8="出让",SUMPRODUCT(PRODUCT(1+L9:$L$24)),SUMPRODUCT(PRODUCT(1+L9:$L$23))),4)</f>
        <v>1.0398000000000001</v>
      </c>
      <c r="T9" s="2021">
        <f>ROUND(IF(项目基本情况!$B$8="出让",SUMPRODUCT(PRODUCT(1+M9:$M$24)),SUMPRODUCT(PRODUCT(1+M9:$M$23))),4)</f>
        <v>1.0003</v>
      </c>
      <c r="U9" s="2021">
        <f>ROUND(IF(项目基本情况!$B$8="出让",SUMPRODUCT(PRODUCT(1+N9:$N$24)),SUMPRODUCT(PRODUCT(1+N9:$N$23))),4)</f>
        <v>1.0561</v>
      </c>
      <c r="V9" s="2021">
        <f>ROUND(IF(项目基本情况!$B$8="出让",SUMPRODUCT(PRODUCT(1+O9:$O$24)),SUMPRODUCT(PRODUCT(1+O9:$O$23))),4)</f>
        <v>1.0827</v>
      </c>
      <c r="W9" s="2021">
        <f t="shared" si="11"/>
        <v>1.0003</v>
      </c>
      <c r="X9" s="2901"/>
      <c r="Y9" s="2022">
        <f t="shared" si="12"/>
        <v>2.8999999999999998E-3</v>
      </c>
      <c r="Z9" s="2022">
        <f t="shared" ref="Z9" si="71">IF(E9=0,0,ROUND(AVERAGE(E9:E22)/100,4))</f>
        <v>2.3E-3</v>
      </c>
      <c r="AA9" s="2022">
        <f t="shared" ref="AA9" si="72">IF(F9=0,0,ROUND(AVERAGE(F9:F22)/100,4))</f>
        <v>-2.9999999999999997E-4</v>
      </c>
      <c r="AB9" s="2022">
        <f t="shared" ref="AB9" si="73">IF(G9=0,0,ROUND(AVERAGE(G9:G22)/100,4))</f>
        <v>3.3E-3</v>
      </c>
      <c r="AC9" s="2022">
        <f t="shared" ref="AC9" si="74">IF(H9=0,0,ROUND(AVERAGE(H9:H22)/100,4))</f>
        <v>5.0000000000000001E-3</v>
      </c>
      <c r="AD9" s="2022">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99.383538816253605</v>
      </c>
      <c r="AN9" s="3147">
        <f t="shared" si="49"/>
        <v>101.20071204011386</v>
      </c>
      <c r="AO9" s="3147">
        <f t="shared" si="50"/>
        <v>101.97895256398031</v>
      </c>
      <c r="AP9" s="3147">
        <f t="shared" si="51"/>
        <v>98.80348192955455</v>
      </c>
      <c r="AQ9" s="3147">
        <f t="shared" si="52"/>
        <v>99.412754938790869</v>
      </c>
      <c r="AR9" s="3147">
        <f t="shared" si="53"/>
        <v>101.97895256398031</v>
      </c>
    </row>
    <row r="10" spans="1:44" s="2039" customFormat="1" ht="12.75">
      <c r="A10" s="2034" t="s">
        <v>3365</v>
      </c>
      <c r="B10" s="2025">
        <v>2024</v>
      </c>
      <c r="C10" s="2036">
        <v>3</v>
      </c>
      <c r="D10" s="2001">
        <v>-1.19</v>
      </c>
      <c r="E10" s="2001">
        <v>-0.47</v>
      </c>
      <c r="F10" s="2001">
        <v>-0.28999999999999998</v>
      </c>
      <c r="G10" s="2001">
        <v>-0.74</v>
      </c>
      <c r="H10" s="2001">
        <v>-0.21</v>
      </c>
      <c r="I10" s="2002">
        <f t="shared" ref="I10" si="76">F10</f>
        <v>-0.28999999999999998</v>
      </c>
      <c r="J10" s="2901"/>
      <c r="K10" s="2037">
        <f t="shared" ref="K10" si="77">D10/100</f>
        <v>-1.1899999999999999E-2</v>
      </c>
      <c r="L10" s="2022">
        <f t="shared" ref="L10" si="78">E10/100</f>
        <v>-4.6999999999999993E-3</v>
      </c>
      <c r="M10" s="2022">
        <f t="shared" ref="M10" si="79">F10/100</f>
        <v>-2.8999999999999998E-3</v>
      </c>
      <c r="N10" s="2022">
        <f t="shared" ref="N10" si="80">G10/100</f>
        <v>-7.4000000000000003E-3</v>
      </c>
      <c r="O10" s="2022">
        <f t="shared" ref="O10" si="81">H10/100</f>
        <v>-2.0999999999999999E-3</v>
      </c>
      <c r="P10" s="2022">
        <f t="shared" si="10"/>
        <v>-2.8999999999999998E-3</v>
      </c>
      <c r="Q10" s="2901"/>
      <c r="R10" s="2021">
        <f>ROUND(IF(项目基本情况!$B$8="出让",SUMPRODUCT(PRODUCT(1+K10:$K$24)),SUMPRODUCT(PRODUCT(1+K10:$K$23))),4)</f>
        <v>1.0620000000000001</v>
      </c>
      <c r="S10" s="2021">
        <f>ROUND(IF(项目基本情况!$B$8="出让",SUMPRODUCT(PRODUCT(1+L10:$L$24)),SUMPRODUCT(PRODUCT(1+L10:$L$23))),4)</f>
        <v>1.0448</v>
      </c>
      <c r="T10" s="2021">
        <f>ROUND(IF(项目基本情况!$B$8="出让",SUMPRODUCT(PRODUCT(1+M10:$M$24)),SUMPRODUCT(PRODUCT(1+M10:$M$23))),4)</f>
        <v>1.0079</v>
      </c>
      <c r="U10" s="2021">
        <f>ROUND(IF(项目基本情况!$B$8="出让",SUMPRODUCT(PRODUCT(1+N10:$N$24)),SUMPRODUCT(PRODUCT(1+N10:$N$23))),4)</f>
        <v>1.0672999999999999</v>
      </c>
      <c r="V10" s="2021">
        <f>ROUND(IF(项目基本情况!$B$8="出让",SUMPRODUCT(PRODUCT(1+O10:$O$24)),SUMPRODUCT(PRODUCT(1+O10:$O$23))),4)</f>
        <v>1.0818000000000001</v>
      </c>
      <c r="W10" s="2021">
        <f t="shared" si="11"/>
        <v>1.0079</v>
      </c>
      <c r="X10" s="2901"/>
      <c r="Y10" s="2022">
        <f t="shared" si="12"/>
        <v>4.3E-3</v>
      </c>
      <c r="Z10" s="2022">
        <f t="shared" ref="Z10" si="82">IF(E10=0,0,ROUND(AVERAGE(E10:E23)/100,4))</f>
        <v>3.0999999999999999E-3</v>
      </c>
      <c r="AA10" s="2022">
        <f t="shared" ref="AA10" si="83">IF(F10=0,0,ROUND(AVERAGE(F10:F23)/100,4))</f>
        <v>5.9999999999999995E-4</v>
      </c>
      <c r="AB10" s="2022">
        <f t="shared" ref="AB10" si="84">IF(G10=0,0,ROUND(AVERAGE(G10:G23)/100,4))</f>
        <v>4.7000000000000002E-3</v>
      </c>
      <c r="AC10" s="2022">
        <f t="shared" ref="AC10" si="85">IF(H10=0,0,ROUND(AVERAGE(H10:H23)/100,4))</f>
        <v>5.5999999999999999E-3</v>
      </c>
      <c r="AD10" s="2022">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100.40769732900949</v>
      </c>
      <c r="AN10" s="3147">
        <f t="shared" si="49"/>
        <v>101.68881836828162</v>
      </c>
      <c r="AO10" s="3147">
        <f t="shared" si="50"/>
        <v>102.74957437176857</v>
      </c>
      <c r="AP10" s="3147">
        <f t="shared" si="51"/>
        <v>99.851927164784783</v>
      </c>
      <c r="AQ10" s="3147">
        <f t="shared" si="52"/>
        <v>99.333288308144361</v>
      </c>
      <c r="AR10" s="3147">
        <f t="shared" si="53"/>
        <v>102.74957437176857</v>
      </c>
    </row>
    <row r="11" spans="1:44" s="2039" customFormat="1" ht="12.75">
      <c r="A11" s="2900" t="s">
        <v>3359</v>
      </c>
      <c r="B11" s="2025">
        <v>2024</v>
      </c>
      <c r="C11" s="2036">
        <v>2</v>
      </c>
      <c r="D11" s="2001">
        <v>-0.59</v>
      </c>
      <c r="E11" s="2001">
        <v>-0.21</v>
      </c>
      <c r="F11" s="2001">
        <v>-1.38</v>
      </c>
      <c r="G11" s="2001">
        <v>-1.24</v>
      </c>
      <c r="H11" s="2912">
        <v>0.34</v>
      </c>
      <c r="I11" s="2002">
        <f t="shared" ref="I11:I24" si="87">F11</f>
        <v>-1.38</v>
      </c>
      <c r="J11" s="2901"/>
      <c r="K11" s="2037">
        <f t="shared" ref="K11:O24" si="88">D11/100</f>
        <v>-5.8999999999999999E-3</v>
      </c>
      <c r="L11" s="2022">
        <f t="shared" si="88"/>
        <v>-2.0999999999999999E-3</v>
      </c>
      <c r="M11" s="2022">
        <f t="shared" si="88"/>
        <v>-1.38E-2</v>
      </c>
      <c r="N11" s="2022">
        <f t="shared" si="88"/>
        <v>-1.24E-2</v>
      </c>
      <c r="O11" s="2022">
        <f t="shared" si="88"/>
        <v>3.4000000000000002E-3</v>
      </c>
      <c r="P11" s="2022">
        <f t="shared" si="10"/>
        <v>-1.38E-2</v>
      </c>
      <c r="Q11" s="2901"/>
      <c r="R11" s="2021">
        <f>ROUND(IF(项目基本情况!$B$8="出让",SUMPRODUCT(PRODUCT(1+K11:$K$24)),SUMPRODUCT(PRODUCT(1+K11:$K$23))),4)</f>
        <v>1.0748</v>
      </c>
      <c r="S11" s="2021">
        <f>ROUND(IF(项目基本情况!$B$8="出让",SUMPRODUCT(PRODUCT(1+L11:$L$24)),SUMPRODUCT(PRODUCT(1+L11:$L$23))),4)</f>
        <v>1.0498000000000001</v>
      </c>
      <c r="T11" s="2021">
        <f>ROUND(IF(项目基本情况!$B$8="出让",SUMPRODUCT(PRODUCT(1+M11:$M$24)),SUMPRODUCT(PRODUCT(1+M11:$M$23))),4)</f>
        <v>1.0107999999999999</v>
      </c>
      <c r="U11" s="2021">
        <f>ROUND(IF(项目基本情况!$B$8="出让",SUMPRODUCT(PRODUCT(1+N11:$N$24)),SUMPRODUCT(PRODUCT(1+N11:$N$23))),4)</f>
        <v>1.0752999999999999</v>
      </c>
      <c r="V11" s="2021">
        <f>ROUND(IF(项目基本情况!$B$8="出让",SUMPRODUCT(PRODUCT(1+O11:$O$24)),SUMPRODUCT(PRODUCT(1+O11:$O$23))),4)</f>
        <v>1.0841000000000001</v>
      </c>
      <c r="W11" s="2021">
        <f t="shared" si="11"/>
        <v>1.0107999999999999</v>
      </c>
      <c r="X11" s="2901"/>
      <c r="Y11" s="2022">
        <f t="shared" si="12"/>
        <v>5.8999999999999999E-3</v>
      </c>
      <c r="Z11" s="2022">
        <f t="shared" ref="Z11:AC11" si="89">IF(E11=0,0,ROUND(AVERAGE(E11:E24)/100,4))</f>
        <v>3.5999999999999999E-3</v>
      </c>
      <c r="AA11" s="2022">
        <f t="shared" si="89"/>
        <v>5.9999999999999995E-4</v>
      </c>
      <c r="AB11" s="2022">
        <f t="shared" si="89"/>
        <v>6.0000000000000001E-3</v>
      </c>
      <c r="AC11" s="2022">
        <f t="shared" si="89"/>
        <v>6.0000000000000001E-3</v>
      </c>
      <c r="AD11" s="2022">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101.61693890194262</v>
      </c>
      <c r="AN11" s="3147">
        <f t="shared" si="49"/>
        <v>102.16901272810371</v>
      </c>
      <c r="AO11" s="3147">
        <f t="shared" si="50"/>
        <v>103.04841477461495</v>
      </c>
      <c r="AP11" s="3147">
        <f t="shared" si="51"/>
        <v>100.59634008138704</v>
      </c>
      <c r="AQ11" s="3147">
        <f t="shared" si="52"/>
        <v>99.542327195254401</v>
      </c>
      <c r="AR11" s="3147">
        <f t="shared" si="53"/>
        <v>103.04841477461495</v>
      </c>
    </row>
    <row r="12" spans="1:44" s="2039" customFormat="1" ht="12.75">
      <c r="A12" s="2900" t="s">
        <v>3358</v>
      </c>
      <c r="B12" s="2025">
        <v>2024</v>
      </c>
      <c r="C12" s="2036">
        <v>1</v>
      </c>
      <c r="D12" s="2001">
        <v>0.08</v>
      </c>
      <c r="E12" s="2001">
        <v>0.46</v>
      </c>
      <c r="F12" s="2001">
        <v>-0.16</v>
      </c>
      <c r="G12" s="2001">
        <v>0.26</v>
      </c>
      <c r="H12" s="2912">
        <v>0.59</v>
      </c>
      <c r="I12" s="2002">
        <f t="shared" si="87"/>
        <v>-0.16</v>
      </c>
      <c r="J12" s="2901"/>
      <c r="K12" s="2037">
        <f t="shared" ref="K12" si="91">D12/100</f>
        <v>8.0000000000000004E-4</v>
      </c>
      <c r="L12" s="2022">
        <f t="shared" ref="L12" si="92">E12/100</f>
        <v>4.5999999999999999E-3</v>
      </c>
      <c r="M12" s="2022">
        <f t="shared" ref="M12" si="93">F12/100</f>
        <v>-1.6000000000000001E-3</v>
      </c>
      <c r="N12" s="2022">
        <f t="shared" ref="N12" si="94">G12/100</f>
        <v>2.5999999999999999E-3</v>
      </c>
      <c r="O12" s="2022">
        <f t="shared" ref="O12" si="95">H12/100</f>
        <v>5.8999999999999999E-3</v>
      </c>
      <c r="P12" s="2022">
        <f t="shared" ref="P12" si="96">M12</f>
        <v>-1.6000000000000001E-3</v>
      </c>
      <c r="Q12" s="2901"/>
      <c r="R12" s="2021">
        <f>ROUND(IF(项目基本情况!$B$8="出让",SUMPRODUCT(PRODUCT(1+K12:$K$24)),SUMPRODUCT(PRODUCT(1+K12:$K$23))),4)</f>
        <v>1.0811999999999999</v>
      </c>
      <c r="S12" s="2021">
        <f>ROUND(IF(项目基本情况!$B$8="出让",SUMPRODUCT(PRODUCT(1+L12:$L$24)),SUMPRODUCT(PRODUCT(1+L12:$L$23))),4)</f>
        <v>1.052</v>
      </c>
      <c r="T12" s="2021">
        <f>ROUND(IF(项目基本情况!$B$8="出让",SUMPRODUCT(PRODUCT(1+M12:$M$24)),SUMPRODUCT(PRODUCT(1+M12:$M$23))),4)</f>
        <v>1.0249999999999999</v>
      </c>
      <c r="U12" s="2021">
        <f>ROUND(IF(项目基本情况!$B$8="出让",SUMPRODUCT(PRODUCT(1+N12:$N$24)),SUMPRODUCT(PRODUCT(1+N12:$N$23))),4)</f>
        <v>1.0888</v>
      </c>
      <c r="V12" s="2021">
        <f>ROUND(IF(项目基本情况!$B$8="出让",SUMPRODUCT(PRODUCT(1+O12:$O$24)),SUMPRODUCT(PRODUCT(1+O12:$O$23))),4)</f>
        <v>1.0804</v>
      </c>
      <c r="W12" s="2021">
        <f t="shared" ref="W12" si="97">T12</f>
        <v>1.0249999999999999</v>
      </c>
      <c r="X12" s="2901"/>
      <c r="Y12" s="2022"/>
      <c r="Z12" s="2022"/>
      <c r="AA12" s="2022"/>
      <c r="AB12" s="2022"/>
      <c r="AC12" s="2022"/>
      <c r="AD12" s="2022"/>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102.22003712095626</v>
      </c>
      <c r="AN12" s="3147">
        <f t="shared" si="49"/>
        <v>102.38401916835726</v>
      </c>
      <c r="AO12" s="3147">
        <f t="shared" si="50"/>
        <v>104.49038204686165</v>
      </c>
      <c r="AP12" s="3147">
        <f t="shared" si="51"/>
        <v>101.85939659921733</v>
      </c>
      <c r="AQ12" s="3147">
        <f t="shared" si="52"/>
        <v>99.205030092938401</v>
      </c>
      <c r="AR12" s="3147">
        <f t="shared" si="53"/>
        <v>104.49038204686165</v>
      </c>
    </row>
    <row r="13" spans="1:44" s="2039" customFormat="1" ht="12.75">
      <c r="A13" s="2900" t="s">
        <v>3354</v>
      </c>
      <c r="B13" s="2025">
        <v>2023</v>
      </c>
      <c r="C13" s="2036">
        <v>4</v>
      </c>
      <c r="D13" s="2001">
        <v>0.19</v>
      </c>
      <c r="E13" s="2001">
        <v>0.24</v>
      </c>
      <c r="F13" s="2001">
        <v>-0.16</v>
      </c>
      <c r="G13" s="2001">
        <v>0.17</v>
      </c>
      <c r="H13" s="2912">
        <v>0.61</v>
      </c>
      <c r="I13" s="2002">
        <f>F13</f>
        <v>-0.16</v>
      </c>
      <c r="J13" s="2901"/>
      <c r="K13" s="2037">
        <f t="shared" si="88"/>
        <v>1.9E-3</v>
      </c>
      <c r="L13" s="2022">
        <f t="shared" si="88"/>
        <v>2.3999999999999998E-3</v>
      </c>
      <c r="M13" s="2022">
        <f t="shared" si="88"/>
        <v>-1.6000000000000001E-3</v>
      </c>
      <c r="N13" s="2022">
        <f t="shared" si="88"/>
        <v>1.7000000000000001E-3</v>
      </c>
      <c r="O13" s="2022">
        <f t="shared" si="88"/>
        <v>6.0999999999999995E-3</v>
      </c>
      <c r="P13" s="2022">
        <f t="shared" ref="P13" si="98">M13</f>
        <v>-1.6000000000000001E-3</v>
      </c>
      <c r="Q13" s="2901"/>
      <c r="R13" s="2021">
        <f>ROUND(IF(项目基本情况!$B$8="出让",SUMPRODUCT(PRODUCT(1+K13:$K$24)),SUMPRODUCT(PRODUCT(1+K13:$K$23))),4)</f>
        <v>1.0804</v>
      </c>
      <c r="S13" s="2021">
        <f>ROUND(IF(项目基本情况!$B$8="出让",SUMPRODUCT(PRODUCT(1+L13:$L$24)),SUMPRODUCT(PRODUCT(1+L13:$L$23))),4)</f>
        <v>1.0471999999999999</v>
      </c>
      <c r="T13" s="2021">
        <f>ROUND(IF(项目基本情况!$B$8="出让",SUMPRODUCT(PRODUCT(1+M13:$M$24)),SUMPRODUCT(PRODUCT(1+M13:$M$23))),4)</f>
        <v>1.0266</v>
      </c>
      <c r="U13" s="2021">
        <f>ROUND(IF(项目基本情况!$B$8="出让",SUMPRODUCT(PRODUCT(1+N13:$N$24)),SUMPRODUCT(PRODUCT(1+N13:$N$23))),4)</f>
        <v>1.0859000000000001</v>
      </c>
      <c r="V13" s="2021">
        <f>ROUND(IF(项目基本情况!$B$8="出让",SUMPRODUCT(PRODUCT(1+O13:$O$24)),SUMPRODUCT(PRODUCT(1+O13:$O$23))),4)</f>
        <v>1.0741000000000001</v>
      </c>
      <c r="W13" s="2021">
        <f t="shared" ref="W13" si="99">T13</f>
        <v>1.0266</v>
      </c>
      <c r="X13" s="2901"/>
      <c r="Y13" s="2022"/>
      <c r="Z13" s="2022"/>
      <c r="AA13" s="2022"/>
      <c r="AB13" s="2022"/>
      <c r="AC13" s="2022"/>
      <c r="AD13" s="2022"/>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102.13832645978844</v>
      </c>
      <c r="AN13" s="3147">
        <f t="shared" si="49"/>
        <v>101.91520920600962</v>
      </c>
      <c r="AO13" s="3147">
        <f t="shared" si="50"/>
        <v>104.65783458219317</v>
      </c>
      <c r="AP13" s="3147">
        <f t="shared" si="51"/>
        <v>101.5952489519423</v>
      </c>
      <c r="AQ13" s="3147">
        <f t="shared" si="52"/>
        <v>98.623153487362956</v>
      </c>
      <c r="AR13" s="3147">
        <f t="shared" si="53"/>
        <v>104.65783458219317</v>
      </c>
    </row>
    <row r="14" spans="1:44" s="2039" customFormat="1" ht="12.75">
      <c r="A14" s="2900" t="s">
        <v>3353</v>
      </c>
      <c r="B14" s="2025">
        <v>2023</v>
      </c>
      <c r="C14" s="2036">
        <v>3</v>
      </c>
      <c r="D14" s="2001">
        <v>0.25</v>
      </c>
      <c r="E14" s="2001">
        <v>0.5</v>
      </c>
      <c r="F14" s="2001">
        <v>0.31</v>
      </c>
      <c r="G14" s="2001">
        <v>0.21</v>
      </c>
      <c r="H14" s="2912">
        <v>0.43</v>
      </c>
      <c r="I14" s="2002">
        <f t="shared" si="87"/>
        <v>0.31</v>
      </c>
      <c r="J14" s="2901"/>
      <c r="K14" s="2037">
        <f t="shared" ref="K14:K16" si="100">D14/100</f>
        <v>2.5000000000000001E-3</v>
      </c>
      <c r="L14" s="2022">
        <f t="shared" ref="L14:L16" si="101">E14/100</f>
        <v>5.0000000000000001E-3</v>
      </c>
      <c r="M14" s="2022">
        <f t="shared" ref="M14:M16" si="102">F14/100</f>
        <v>3.0999999999999999E-3</v>
      </c>
      <c r="N14" s="2022">
        <f t="shared" ref="N14:N16" si="103">G14/100</f>
        <v>2.0999999999999999E-3</v>
      </c>
      <c r="O14" s="2022">
        <f t="shared" ref="O14:O16" si="104">H14/100</f>
        <v>4.3E-3</v>
      </c>
      <c r="P14" s="2022">
        <f t="shared" ref="P14:P16" si="105">M14</f>
        <v>3.0999999999999999E-3</v>
      </c>
      <c r="Q14" s="2901"/>
      <c r="R14" s="2021">
        <f>ROUND(IF(项目基本情况!$B$8="出让",SUMPRODUCT(PRODUCT(1+K14:$K$24)),SUMPRODUCT(PRODUCT(1+K14:$K$23))),4)</f>
        <v>1.0783</v>
      </c>
      <c r="S14" s="2021">
        <f>ROUND(IF(项目基本情况!$B$8="出让",SUMPRODUCT(PRODUCT(1+L14:$L$24)),SUMPRODUCT(PRODUCT(1+L14:$L$23))),4)</f>
        <v>1.0447</v>
      </c>
      <c r="T14" s="2021">
        <f>ROUND(IF(项目基本情况!$B$8="出让",SUMPRODUCT(PRODUCT(1+M14:$M$24)),SUMPRODUCT(PRODUCT(1+M14:$M$23))),4)</f>
        <v>1.0282</v>
      </c>
      <c r="U14" s="2021">
        <f>ROUND(IF(项目基本情况!$B$8="出让",SUMPRODUCT(PRODUCT(1+N14:$N$24)),SUMPRODUCT(PRODUCT(1+N14:$N$23))),4)</f>
        <v>1.0841000000000001</v>
      </c>
      <c r="V14" s="2021">
        <f>ROUND(IF(项目基本情况!$B$8="出让",SUMPRODUCT(PRODUCT(1+O14:$O$24)),SUMPRODUCT(PRODUCT(1+O14:$O$23))),4)</f>
        <v>1.0674999999999999</v>
      </c>
      <c r="W14" s="2021">
        <f t="shared" ref="W14:W15" si="106">T14</f>
        <v>1.0282</v>
      </c>
      <c r="X14" s="2901"/>
      <c r="Y14" s="2022"/>
      <c r="Z14" s="2022"/>
      <c r="AA14" s="2022"/>
      <c r="AB14" s="2022"/>
      <c r="AC14" s="2022"/>
      <c r="AD14" s="2022"/>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101.94463165963514</v>
      </c>
      <c r="AN14" s="3147">
        <f t="shared" si="49"/>
        <v>101.67119833001759</v>
      </c>
      <c r="AO14" s="3147">
        <f t="shared" si="50"/>
        <v>104.8255554709467</v>
      </c>
      <c r="AP14" s="3147">
        <f t="shared" si="51"/>
        <v>101.4228301407031</v>
      </c>
      <c r="AQ14" s="3147">
        <f t="shared" si="52"/>
        <v>98.025199768773433</v>
      </c>
      <c r="AR14" s="3147">
        <f t="shared" si="53"/>
        <v>104.8255554709467</v>
      </c>
    </row>
    <row r="15" spans="1:44" s="2039" customFormat="1" ht="12.75">
      <c r="A15" s="2900" t="s">
        <v>3351</v>
      </c>
      <c r="B15" s="2025">
        <v>2023</v>
      </c>
      <c r="C15" s="2036">
        <v>2</v>
      </c>
      <c r="D15" s="2001">
        <v>0.91</v>
      </c>
      <c r="E15" s="2001">
        <v>0.66</v>
      </c>
      <c r="F15" s="2001">
        <v>0.47</v>
      </c>
      <c r="G15" s="2001">
        <v>0.96</v>
      </c>
      <c r="H15" s="2912">
        <v>0.71</v>
      </c>
      <c r="I15" s="2002">
        <f t="shared" si="87"/>
        <v>0.47</v>
      </c>
      <c r="J15" s="2901"/>
      <c r="K15" s="2037">
        <f t="shared" si="100"/>
        <v>9.1000000000000004E-3</v>
      </c>
      <c r="L15" s="2022">
        <f t="shared" si="101"/>
        <v>6.6E-3</v>
      </c>
      <c r="M15" s="2022">
        <f t="shared" si="102"/>
        <v>4.6999999999999993E-3</v>
      </c>
      <c r="N15" s="2022">
        <f t="shared" si="103"/>
        <v>9.5999999999999992E-3</v>
      </c>
      <c r="O15" s="2022">
        <f t="shared" si="104"/>
        <v>7.0999999999999995E-3</v>
      </c>
      <c r="P15" s="2022">
        <f t="shared" si="105"/>
        <v>4.6999999999999993E-3</v>
      </c>
      <c r="Q15" s="2901"/>
      <c r="R15" s="2021">
        <f>ROUND(IF(项目基本情况!$B$8="出让",SUMPRODUCT(PRODUCT(1+K15:$K$24)),SUMPRODUCT(PRODUCT(1+K15:$K$23))),4)</f>
        <v>1.0755999999999999</v>
      </c>
      <c r="S15" s="2021">
        <f>ROUND(IF(项目基本情况!$B$8="出让",SUMPRODUCT(PRODUCT(1+L15:$L$24)),SUMPRODUCT(PRODUCT(1+L15:$L$23))),4)</f>
        <v>1.0395000000000001</v>
      </c>
      <c r="T15" s="2021">
        <f>ROUND(IF(项目基本情况!$B$8="出让",SUMPRODUCT(PRODUCT(1+M15:$M$24)),SUMPRODUCT(PRODUCT(1+M15:$M$23))),4)</f>
        <v>1.0250999999999999</v>
      </c>
      <c r="U15" s="2021">
        <f>ROUND(IF(项目基本情况!$B$8="出让",SUMPRODUCT(PRODUCT(1+N15:$N$24)),SUMPRODUCT(PRODUCT(1+N15:$N$23))),4)</f>
        <v>1.0818000000000001</v>
      </c>
      <c r="V15" s="2021">
        <f>ROUND(IF(项目基本情况!$B$8="出让",SUMPRODUCT(PRODUCT(1+O15:$O$24)),SUMPRODUCT(PRODUCT(1+O15:$O$23))),4)</f>
        <v>1.0629999999999999</v>
      </c>
      <c r="W15" s="2021">
        <f t="shared" si="106"/>
        <v>1.0250999999999999</v>
      </c>
      <c r="X15" s="2901"/>
      <c r="Y15" s="2022"/>
      <c r="Z15" s="2022"/>
      <c r="AA15" s="2022"/>
      <c r="AB15" s="2022"/>
      <c r="AC15" s="2022"/>
      <c r="AD15" s="2022"/>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101.69040564552134</v>
      </c>
      <c r="AN15" s="3147">
        <f t="shared" si="49"/>
        <v>101.16537147265433</v>
      </c>
      <c r="AO15" s="3147">
        <f t="shared" si="50"/>
        <v>104.50160050936765</v>
      </c>
      <c r="AP15" s="3147">
        <f t="shared" si="51"/>
        <v>101.21028853478006</v>
      </c>
      <c r="AQ15" s="3147">
        <f t="shared" si="52"/>
        <v>97.605496135391249</v>
      </c>
      <c r="AR15" s="3147">
        <f t="shared" si="53"/>
        <v>104.50160050936765</v>
      </c>
    </row>
    <row r="16" spans="1:44" s="2039" customFormat="1" ht="12.75">
      <c r="A16" s="2900" t="s">
        <v>3350</v>
      </c>
      <c r="B16" s="2025">
        <v>2023</v>
      </c>
      <c r="C16" s="2036">
        <v>1</v>
      </c>
      <c r="D16" s="2001">
        <v>0.89</v>
      </c>
      <c r="E16" s="2001">
        <v>0.74</v>
      </c>
      <c r="F16" s="2001">
        <v>0.56999999999999995</v>
      </c>
      <c r="G16" s="2001">
        <v>0.92</v>
      </c>
      <c r="H16" s="2912">
        <v>0.5</v>
      </c>
      <c r="I16" s="2002">
        <f t="shared" si="87"/>
        <v>0.56999999999999995</v>
      </c>
      <c r="J16" s="2901"/>
      <c r="K16" s="2037">
        <f t="shared" si="100"/>
        <v>8.8999999999999999E-3</v>
      </c>
      <c r="L16" s="2022">
        <f t="shared" si="101"/>
        <v>7.4000000000000003E-3</v>
      </c>
      <c r="M16" s="2022">
        <f t="shared" si="102"/>
        <v>5.6999999999999993E-3</v>
      </c>
      <c r="N16" s="2022">
        <f t="shared" si="103"/>
        <v>9.1999999999999998E-3</v>
      </c>
      <c r="O16" s="2022">
        <f t="shared" si="104"/>
        <v>5.0000000000000001E-3</v>
      </c>
      <c r="P16" s="2022">
        <f t="shared" si="105"/>
        <v>5.6999999999999993E-3</v>
      </c>
      <c r="Q16" s="2901"/>
      <c r="R16" s="2021">
        <f>ROUND(IF(项目基本情况!$B$8="出让",SUMPRODUCT(PRODUCT(1+K16:$K$24)),SUMPRODUCT(PRODUCT(1+K16:$K$23))),4)</f>
        <v>1.0659000000000001</v>
      </c>
      <c r="S16" s="2021">
        <f>ROUND(IF(项目基本情况!$B$8="出让",SUMPRODUCT(PRODUCT(1+L16:$L$24)),SUMPRODUCT(PRODUCT(1+L16:$L$23))),4)</f>
        <v>1.0326</v>
      </c>
      <c r="T16" s="2021">
        <f>ROUND(IF(项目基本情况!$B$8="出让",SUMPRODUCT(PRODUCT(1+M16:$M$24)),SUMPRODUCT(PRODUCT(1+M16:$M$23))),4)</f>
        <v>1.0203</v>
      </c>
      <c r="U16" s="2021">
        <f>ROUND(IF(项目基本情况!$B$8="出让",SUMPRODUCT(PRODUCT(1+N16:$N$24)),SUMPRODUCT(PRODUCT(1+N16:$N$23))),4)</f>
        <v>1.0714999999999999</v>
      </c>
      <c r="V16" s="2021">
        <f>ROUND(IF(项目基本情况!$B$8="出让",SUMPRODUCT(PRODUCT(1+O16:$O$24)),SUMPRODUCT(PRODUCT(1+O16:$O$23))),4)</f>
        <v>1.0555000000000001</v>
      </c>
      <c r="W16" s="2021">
        <f t="shared" ref="W16:W23" si="107">T16</f>
        <v>1.0203</v>
      </c>
      <c r="X16" s="2901"/>
      <c r="Y16" s="2022"/>
      <c r="Z16" s="2022"/>
      <c r="AA16" s="2022"/>
      <c r="AB16" s="2022"/>
      <c r="AC16" s="2022"/>
      <c r="AD16" s="2022"/>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100.77336799675089</v>
      </c>
      <c r="AN16" s="3147">
        <f t="shared" si="49"/>
        <v>100.50205789057652</v>
      </c>
      <c r="AO16" s="3147">
        <f t="shared" si="50"/>
        <v>104.01274062841411</v>
      </c>
      <c r="AP16" s="3147">
        <f t="shared" si="51"/>
        <v>100.24790861210386</v>
      </c>
      <c r="AQ16" s="3147">
        <f t="shared" si="52"/>
        <v>96.917382718092782</v>
      </c>
      <c r="AR16" s="3147">
        <f t="shared" si="53"/>
        <v>104.01274062841411</v>
      </c>
    </row>
    <row r="17" spans="1:44" s="2039" customFormat="1" ht="12.75">
      <c r="A17" s="2900" t="s">
        <v>3349</v>
      </c>
      <c r="B17" s="2025">
        <v>2022</v>
      </c>
      <c r="C17" s="2036">
        <v>4</v>
      </c>
      <c r="D17" s="2001">
        <v>0.62</v>
      </c>
      <c r="E17" s="2001">
        <v>0.2</v>
      </c>
      <c r="F17" s="2001">
        <v>0.11</v>
      </c>
      <c r="G17" s="2001">
        <v>0.69</v>
      </c>
      <c r="H17" s="2912">
        <v>0.53</v>
      </c>
      <c r="I17" s="2002">
        <f t="shared" si="87"/>
        <v>0.11</v>
      </c>
      <c r="J17" s="2901"/>
      <c r="K17" s="2037">
        <f t="shared" si="88"/>
        <v>6.1999999999999998E-3</v>
      </c>
      <c r="L17" s="2022">
        <f t="shared" si="88"/>
        <v>2E-3</v>
      </c>
      <c r="M17" s="2022">
        <f t="shared" si="88"/>
        <v>1.1000000000000001E-3</v>
      </c>
      <c r="N17" s="2022">
        <f t="shared" si="88"/>
        <v>6.8999999999999999E-3</v>
      </c>
      <c r="O17" s="2022">
        <f t="shared" si="88"/>
        <v>5.3E-3</v>
      </c>
      <c r="P17" s="2022">
        <f t="shared" ref="P17:P24" si="108">M17</f>
        <v>1.1000000000000001E-3</v>
      </c>
      <c r="Q17" s="2901"/>
      <c r="R17" s="2021">
        <f>ROUND(IF(项目基本情况!$B$8="出让",SUMPRODUCT(PRODUCT(1+K17:$K$24)),SUMPRODUCT(PRODUCT(1+K17:$K$23))),4)</f>
        <v>1.0565</v>
      </c>
      <c r="S17" s="2021">
        <f>ROUND(IF(项目基本情况!$B$8="出让",SUMPRODUCT(PRODUCT(1+L17:$L$24)),SUMPRODUCT(PRODUCT(1+L17:$L$23))),4)</f>
        <v>1.0250999999999999</v>
      </c>
      <c r="T17" s="2021">
        <f>ROUND(IF(项目基本情况!$B$8="出让",SUMPRODUCT(PRODUCT(1+M17:$M$24)),SUMPRODUCT(PRODUCT(1+M17:$M$23))),4)</f>
        <v>1.0145</v>
      </c>
      <c r="U17" s="2021">
        <f>ROUND(IF(项目基本情况!$B$8="出让",SUMPRODUCT(PRODUCT(1+N17:$N$24)),SUMPRODUCT(PRODUCT(1+N17:$N$23))),4)</f>
        <v>1.0618000000000001</v>
      </c>
      <c r="V17" s="2021">
        <f>ROUND(IF(项目基本情况!$B$8="出让",SUMPRODUCT(PRODUCT(1+O17:$O$24)),SUMPRODUCT(PRODUCT(1+O17:$O$23))),4)</f>
        <v>1.0502</v>
      </c>
      <c r="W17" s="2021">
        <f t="shared" si="107"/>
        <v>1.0145</v>
      </c>
      <c r="X17" s="2901"/>
      <c r="Y17" s="2022">
        <f>IF(D17=0,0,ROUND(AVERAGE(D17:D25)/100,4))</f>
        <v>8.0999999999999996E-3</v>
      </c>
      <c r="Z17" s="2022">
        <f t="shared" ref="Z17:AC17" si="109">IF(E17=0,0,ROUND(AVERAGE(E17:E24)/100,4))</f>
        <v>3.3E-3</v>
      </c>
      <c r="AA17" s="2022">
        <f t="shared" si="109"/>
        <v>1.5E-3</v>
      </c>
      <c r="AB17" s="2022">
        <f t="shared" si="109"/>
        <v>8.8999999999999999E-3</v>
      </c>
      <c r="AC17" s="2022">
        <f t="shared" si="109"/>
        <v>6.6E-3</v>
      </c>
      <c r="AD17" s="2022">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99.884396864655471</v>
      </c>
      <c r="AN17" s="3147">
        <f t="shared" si="49"/>
        <v>99.763805728187918</v>
      </c>
      <c r="AO17" s="3147">
        <f t="shared" si="50"/>
        <v>103.42322822751726</v>
      </c>
      <c r="AP17" s="3147">
        <f t="shared" si="51"/>
        <v>99.334035485635994</v>
      </c>
      <c r="AQ17" s="3147">
        <f t="shared" si="52"/>
        <v>96.435206684669438</v>
      </c>
      <c r="AR17" s="3147">
        <f t="shared" si="53"/>
        <v>103.42322822751726</v>
      </c>
    </row>
    <row r="18" spans="1:44" s="2039" customFormat="1" ht="12.75">
      <c r="A18" s="2900" t="s">
        <v>3347</v>
      </c>
      <c r="B18" s="2025">
        <v>2022</v>
      </c>
      <c r="C18" s="2036">
        <v>3</v>
      </c>
      <c r="D18" s="2001">
        <v>0.66</v>
      </c>
      <c r="E18" s="2001">
        <v>0.32</v>
      </c>
      <c r="F18" s="2001">
        <v>0.23</v>
      </c>
      <c r="G18" s="2001">
        <v>0.72</v>
      </c>
      <c r="H18" s="2912">
        <v>0.63</v>
      </c>
      <c r="I18" s="2002">
        <f t="shared" si="87"/>
        <v>0.23</v>
      </c>
      <c r="J18" s="2901"/>
      <c r="K18" s="2037">
        <f t="shared" si="88"/>
        <v>6.6E-3</v>
      </c>
      <c r="L18" s="2022">
        <f t="shared" si="88"/>
        <v>3.2000000000000002E-3</v>
      </c>
      <c r="M18" s="2022">
        <f t="shared" si="88"/>
        <v>2.3E-3</v>
      </c>
      <c r="N18" s="2022">
        <f t="shared" si="88"/>
        <v>7.1999999999999998E-3</v>
      </c>
      <c r="O18" s="2022">
        <f t="shared" si="88"/>
        <v>6.3E-3</v>
      </c>
      <c r="P18" s="2022">
        <f t="shared" si="108"/>
        <v>2.3E-3</v>
      </c>
      <c r="Q18" s="2901"/>
      <c r="R18" s="2021">
        <f>ROUND(IF(项目基本情况!$B$8="出让",SUMPRODUCT(PRODUCT(1+K18:$K$24)),SUMPRODUCT(PRODUCT(1+K18:$K$23))),4)</f>
        <v>1.05</v>
      </c>
      <c r="S18" s="2021">
        <f>ROUND(IF(项目基本情况!$B$8="出让",SUMPRODUCT(PRODUCT(1+L18:$L$24)),SUMPRODUCT(PRODUCT(1+L18:$L$23))),4)</f>
        <v>1.0229999999999999</v>
      </c>
      <c r="T18" s="2021">
        <f>ROUND(IF(项目基本情况!$B$8="出让",SUMPRODUCT(PRODUCT(1+M18:$M$24)),SUMPRODUCT(PRODUCT(1+M18:$M$23))),4)</f>
        <v>1.0134000000000001</v>
      </c>
      <c r="U18" s="2021">
        <f>ROUND(IF(项目基本情况!$B$8="出让",SUMPRODUCT(PRODUCT(1+N18:$N$24)),SUMPRODUCT(PRODUCT(1+N18:$N$23))),4)</f>
        <v>1.0545</v>
      </c>
      <c r="V18" s="2021">
        <f>ROUND(IF(项目基本情况!$B$8="出让",SUMPRODUCT(PRODUCT(1+O18:$O$24)),SUMPRODUCT(PRODUCT(1+O18:$O$23))),4)</f>
        <v>1.0447</v>
      </c>
      <c r="W18" s="2021">
        <f t="shared" si="107"/>
        <v>1.0134000000000001</v>
      </c>
      <c r="X18" s="2901"/>
      <c r="Y18" s="2022">
        <f>IF(D18=0,0,ROUND(AVERAGE(D18:D24)/100,4))</f>
        <v>8.3999999999999995E-3</v>
      </c>
      <c r="Z18" s="2022">
        <f t="shared" ref="Z18:AC18" si="110">IF(E18=0,0,ROUND(AVERAGE(E18:E24)/100,4))</f>
        <v>3.5000000000000001E-3</v>
      </c>
      <c r="AA18" s="2022">
        <f t="shared" si="110"/>
        <v>1.5E-3</v>
      </c>
      <c r="AB18" s="2022">
        <f t="shared" si="110"/>
        <v>9.1999999999999998E-3</v>
      </c>
      <c r="AC18" s="2022">
        <f t="shared" si="110"/>
        <v>6.7999999999999996E-3</v>
      </c>
      <c r="AD18" s="2022">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99.268929501744651</v>
      </c>
      <c r="AN18" s="3147">
        <f t="shared" si="49"/>
        <v>99.564676375437045</v>
      </c>
      <c r="AO18" s="3147">
        <f t="shared" si="50"/>
        <v>103.30958768106807</v>
      </c>
      <c r="AP18" s="3147">
        <f t="shared" si="51"/>
        <v>98.653327525708619</v>
      </c>
      <c r="AQ18" s="3147">
        <f t="shared" si="52"/>
        <v>95.926794672903043</v>
      </c>
      <c r="AR18" s="3147">
        <f t="shared" si="53"/>
        <v>103.30958768106807</v>
      </c>
    </row>
    <row r="19" spans="1:44" s="2039" customFormat="1" ht="12.75">
      <c r="A19" s="2900" t="s">
        <v>3338</v>
      </c>
      <c r="B19" s="2025">
        <v>2022</v>
      </c>
      <c r="C19" s="2036">
        <v>2</v>
      </c>
      <c r="D19" s="2001">
        <v>0.93</v>
      </c>
      <c r="E19" s="2001">
        <v>0.15</v>
      </c>
      <c r="F19" s="2001">
        <v>0.01</v>
      </c>
      <c r="G19" s="2001">
        <v>1.05</v>
      </c>
      <c r="H19" s="2912">
        <v>1.08</v>
      </c>
      <c r="I19" s="2002">
        <f t="shared" si="87"/>
        <v>0.01</v>
      </c>
      <c r="J19" s="2901"/>
      <c r="K19" s="2037">
        <f t="shared" si="88"/>
        <v>9.300000000000001E-3</v>
      </c>
      <c r="L19" s="2022">
        <f t="shared" si="88"/>
        <v>1.5E-3</v>
      </c>
      <c r="M19" s="2022">
        <f t="shared" si="88"/>
        <v>1E-4</v>
      </c>
      <c r="N19" s="2022">
        <f t="shared" si="88"/>
        <v>1.0500000000000001E-2</v>
      </c>
      <c r="O19" s="2022">
        <f t="shared" si="88"/>
        <v>1.0800000000000001E-2</v>
      </c>
      <c r="P19" s="2022">
        <f t="shared" si="108"/>
        <v>1E-4</v>
      </c>
      <c r="Q19" s="2901"/>
      <c r="R19" s="2021">
        <f>ROUND(IF(项目基本情况!$B$8="出让",SUMPRODUCT(PRODUCT(1+K19:$K$24)),SUMPRODUCT(PRODUCT(1+K19:$K$23))),4)</f>
        <v>1.0430999999999999</v>
      </c>
      <c r="S19" s="2021">
        <f>ROUND(IF(项目基本情况!$B$8="出让",SUMPRODUCT(PRODUCT(1+L19:$L$24)),SUMPRODUCT(PRODUCT(1+L19:$L$23))),4)</f>
        <v>1.0197000000000001</v>
      </c>
      <c r="T19" s="2021">
        <f>ROUND(IF(项目基本情况!$B$8="出让",SUMPRODUCT(PRODUCT(1+M19:$M$24)),SUMPRODUCT(PRODUCT(1+M19:$M$23))),4)</f>
        <v>1.0109999999999999</v>
      </c>
      <c r="U19" s="2021">
        <f>ROUND(IF(项目基本情况!$B$8="出让",SUMPRODUCT(PRODUCT(1+N19:$N$24)),SUMPRODUCT(PRODUCT(1+N19:$N$23))),4)</f>
        <v>1.0468999999999999</v>
      </c>
      <c r="V19" s="2021">
        <f>ROUND(IF(项目基本情况!$B$8="出让",SUMPRODUCT(PRODUCT(1+O19:$O$24)),SUMPRODUCT(PRODUCT(1+O19:$O$23))),4)</f>
        <v>1.0382</v>
      </c>
      <c r="W19" s="2021">
        <f t="shared" si="107"/>
        <v>1.0109999999999999</v>
      </c>
      <c r="X19" s="2901"/>
      <c r="Y19" s="2022">
        <f>IF(D19=0,0,ROUND(AVERAGE(D19:D24)/100,4))</f>
        <v>8.6999999999999994E-3</v>
      </c>
      <c r="Z19" s="2022">
        <f t="shared" ref="Z19:AC19" si="111">IF(E19=0,0,ROUND(AVERAGE(E19:E24)/100,4))</f>
        <v>3.5000000000000001E-3</v>
      </c>
      <c r="AA19" s="2022">
        <f t="shared" si="111"/>
        <v>1.4E-3</v>
      </c>
      <c r="AB19" s="2022">
        <f t="shared" si="111"/>
        <v>9.4999999999999998E-3</v>
      </c>
      <c r="AC19" s="2022">
        <f t="shared" si="111"/>
        <v>6.8999999999999999E-3</v>
      </c>
      <c r="AD19" s="2022">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98.618050369307227</v>
      </c>
      <c r="AN19" s="3147">
        <f t="shared" si="49"/>
        <v>99.247085701193214</v>
      </c>
      <c r="AO19" s="3147">
        <f t="shared" si="50"/>
        <v>103.07252088303709</v>
      </c>
      <c r="AP19" s="3147">
        <f t="shared" si="51"/>
        <v>97.948101197089571</v>
      </c>
      <c r="AQ19" s="3147">
        <f t="shared" si="52"/>
        <v>95.326239364904154</v>
      </c>
      <c r="AR19" s="3147">
        <f t="shared" si="53"/>
        <v>103.07252088303709</v>
      </c>
    </row>
    <row r="20" spans="1:44" s="2039" customFormat="1" ht="12.75">
      <c r="A20" s="2900" t="s">
        <v>2804</v>
      </c>
      <c r="B20" s="2025">
        <v>2022</v>
      </c>
      <c r="C20" s="2036">
        <v>1</v>
      </c>
      <c r="D20" s="2001">
        <v>0.89</v>
      </c>
      <c r="E20" s="2001">
        <v>0.44</v>
      </c>
      <c r="F20" s="2001">
        <v>0.37</v>
      </c>
      <c r="G20" s="2001">
        <v>0.96</v>
      </c>
      <c r="H20" s="2912">
        <v>0.64</v>
      </c>
      <c r="I20" s="2002">
        <f t="shared" si="87"/>
        <v>0.37</v>
      </c>
      <c r="J20" s="2901"/>
      <c r="K20" s="2037">
        <f t="shared" si="88"/>
        <v>8.8999999999999999E-3</v>
      </c>
      <c r="L20" s="2022">
        <f t="shared" si="88"/>
        <v>4.4000000000000003E-3</v>
      </c>
      <c r="M20" s="2022">
        <f t="shared" si="88"/>
        <v>3.7000000000000002E-3</v>
      </c>
      <c r="N20" s="2022">
        <f t="shared" si="88"/>
        <v>9.5999999999999992E-3</v>
      </c>
      <c r="O20" s="2022">
        <f t="shared" si="88"/>
        <v>6.4000000000000003E-3</v>
      </c>
      <c r="P20" s="2022">
        <f t="shared" si="108"/>
        <v>3.7000000000000002E-3</v>
      </c>
      <c r="Q20" s="2901"/>
      <c r="R20" s="2021">
        <f>ROUND(IF(项目基本情况!$B$8="出让",SUMPRODUCT(PRODUCT(1+K20:$K$24)),SUMPRODUCT(PRODUCT(1+K20:$K$23))),4)</f>
        <v>1.0335000000000001</v>
      </c>
      <c r="S20" s="2021">
        <f>ROUND(IF(项目基本情况!$B$8="出让",SUMPRODUCT(PRODUCT(1+L20:$L$24)),SUMPRODUCT(PRODUCT(1+L20:$L$23))),4)</f>
        <v>1.0182</v>
      </c>
      <c r="T20" s="2021">
        <f>ROUND(IF(项目基本情况!$B$8="出让",SUMPRODUCT(PRODUCT(1+M20:$M$24)),SUMPRODUCT(PRODUCT(1+M20:$M$23))),4)</f>
        <v>1.0108999999999999</v>
      </c>
      <c r="U20" s="2021">
        <f>ROUND(IF(项目基本情况!$B$8="出让",SUMPRODUCT(PRODUCT(1+N20:$N$24)),SUMPRODUCT(PRODUCT(1+N20:$N$23))),4)</f>
        <v>1.0361</v>
      </c>
      <c r="V20" s="2021">
        <f>ROUND(IF(项目基本情况!$B$8="出让",SUMPRODUCT(PRODUCT(1+O20:$O$24)),SUMPRODUCT(PRODUCT(1+O20:$O$23))),4)</f>
        <v>1.0270999999999999</v>
      </c>
      <c r="W20" s="2021">
        <f t="shared" si="107"/>
        <v>1.0108999999999999</v>
      </c>
      <c r="X20" s="2901"/>
      <c r="Y20" s="2022">
        <f>IF(D20=0,0,ROUND(AVERAGE(D20:D24)/100,4))</f>
        <v>8.6E-3</v>
      </c>
      <c r="Z20" s="2022">
        <f t="shared" ref="Z20:AC20" si="112">IF(E20=0,0,ROUND(AVERAGE(E20:E24)/100,4))</f>
        <v>3.8999999999999998E-3</v>
      </c>
      <c r="AA20" s="2022">
        <f t="shared" si="112"/>
        <v>1.6999999999999999E-3</v>
      </c>
      <c r="AB20" s="2022">
        <f t="shared" si="112"/>
        <v>9.2999999999999992E-3</v>
      </c>
      <c r="AC20" s="2022">
        <f t="shared" si="112"/>
        <v>6.1000000000000004E-3</v>
      </c>
      <c r="AD20" s="2022">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97.709353382846743</v>
      </c>
      <c r="AN20" s="3147">
        <f t="shared" si="49"/>
        <v>99.098438044127022</v>
      </c>
      <c r="AO20" s="3147">
        <f t="shared" si="50"/>
        <v>103.06221466157093</v>
      </c>
      <c r="AP20" s="3147">
        <f t="shared" si="51"/>
        <v>96.930332703700714</v>
      </c>
      <c r="AQ20" s="3147">
        <f t="shared" si="52"/>
        <v>94.307716031761146</v>
      </c>
      <c r="AR20" s="3147">
        <f t="shared" si="53"/>
        <v>103.06221466157093</v>
      </c>
    </row>
    <row r="21" spans="1:44" s="2039" customFormat="1" ht="12.75">
      <c r="A21" s="2900" t="s">
        <v>2805</v>
      </c>
      <c r="B21" s="2025">
        <v>2021</v>
      </c>
      <c r="C21" s="2036">
        <v>4</v>
      </c>
      <c r="D21" s="2001">
        <v>1.03</v>
      </c>
      <c r="E21" s="2001">
        <v>0.24</v>
      </c>
      <c r="F21" s="2001">
        <v>7.0000000000000007E-2</v>
      </c>
      <c r="G21" s="2001">
        <v>1.17</v>
      </c>
      <c r="H21" s="2912">
        <v>0.55000000000000004</v>
      </c>
      <c r="I21" s="2002">
        <f t="shared" si="87"/>
        <v>7.0000000000000007E-2</v>
      </c>
      <c r="J21" s="2901"/>
      <c r="K21" s="2037">
        <f t="shared" si="88"/>
        <v>1.03E-2</v>
      </c>
      <c r="L21" s="2022">
        <f t="shared" si="88"/>
        <v>2.3999999999999998E-3</v>
      </c>
      <c r="M21" s="2022">
        <f t="shared" si="88"/>
        <v>7.000000000000001E-4</v>
      </c>
      <c r="N21" s="2022">
        <f t="shared" si="88"/>
        <v>1.1699999999999999E-2</v>
      </c>
      <c r="O21" s="2022">
        <f t="shared" si="88"/>
        <v>5.5000000000000005E-3</v>
      </c>
      <c r="P21" s="2022">
        <f t="shared" si="108"/>
        <v>7.000000000000001E-4</v>
      </c>
      <c r="Q21" s="2901"/>
      <c r="R21" s="2021">
        <f>ROUND(IF(项目基本情况!$B$8="出让",SUMPRODUCT(PRODUCT(1+K21:$K$24)),SUMPRODUCT(PRODUCT(1+K21:$K$23))),4)</f>
        <v>1.0244</v>
      </c>
      <c r="S21" s="2021">
        <f>ROUND(IF(项目基本情况!$B$8="出让",SUMPRODUCT(PRODUCT(1+L21:$L$24)),SUMPRODUCT(PRODUCT(1+L21:$L$23))),4)</f>
        <v>1.0138</v>
      </c>
      <c r="T21" s="2021">
        <f>ROUND(IF(项目基本情况!$B$8="出让",SUMPRODUCT(PRODUCT(1+M21:$M$24)),SUMPRODUCT(PRODUCT(1+M21:$M$23))),4)</f>
        <v>1.0072000000000001</v>
      </c>
      <c r="U21" s="2021">
        <f>ROUND(IF(项目基本情况!$B$8="出让",SUMPRODUCT(PRODUCT(1+N21:$N$24)),SUMPRODUCT(PRODUCT(1+N21:$N$23))),4)</f>
        <v>1.0262</v>
      </c>
      <c r="V21" s="2021">
        <f>ROUND(IF(项目基本情况!$B$8="出让",SUMPRODUCT(PRODUCT(1+O21:$O$24)),SUMPRODUCT(PRODUCT(1+O21:$O$23))),4)</f>
        <v>1.0205</v>
      </c>
      <c r="W21" s="2021">
        <f t="shared" si="107"/>
        <v>1.0072000000000001</v>
      </c>
      <c r="X21" s="2901"/>
      <c r="Y21" s="2022">
        <f>IF(D21=0,0,ROUND(AVERAGE(D21:D24)/100,4))</f>
        <v>8.5000000000000006E-3</v>
      </c>
      <c r="Z21" s="2022">
        <f t="shared" ref="Z21:AC21" si="113">IF(E21=0,0,ROUND(AVERAGE(E21:E24)/100,4))</f>
        <v>3.8E-3</v>
      </c>
      <c r="AA21" s="2022">
        <f t="shared" si="113"/>
        <v>1.1999999999999999E-3</v>
      </c>
      <c r="AB21" s="2022">
        <f t="shared" si="113"/>
        <v>9.2999999999999992E-3</v>
      </c>
      <c r="AC21" s="2022">
        <f t="shared" si="113"/>
        <v>6.0000000000000001E-3</v>
      </c>
      <c r="AD21" s="2022">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96.847411421198089</v>
      </c>
      <c r="AN21" s="3147">
        <f t="shared" si="49"/>
        <v>98.664315057872386</v>
      </c>
      <c r="AO21" s="3147">
        <f t="shared" si="50"/>
        <v>102.68229018787579</v>
      </c>
      <c r="AP21" s="3147">
        <f t="shared" si="51"/>
        <v>96.008649666898478</v>
      </c>
      <c r="AQ21" s="3147">
        <f t="shared" si="52"/>
        <v>93.70798492822054</v>
      </c>
      <c r="AR21" s="3147">
        <f t="shared" si="53"/>
        <v>102.68229018787579</v>
      </c>
    </row>
    <row r="22" spans="1:44" s="2039" customFormat="1" ht="12.75">
      <c r="A22" s="2900" t="s">
        <v>2806</v>
      </c>
      <c r="B22" s="2025">
        <v>2021</v>
      </c>
      <c r="C22" s="2036">
        <v>3</v>
      </c>
      <c r="D22" s="2001">
        <v>0.47</v>
      </c>
      <c r="E22" s="2001">
        <v>0.41</v>
      </c>
      <c r="F22" s="2001">
        <v>0.24</v>
      </c>
      <c r="G22" s="2001">
        <v>0.48</v>
      </c>
      <c r="H22" s="2912">
        <v>0.48</v>
      </c>
      <c r="I22" s="2002">
        <f t="shared" si="87"/>
        <v>0.24</v>
      </c>
      <c r="J22" s="2901"/>
      <c r="K22" s="2037">
        <f t="shared" si="88"/>
        <v>4.6999999999999993E-3</v>
      </c>
      <c r="L22" s="2022">
        <f t="shared" si="88"/>
        <v>4.0999999999999995E-3</v>
      </c>
      <c r="M22" s="2022">
        <f t="shared" si="88"/>
        <v>2.3999999999999998E-3</v>
      </c>
      <c r="N22" s="2022">
        <f t="shared" si="88"/>
        <v>4.7999999999999996E-3</v>
      </c>
      <c r="O22" s="2022">
        <f t="shared" si="88"/>
        <v>4.7999999999999996E-3</v>
      </c>
      <c r="P22" s="2022">
        <f t="shared" si="108"/>
        <v>2.3999999999999998E-3</v>
      </c>
      <c r="Q22" s="2901"/>
      <c r="R22" s="2021">
        <f>ROUND(IF(项目基本情况!$B$8="出让",SUMPRODUCT(PRODUCT(1+K22:$K$24)),SUMPRODUCT(PRODUCT(1+K22:$K$23))),4)</f>
        <v>1.0139</v>
      </c>
      <c r="S22" s="2021">
        <f>ROUND(IF(项目基本情况!$B$8="出让",SUMPRODUCT(PRODUCT(1+L22:$L$24)),SUMPRODUCT(PRODUCT(1+L22:$L$23))),4)</f>
        <v>1.0113000000000001</v>
      </c>
      <c r="T22" s="2021">
        <f>ROUND(IF(项目基本情况!$B$8="出让",SUMPRODUCT(PRODUCT(1+M22:$M$24)),SUMPRODUCT(PRODUCT(1+M22:$M$23))),4)</f>
        <v>1.0065</v>
      </c>
      <c r="U22" s="2021">
        <f>ROUND(IF(项目基本情况!$B$8="出让",SUMPRODUCT(PRODUCT(1+N22:$N$24)),SUMPRODUCT(PRODUCT(1+N22:$N$23))),4)</f>
        <v>1.0143</v>
      </c>
      <c r="V22" s="2021">
        <f>ROUND(IF(项目基本情况!$B$8="出让",SUMPRODUCT(PRODUCT(1+O22:$O$24)),SUMPRODUCT(PRODUCT(1+O22:$O$23))),4)</f>
        <v>1.0148999999999999</v>
      </c>
      <c r="W22" s="2021">
        <f t="shared" si="107"/>
        <v>1.0065</v>
      </c>
      <c r="X22" s="2901"/>
      <c r="Y22" s="2022">
        <f>IF(D22=0,0,ROUND(AVERAGE(D22:D24)/100,4))</f>
        <v>7.9000000000000008E-3</v>
      </c>
      <c r="Z22" s="2022">
        <f>IF(E22=0,0,ROUND(AVERAGE(E22:E24)/100,4))</f>
        <v>4.3E-3</v>
      </c>
      <c r="AA22" s="2022">
        <f>IF(F22=0,0,ROUND(AVERAGE(F22:F24)/100,4))</f>
        <v>1.2999999999999999E-3</v>
      </c>
      <c r="AB22" s="2022">
        <f>IF(G22=0,0,ROUND(AVERAGE(G22:G24)/100,4))</f>
        <v>8.5000000000000006E-3</v>
      </c>
      <c r="AC22" s="2022">
        <f>IF(H22=0,0,ROUND(AVERAGE(H22:H24)/100,4))</f>
        <v>6.1999999999999998E-3</v>
      </c>
      <c r="AD22" s="2022">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95.860052876569426</v>
      </c>
      <c r="AN22" s="3147">
        <f t="shared" si="49"/>
        <v>98.428087647518353</v>
      </c>
      <c r="AO22" s="3147">
        <f t="shared" si="50"/>
        <v>102.61046286387109</v>
      </c>
      <c r="AP22" s="3147">
        <f t="shared" si="51"/>
        <v>94.898339099435077</v>
      </c>
      <c r="AQ22" s="3147">
        <f t="shared" si="52"/>
        <v>93.195410172273029</v>
      </c>
      <c r="AR22" s="3147">
        <f t="shared" si="53"/>
        <v>102.61046286387109</v>
      </c>
    </row>
    <row r="23" spans="1:44" s="2039" customFormat="1" ht="12.75">
      <c r="A23" s="2900" t="s">
        <v>2807</v>
      </c>
      <c r="B23" s="2025">
        <v>2021</v>
      </c>
      <c r="C23" s="2036">
        <v>2</v>
      </c>
      <c r="D23" s="2001">
        <v>0.92</v>
      </c>
      <c r="E23" s="2001">
        <v>0.72</v>
      </c>
      <c r="F23" s="2001">
        <v>0.41</v>
      </c>
      <c r="G23" s="2001">
        <v>0.95</v>
      </c>
      <c r="H23" s="2912">
        <v>1.01</v>
      </c>
      <c r="I23" s="2002">
        <f t="shared" si="87"/>
        <v>0.41</v>
      </c>
      <c r="J23" s="2901"/>
      <c r="K23" s="2037">
        <f t="shared" si="88"/>
        <v>9.1999999999999998E-3</v>
      </c>
      <c r="L23" s="2022">
        <f t="shared" si="88"/>
        <v>7.1999999999999998E-3</v>
      </c>
      <c r="M23" s="2022">
        <f t="shared" si="88"/>
        <v>4.0999999999999995E-3</v>
      </c>
      <c r="N23" s="2022">
        <f t="shared" si="88"/>
        <v>9.4999999999999998E-3</v>
      </c>
      <c r="O23" s="2022">
        <f t="shared" si="88"/>
        <v>1.01E-2</v>
      </c>
      <c r="P23" s="2022">
        <f t="shared" si="108"/>
        <v>4.0999999999999995E-3</v>
      </c>
      <c r="Q23" s="2901"/>
      <c r="R23" s="2021">
        <f>ROUND(IF(项目基本情况!$B$8="出让",SUMPRODUCT(PRODUCT(1+K23:$K$24)),SUMPRODUCT(PRODUCT(1+K23:$K$23))),4)</f>
        <v>1.0092000000000001</v>
      </c>
      <c r="S23" s="2021">
        <f>ROUND(IF(项目基本情况!$B$8="出让",SUMPRODUCT(PRODUCT(1+L23:$L$24)),SUMPRODUCT(PRODUCT(1+L23:$L$23))),4)</f>
        <v>1.0072000000000001</v>
      </c>
      <c r="T23" s="2021">
        <f>ROUND(IF(项目基本情况!$B$8="出让",SUMPRODUCT(PRODUCT(1+M23:$M$24)),SUMPRODUCT(PRODUCT(1+M23:$M$23))),4)</f>
        <v>1.0041</v>
      </c>
      <c r="U23" s="2021">
        <f>ROUND(IF(项目基本情况!$B$8="出让",SUMPRODUCT(PRODUCT(1+N23:$N$24)),SUMPRODUCT(PRODUCT(1+N23:$N$23))),4)</f>
        <v>1.0095000000000001</v>
      </c>
      <c r="V23" s="2021">
        <f>ROUND(IF(项目基本情况!$B$8="出让",SUMPRODUCT(PRODUCT(1+O23:$O$24)),SUMPRODUCT(PRODUCT(1+O23:$O$23))),4)</f>
        <v>1.0101</v>
      </c>
      <c r="W23" s="2021">
        <f t="shared" si="107"/>
        <v>1.0041</v>
      </c>
      <c r="X23" s="2901"/>
      <c r="Y23" s="2022">
        <f>IF(D23=0,0,ROUND(AVERAGE(D23:D24)/100,4))</f>
        <v>9.4999999999999998E-3</v>
      </c>
      <c r="Z23" s="2022">
        <f>IF(E23=0,0,ROUND(AVERAGE(E23:E24)/100,4))</f>
        <v>4.4000000000000003E-3</v>
      </c>
      <c r="AA23" s="2022">
        <f>IF(F23=0,0,ROUND(AVERAGE(F23:F24)/100,4))</f>
        <v>8.0000000000000004E-4</v>
      </c>
      <c r="AB23" s="2022">
        <f>IF(G23=0,0,ROUND(AVERAGE(G23:G24)/100,4))</f>
        <v>1.03E-2</v>
      </c>
      <c r="AC23" s="2022">
        <f>IF(H23=0,0,ROUND(AVERAGE(H23:H24)/100,4))</f>
        <v>6.8999999999999999E-3</v>
      </c>
      <c r="AD23" s="2022">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95.411618270697161</v>
      </c>
      <c r="AN23" s="3147">
        <f t="shared" si="49"/>
        <v>98.02618030825451</v>
      </c>
      <c r="AO23" s="3147">
        <f t="shared" si="50"/>
        <v>102.36478737417308</v>
      </c>
      <c r="AP23" s="3147">
        <f t="shared" si="51"/>
        <v>94.445003084628866</v>
      </c>
      <c r="AQ23" s="3147">
        <f t="shared" si="52"/>
        <v>92.750209168265357</v>
      </c>
      <c r="AR23" s="3147">
        <f t="shared" si="53"/>
        <v>102.36478737417308</v>
      </c>
    </row>
    <row r="24" spans="1:44" s="2923" customFormat="1" ht="14.25" thickBot="1">
      <c r="A24" s="2913" t="s">
        <v>2808</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94.541833403386008</v>
      </c>
      <c r="AN24" s="3154">
        <f t="shared" si="49"/>
        <v>97.325437160697476</v>
      </c>
      <c r="AO24" s="3154">
        <f t="shared" si="50"/>
        <v>101.94680547173894</v>
      </c>
      <c r="AP24" s="3154">
        <f t="shared" si="51"/>
        <v>93.556219004090011</v>
      </c>
      <c r="AQ24" s="3154">
        <f t="shared" si="52"/>
        <v>91.82279889938161</v>
      </c>
      <c r="AR24" s="3154">
        <f t="shared" si="53"/>
        <v>101.94680547173894</v>
      </c>
    </row>
    <row r="25" spans="1:44" ht="14.25" thickTop="1"/>
    <row r="26" spans="1:44">
      <c r="A26" s="3137" t="s">
        <v>3364</v>
      </c>
    </row>
    <row r="27" spans="1:44">
      <c r="I27" s="1399" t="s">
        <v>2809</v>
      </c>
    </row>
    <row r="29" spans="1:44" s="2003" customFormat="1" ht="12.75">
      <c r="B29" s="2924" t="s">
        <v>3362</v>
      </c>
      <c r="C29" s="2925"/>
      <c r="D29" s="2925"/>
      <c r="E29" s="2925"/>
      <c r="F29" s="2925"/>
      <c r="G29" s="2925"/>
      <c r="H29" s="2925"/>
      <c r="I29" s="2925"/>
      <c r="J29" s="2891"/>
      <c r="K29" s="2925" t="s">
        <v>2810</v>
      </c>
      <c r="L29" s="2925"/>
      <c r="M29" s="2925"/>
      <c r="N29" s="2925"/>
      <c r="O29" s="2925"/>
      <c r="P29" s="2925"/>
      <c r="Q29" s="2891"/>
      <c r="R29" s="3584" t="s">
        <v>2811</v>
      </c>
      <c r="S29" s="3585"/>
      <c r="T29" s="3585"/>
      <c r="U29" s="3585"/>
      <c r="V29" s="3585"/>
      <c r="W29" s="3585"/>
      <c r="X29" s="2891"/>
      <c r="Y29" s="3584" t="s">
        <v>2812</v>
      </c>
      <c r="Z29" s="3585"/>
      <c r="AA29" s="3585"/>
      <c r="AB29" s="3585"/>
      <c r="AC29" s="3585"/>
      <c r="AD29" s="3585"/>
    </row>
    <row r="30" spans="1:44" s="2004" customFormat="1" ht="14.25" thickBot="1">
      <c r="B30" s="2876"/>
      <c r="C30" s="2877"/>
      <c r="D30" s="2005" t="s">
        <v>2813</v>
      </c>
      <c r="E30" s="2006" t="s">
        <v>2814</v>
      </c>
      <c r="F30" s="2006" t="s">
        <v>2815</v>
      </c>
      <c r="G30" s="2006" t="s">
        <v>2816</v>
      </c>
      <c r="H30" s="2006"/>
      <c r="I30" s="2006" t="s">
        <v>2817</v>
      </c>
      <c r="J30" s="2878"/>
      <c r="K30" s="2005" t="s">
        <v>2813</v>
      </c>
      <c r="L30" s="2006" t="s">
        <v>2814</v>
      </c>
      <c r="M30" s="2006" t="s">
        <v>2815</v>
      </c>
      <c r="N30" s="2006" t="s">
        <v>2816</v>
      </c>
      <c r="O30" s="2006"/>
      <c r="P30" s="2006" t="s">
        <v>2817</v>
      </c>
      <c r="Q30" s="2878"/>
      <c r="R30" s="2005" t="s">
        <v>2813</v>
      </c>
      <c r="S30" s="2006" t="s">
        <v>2814</v>
      </c>
      <c r="T30" s="2006" t="s">
        <v>2815</v>
      </c>
      <c r="U30" s="2006" t="s">
        <v>2816</v>
      </c>
      <c r="V30" s="2006"/>
      <c r="W30" s="2006" t="s">
        <v>2817</v>
      </c>
      <c r="X30" s="2878"/>
      <c r="Y30" s="2005" t="s">
        <v>2813</v>
      </c>
      <c r="Z30" s="2006" t="s">
        <v>2814</v>
      </c>
      <c r="AA30" s="2006" t="s">
        <v>2815</v>
      </c>
      <c r="AB30" s="2006" t="s">
        <v>2816</v>
      </c>
      <c r="AC30" s="2006"/>
      <c r="AD30" s="2006" t="s">
        <v>2817</v>
      </c>
      <c r="AG30" t="s">
        <v>669</v>
      </c>
      <c r="AH30" t="s">
        <v>21</v>
      </c>
      <c r="AI30" t="s">
        <v>3389</v>
      </c>
      <c r="AJ30"/>
      <c r="AK30" t="s">
        <v>3390</v>
      </c>
      <c r="AN30" t="s">
        <v>669</v>
      </c>
      <c r="AO30" t="s">
        <v>21</v>
      </c>
      <c r="AP30" t="s">
        <v>3389</v>
      </c>
      <c r="AQ30"/>
      <c r="AR30" t="s">
        <v>3390</v>
      </c>
    </row>
    <row r="31" spans="1:44" s="2881" customFormat="1" ht="12.75">
      <c r="A31" s="2879" t="s">
        <v>2818</v>
      </c>
      <c r="B31" s="2880"/>
      <c r="E31" s="2881">
        <f t="shared" ref="E31:G31" si="115">ROUND(AVERAGEIF(E32:E52,"&lt;&gt;0"),2)</f>
        <v>0.09</v>
      </c>
      <c r="F31" s="2881">
        <f t="shared" si="115"/>
        <v>0.01</v>
      </c>
      <c r="G31" s="2881">
        <f t="shared" si="115"/>
        <v>0.24</v>
      </c>
      <c r="I31" s="2881">
        <f>F31</f>
        <v>0.01</v>
      </c>
      <c r="J31" s="2882"/>
      <c r="K31" s="2883"/>
      <c r="L31" s="2884">
        <f t="shared" ref="L31:N31" si="116">ROUND(AVERAGEIF(L32:L52,"&lt;&gt;0"),4)</f>
        <v>8.9999999999999998E-4</v>
      </c>
      <c r="M31" s="2884">
        <f t="shared" si="116"/>
        <v>1E-4</v>
      </c>
      <c r="N31" s="2884">
        <f t="shared" si="116"/>
        <v>2.3999999999999998E-3</v>
      </c>
      <c r="O31" s="2884"/>
      <c r="P31" s="2884">
        <f>M31</f>
        <v>1E-4</v>
      </c>
      <c r="Q31" s="2882"/>
      <c r="R31" s="2885"/>
      <c r="S31" s="2886">
        <f>ROUND(SUMPRODUCT(PRODUCT(1+L32:L52)),4)</f>
        <v>1.0153000000000001</v>
      </c>
      <c r="T31" s="2886">
        <f t="shared" ref="T31:U31" si="117">ROUND(SUMPRODUCT(PRODUCT(1+M32:M52)),4)</f>
        <v>1.0016</v>
      </c>
      <c r="U31" s="2886">
        <f t="shared" si="117"/>
        <v>1.044</v>
      </c>
      <c r="V31" s="2886"/>
      <c r="W31" s="2885">
        <f>T31</f>
        <v>1.0016</v>
      </c>
      <c r="X31" s="2882"/>
      <c r="Y31" s="2887"/>
      <c r="Z31" s="2888">
        <f t="shared" ref="Z31:AB31" si="118">ROUND(AVERAGEIF(Z32:Z52,"&lt;&gt;0"),4)</f>
        <v>3.3E-3</v>
      </c>
      <c r="AA31" s="2889">
        <f t="shared" si="118"/>
        <v>2.7000000000000001E-3</v>
      </c>
      <c r="AB31" s="2887">
        <f t="shared" si="118"/>
        <v>6.4999999999999997E-3</v>
      </c>
      <c r="AC31" s="2890"/>
      <c r="AD31" s="2887">
        <f>AA31</f>
        <v>2.7000000000000001E-3</v>
      </c>
    </row>
    <row r="32" spans="1:44" s="2003" customFormat="1" ht="12.75">
      <c r="B32" s="2019"/>
      <c r="J32" s="2891"/>
      <c r="K32" s="2892"/>
      <c r="L32" s="2893"/>
      <c r="M32" s="2893"/>
      <c r="N32" s="2893"/>
      <c r="O32" s="2893"/>
      <c r="P32" s="2893"/>
      <c r="Q32" s="2891"/>
      <c r="R32" s="2021"/>
      <c r="S32" s="2894"/>
      <c r="T32" s="2895"/>
      <c r="U32" s="2021"/>
      <c r="V32" s="2896"/>
      <c r="W32" s="2021"/>
      <c r="X32" s="2891"/>
      <c r="Y32" s="2022"/>
      <c r="Z32" s="2897"/>
      <c r="AA32" s="2898"/>
      <c r="AB32" s="2022"/>
      <c r="AC32" s="2899"/>
      <c r="AD32" s="2022"/>
    </row>
    <row r="33" spans="1:44" s="2039" customFormat="1">
      <c r="A33" s="2034" t="s">
        <v>3387</v>
      </c>
      <c r="B33" s="2025">
        <v>2025</v>
      </c>
      <c r="C33" s="2036">
        <v>4</v>
      </c>
      <c r="D33" s="2001"/>
      <c r="E33" s="2001">
        <v>0</v>
      </c>
      <c r="F33" s="2001">
        <v>0</v>
      </c>
      <c r="G33" s="2001">
        <v>0</v>
      </c>
      <c r="H33" s="2001"/>
      <c r="I33" s="2002">
        <f t="shared" ref="I33" si="119">F33</f>
        <v>0</v>
      </c>
      <c r="J33" s="2901"/>
      <c r="K33" s="2037"/>
      <c r="L33" s="2022">
        <f t="shared" ref="L33" si="120">E33/100</f>
        <v>0</v>
      </c>
      <c r="M33" s="2022">
        <f t="shared" ref="M33" si="121">F33/100</f>
        <v>0</v>
      </c>
      <c r="N33" s="2022">
        <f t="shared" ref="N33" si="122">G33/100</f>
        <v>0</v>
      </c>
      <c r="O33" s="2022"/>
      <c r="P33" s="2022">
        <f t="shared" ref="P33:P39" si="123">M33</f>
        <v>0</v>
      </c>
      <c r="Q33" s="2901"/>
      <c r="R33" s="2021"/>
      <c r="S33" s="2021">
        <f>ROUND(IF(项目基本情况!$B$8="出让",SUMPRODUCT(PRODUCT(1+L33:L$52)),SUMPRODUCT(PRODUCT(1+L33:L$51))),4)</f>
        <v>1.0118</v>
      </c>
      <c r="T33" s="2021">
        <f>ROUND(IF(项目基本情况!$B$8="出让",SUMPRODUCT(PRODUCT(1+M33:M$52)),SUMPRODUCT(PRODUCT(1+M33:M$51))),4)</f>
        <v>0.99680000000000002</v>
      </c>
      <c r="U33" s="2021">
        <f>ROUND(IF(项目基本情况!$B$8="出让",SUMPRODUCT(PRODUCT(1+N33:N$52)),SUMPRODUCT(PRODUCT(1+N33:N$51))),4)</f>
        <v>1.0338000000000001</v>
      </c>
      <c r="V33" s="2021"/>
      <c r="W33" s="2021">
        <f t="shared" ref="W33:W39" si="124">T33</f>
        <v>0.99680000000000002</v>
      </c>
      <c r="X33" s="2901"/>
      <c r="Y33" s="2022"/>
      <c r="Z33" s="2897">
        <f t="shared" ref="Z33" si="125">IF(E33=0,0,ROUND(AVERAGE(E33:E46)/100,4))</f>
        <v>0</v>
      </c>
      <c r="AA33" s="2897">
        <f t="shared" ref="AA33" si="126">IF(F33=0,0,ROUND(AVERAGE(F33:F46)/100,4))</f>
        <v>0</v>
      </c>
      <c r="AB33" s="2897">
        <f t="shared" ref="AB33" si="127">IF(G33=0,0,ROUND(AVERAGE(G33:G46)/100,4))</f>
        <v>0</v>
      </c>
      <c r="AC33" s="2899"/>
      <c r="AD33" s="2022">
        <f t="shared" ref="AD33:AD39" si="128">IF(I33=0,0,ROUND(AVERAGE(I33:I46)/100,4))</f>
        <v>0</v>
      </c>
      <c r="AG33" s="3147">
        <f t="shared" ref="AG33:AG50" si="129">$AG$52*S33</f>
        <v>101.18</v>
      </c>
      <c r="AH33" s="3147">
        <f t="shared" ref="AH33:AH50" si="130">$AG$52*T33</f>
        <v>99.68</v>
      </c>
      <c r="AI33" s="3147">
        <f t="shared" ref="AI33:AI50" si="131">$AG$52*U33</f>
        <v>103.38000000000001</v>
      </c>
      <c r="AJ33" s="3149"/>
      <c r="AK33" s="3147">
        <f t="shared" ref="AK33:AK50" si="132">$AG$52*W33</f>
        <v>99.68</v>
      </c>
      <c r="AN33" s="3152">
        <v>100</v>
      </c>
      <c r="AO33" s="3152">
        <v>100</v>
      </c>
      <c r="AP33" s="3152">
        <v>100</v>
      </c>
      <c r="AQ33" s="3152"/>
      <c r="AR33" s="3152">
        <v>100</v>
      </c>
    </row>
    <row r="34" spans="1:44" s="2039" customFormat="1" ht="12.75">
      <c r="A34" s="2034" t="s">
        <v>3386</v>
      </c>
      <c r="B34" s="2025">
        <v>2025</v>
      </c>
      <c r="C34" s="2036">
        <v>3</v>
      </c>
      <c r="D34" s="2001"/>
      <c r="E34" s="2001">
        <v>0</v>
      </c>
      <c r="F34" s="2001">
        <v>0</v>
      </c>
      <c r="G34" s="2001">
        <v>0</v>
      </c>
      <c r="H34" s="2001"/>
      <c r="I34" s="2002">
        <f t="shared" ref="I34" si="133">F34</f>
        <v>0</v>
      </c>
      <c r="J34" s="2901"/>
      <c r="K34" s="2037"/>
      <c r="L34" s="2022">
        <f t="shared" ref="L34" si="134">E34/100</f>
        <v>0</v>
      </c>
      <c r="M34" s="2022">
        <f t="shared" ref="M34" si="135">F34/100</f>
        <v>0</v>
      </c>
      <c r="N34" s="2022">
        <f t="shared" ref="N34" si="136">G34/100</f>
        <v>0</v>
      </c>
      <c r="O34" s="2022"/>
      <c r="P34" s="2022">
        <f t="shared" si="123"/>
        <v>0</v>
      </c>
      <c r="Q34" s="2901"/>
      <c r="R34" s="2021"/>
      <c r="S34" s="2021">
        <f>ROUND(IF(项目基本情况!$B$8="出让",SUMPRODUCT(PRODUCT(1+L34:L$52)),SUMPRODUCT(PRODUCT(1+L34:L$51))),4)</f>
        <v>1.0118</v>
      </c>
      <c r="T34" s="2021">
        <f>ROUND(IF(项目基本情况!$B$8="出让",SUMPRODUCT(PRODUCT(1+M34:M$52)),SUMPRODUCT(PRODUCT(1+M34:M$51))),4)</f>
        <v>0.99680000000000002</v>
      </c>
      <c r="U34" s="2021">
        <f>ROUND(IF(项目基本情况!$B$8="出让",SUMPRODUCT(PRODUCT(1+N34:N$52)),SUMPRODUCT(PRODUCT(1+N34:N$51))),4)</f>
        <v>1.0338000000000001</v>
      </c>
      <c r="V34" s="2021"/>
      <c r="W34" s="2021">
        <f t="shared" si="124"/>
        <v>0.99680000000000002</v>
      </c>
      <c r="X34" s="2901"/>
      <c r="Y34" s="2022"/>
      <c r="Z34" s="2897">
        <f t="shared" ref="Z34" si="137">IF(E34=0,0,ROUND(AVERAGE(E34:E47)/100,4))</f>
        <v>0</v>
      </c>
      <c r="AA34" s="2897">
        <f t="shared" ref="AA34" si="138">IF(F34=0,0,ROUND(AVERAGE(F34:F47)/100,4))</f>
        <v>0</v>
      </c>
      <c r="AB34" s="2897">
        <f t="shared" ref="AB34" si="139">IF(G34=0,0,ROUND(AVERAGE(G34:G47)/100,4))</f>
        <v>0</v>
      </c>
      <c r="AC34" s="2899"/>
      <c r="AD34" s="2022">
        <f t="shared" si="128"/>
        <v>0</v>
      </c>
      <c r="AG34" s="3147">
        <f t="shared" si="129"/>
        <v>101.18</v>
      </c>
      <c r="AH34" s="3147">
        <f t="shared" si="130"/>
        <v>99.68</v>
      </c>
      <c r="AI34" s="3147">
        <f t="shared" si="131"/>
        <v>103.38000000000001</v>
      </c>
      <c r="AJ34" s="3149"/>
      <c r="AK34" s="3147">
        <f t="shared" si="132"/>
        <v>99.68</v>
      </c>
      <c r="AN34" s="3147">
        <f>AN33/(1+E33/100)</f>
        <v>100</v>
      </c>
      <c r="AO34" s="3147">
        <f t="shared" ref="AO34:AR34" si="140">AO33/(1+F33/100)</f>
        <v>100</v>
      </c>
      <c r="AP34" s="3147">
        <f t="shared" si="140"/>
        <v>100</v>
      </c>
      <c r="AQ34" s="3147"/>
      <c r="AR34" s="3147">
        <f t="shared" si="140"/>
        <v>100</v>
      </c>
    </row>
    <row r="35" spans="1:44" s="2911" customFormat="1" ht="12.75">
      <c r="A35" s="2902" t="s">
        <v>3394</v>
      </c>
      <c r="B35" s="2903">
        <v>2025</v>
      </c>
      <c r="C35" s="2904">
        <v>2</v>
      </c>
      <c r="D35" s="2905"/>
      <c r="E35" s="2905">
        <v>-0.31</v>
      </c>
      <c r="F35" s="2905">
        <v>-1.03</v>
      </c>
      <c r="G35" s="2905">
        <v>0.03</v>
      </c>
      <c r="H35" s="2906"/>
      <c r="I35" s="2907">
        <f t="shared" ref="I35" si="141">F35</f>
        <v>-1.03</v>
      </c>
      <c r="J35" s="2908"/>
      <c r="K35" s="2909"/>
      <c r="L35" s="2910">
        <f t="shared" ref="L35" si="142">E35/100</f>
        <v>-3.0999999999999999E-3</v>
      </c>
      <c r="M35" s="2910">
        <f t="shared" ref="M35" si="143">F35/100</f>
        <v>-1.03E-2</v>
      </c>
      <c r="N35" s="2910">
        <f t="shared" ref="N35" si="144">G35/100</f>
        <v>2.9999999999999997E-4</v>
      </c>
      <c r="O35" s="2910"/>
      <c r="P35" s="2910">
        <f t="shared" si="123"/>
        <v>-1.03E-2</v>
      </c>
      <c r="Q35" s="2908"/>
      <c r="R35" s="2908"/>
      <c r="S35" s="2908">
        <f>ROUND(IF(项目基本情况!$B$8="出让",SUMPRODUCT(PRODUCT(1+L35:L$52)),SUMPRODUCT(PRODUCT(1+L35:L$51))),4)</f>
        <v>1.0118</v>
      </c>
      <c r="T35" s="2908">
        <f>ROUND(IF(项目基本情况!$B$8="出让",SUMPRODUCT(PRODUCT(1+M35:M$52)),SUMPRODUCT(PRODUCT(1+M35:M$51))),4)</f>
        <v>0.99680000000000002</v>
      </c>
      <c r="U35" s="2908">
        <f>ROUND(IF(项目基本情况!$B$8="出让",SUMPRODUCT(PRODUCT(1+N35:N$52)),SUMPRODUCT(PRODUCT(1+N35:N$51))),4)</f>
        <v>1.0338000000000001</v>
      </c>
      <c r="V35" s="2908"/>
      <c r="W35" s="2908">
        <f t="shared" si="124"/>
        <v>0.99680000000000002</v>
      </c>
      <c r="X35" s="2908"/>
      <c r="Y35" s="2910"/>
      <c r="Z35" s="2926">
        <f t="shared" ref="Z35" si="145">IF(E35=0,0,ROUND(AVERAGE(E35:E48)/100,4))</f>
        <v>-2.9999999999999997E-4</v>
      </c>
      <c r="AA35" s="2927">
        <f t="shared" ref="AA35" si="146">IF(F35=0,0,ROUND(AVERAGE(F35:F48)/100,4))</f>
        <v>-8.0000000000000004E-4</v>
      </c>
      <c r="AB35" s="2910">
        <f t="shared" ref="AB35" si="147">IF(G35=0,0,ROUND(AVERAGE(G35:G48)/100,4))</f>
        <v>5.0000000000000001E-4</v>
      </c>
      <c r="AC35" s="2928"/>
      <c r="AD35" s="2910">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v>
      </c>
      <c r="AO35" s="3148">
        <f t="shared" ref="AO35" si="149">AO34/(1+F34/100)</f>
        <v>100</v>
      </c>
      <c r="AP35" s="3148">
        <f t="shared" ref="AP35" si="150">AP34/(1+G34/100)</f>
        <v>100</v>
      </c>
      <c r="AQ35" s="3148"/>
      <c r="AR35" s="3148">
        <f t="shared" ref="AR35" si="151">AR34/(1+I34/100)</f>
        <v>100</v>
      </c>
    </row>
    <row r="36" spans="1:44" s="2039" customFormat="1" ht="12.75">
      <c r="A36" s="2034" t="s">
        <v>3391</v>
      </c>
      <c r="B36" s="2025">
        <v>2025</v>
      </c>
      <c r="C36" s="2036">
        <v>1</v>
      </c>
      <c r="D36" s="2001"/>
      <c r="E36" s="2001">
        <v>-1.47</v>
      </c>
      <c r="F36" s="2001">
        <v>-0.98</v>
      </c>
      <c r="G36" s="2001">
        <v>-0.51</v>
      </c>
      <c r="H36" s="2001"/>
      <c r="I36" s="2002">
        <f t="shared" ref="I36" si="152">F36</f>
        <v>-0.98</v>
      </c>
      <c r="J36" s="2901"/>
      <c r="K36" s="2037"/>
      <c r="L36" s="2022">
        <f t="shared" ref="L36" si="153">E36/100</f>
        <v>-1.47E-2</v>
      </c>
      <c r="M36" s="2022">
        <f t="shared" ref="M36" si="154">F36/100</f>
        <v>-9.7999999999999997E-3</v>
      </c>
      <c r="N36" s="2022">
        <f t="shared" ref="N36" si="155">G36/100</f>
        <v>-5.1000000000000004E-3</v>
      </c>
      <c r="O36" s="2022"/>
      <c r="P36" s="2022">
        <f t="shared" si="123"/>
        <v>-9.7999999999999997E-3</v>
      </c>
      <c r="Q36" s="2901"/>
      <c r="R36" s="2021"/>
      <c r="S36" s="2021">
        <f>ROUND(IF(项目基本情况!$B$8="出让",SUMPRODUCT(PRODUCT(1+L36:L$52)),SUMPRODUCT(PRODUCT(1+L36:L$51))),4)</f>
        <v>1.0148999999999999</v>
      </c>
      <c r="T36" s="2021">
        <f>ROUND(IF(项目基本情况!$B$8="出让",SUMPRODUCT(PRODUCT(1+M36:M$52)),SUMPRODUCT(PRODUCT(1+M36:M$51))),4)</f>
        <v>1.0072000000000001</v>
      </c>
      <c r="U36" s="2021">
        <f>ROUND(IF(项目基本情况!$B$8="出让",SUMPRODUCT(PRODUCT(1+N36:N$52)),SUMPRODUCT(PRODUCT(1+N36:N$51))),4)</f>
        <v>1.0335000000000001</v>
      </c>
      <c r="V36" s="2021"/>
      <c r="W36" s="2021">
        <f t="shared" si="124"/>
        <v>1.0072000000000001</v>
      </c>
      <c r="X36" s="2901"/>
      <c r="Y36" s="2022"/>
      <c r="Z36" s="2897">
        <f t="shared" ref="Z36" si="156">IF(E36=0,0,ROUND(AVERAGE(E36:E49)/100,4))</f>
        <v>4.0000000000000002E-4</v>
      </c>
      <c r="AA36" s="2897">
        <f t="shared" ref="AA36" si="157">IF(F36=0,0,ROUND(AVERAGE(F36:F49)/100,4))</f>
        <v>0</v>
      </c>
      <c r="AB36" s="2897">
        <f t="shared" ref="AB36" si="158">IF(G36=0,0,ROUND(AVERAGE(G36:G49)/100,4))</f>
        <v>1E-3</v>
      </c>
      <c r="AC36" s="2899"/>
      <c r="AD36" s="2022">
        <f t="shared" si="128"/>
        <v>0</v>
      </c>
      <c r="AG36" s="3147">
        <f t="shared" si="129"/>
        <v>101.49</v>
      </c>
      <c r="AH36" s="3147">
        <f t="shared" si="130"/>
        <v>100.72000000000001</v>
      </c>
      <c r="AI36" s="3147">
        <f t="shared" si="131"/>
        <v>103.35000000000001</v>
      </c>
      <c r="AJ36" s="3149"/>
      <c r="AK36" s="3147">
        <f t="shared" si="132"/>
        <v>100.72000000000001</v>
      </c>
      <c r="AN36" s="3147">
        <f t="shared" si="148"/>
        <v>100.31096398836392</v>
      </c>
      <c r="AO36" s="3147">
        <f t="shared" ref="AO36:AO52" si="159">AO35/(1+F35/100)</f>
        <v>101.04071940992219</v>
      </c>
      <c r="AP36" s="3147">
        <f t="shared" ref="AP36:AP52" si="160">AP35/(1+G35/100)</f>
        <v>99.970008997300809</v>
      </c>
      <c r="AQ36" s="3147"/>
      <c r="AR36" s="3147">
        <f t="shared" ref="AR36:AR52" si="161">AR35/(1+I35/100)</f>
        <v>101.04071940992219</v>
      </c>
    </row>
    <row r="37" spans="1:44" s="2039" customFormat="1" ht="12.75">
      <c r="A37" s="2034" t="s">
        <v>3392</v>
      </c>
      <c r="B37" s="2025">
        <v>2024</v>
      </c>
      <c r="C37" s="2036">
        <v>4</v>
      </c>
      <c r="D37" s="2001"/>
      <c r="E37" s="2001">
        <v>-0.61</v>
      </c>
      <c r="F37" s="2001">
        <v>-0.71</v>
      </c>
      <c r="G37" s="2001">
        <v>-0.88</v>
      </c>
      <c r="H37" s="2001"/>
      <c r="I37" s="2002">
        <f t="shared" ref="I37" si="162">F37</f>
        <v>-0.71</v>
      </c>
      <c r="J37" s="2901"/>
      <c r="K37" s="2037"/>
      <c r="L37" s="2022">
        <f t="shared" ref="L37" si="163">E37/100</f>
        <v>-6.0999999999999995E-3</v>
      </c>
      <c r="M37" s="2022">
        <f t="shared" ref="M37" si="164">F37/100</f>
        <v>-7.0999999999999995E-3</v>
      </c>
      <c r="N37" s="2022">
        <f t="shared" ref="N37" si="165">G37/100</f>
        <v>-8.8000000000000005E-3</v>
      </c>
      <c r="O37" s="2022"/>
      <c r="P37" s="2022">
        <f t="shared" si="123"/>
        <v>-7.0999999999999995E-3</v>
      </c>
      <c r="Q37" s="2901"/>
      <c r="R37" s="2021"/>
      <c r="S37" s="2021">
        <f>ROUND(IF(项目基本情况!$B$8="出让",SUMPRODUCT(PRODUCT(1+L37:L$52)),SUMPRODUCT(PRODUCT(1+L37:L$51))),4)</f>
        <v>1.0301</v>
      </c>
      <c r="T37" s="2021">
        <f>ROUND(IF(项目基本情况!$B$8="出让",SUMPRODUCT(PRODUCT(1+M37:M$52)),SUMPRODUCT(PRODUCT(1+M37:M$51))),4)</f>
        <v>1.0170999999999999</v>
      </c>
      <c r="U37" s="2021">
        <f>ROUND(IF(项目基本情况!$B$8="出让",SUMPRODUCT(PRODUCT(1+N37:N$52)),SUMPRODUCT(PRODUCT(1+N37:N$51))),4)</f>
        <v>1.0387999999999999</v>
      </c>
      <c r="V37" s="2021"/>
      <c r="W37" s="2021">
        <f t="shared" si="124"/>
        <v>1.0170999999999999</v>
      </c>
      <c r="X37" s="2901"/>
      <c r="Y37" s="2022"/>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2">
        <f t="shared" si="128"/>
        <v>8.9999999999999998E-4</v>
      </c>
      <c r="AG37" s="3147">
        <f t="shared" si="129"/>
        <v>103.01</v>
      </c>
      <c r="AH37" s="3147">
        <f t="shared" si="130"/>
        <v>101.71</v>
      </c>
      <c r="AI37" s="3147">
        <f t="shared" si="131"/>
        <v>103.88</v>
      </c>
      <c r="AJ37" s="3149"/>
      <c r="AK37" s="3147">
        <f t="shared" si="132"/>
        <v>101.71</v>
      </c>
      <c r="AN37" s="3147">
        <f t="shared" si="148"/>
        <v>101.80753474917682</v>
      </c>
      <c r="AO37" s="3147">
        <f t="shared" si="159"/>
        <v>102.04071845073943</v>
      </c>
      <c r="AP37" s="3147">
        <f t="shared" si="160"/>
        <v>100.48246959222114</v>
      </c>
      <c r="AQ37" s="3147"/>
      <c r="AR37" s="3147">
        <f t="shared" si="161"/>
        <v>102.04071845073943</v>
      </c>
    </row>
    <row r="38" spans="1:44" s="2039" customFormat="1" ht="12.75">
      <c r="A38" s="2034" t="s">
        <v>3356</v>
      </c>
      <c r="B38" s="2025">
        <v>2024</v>
      </c>
      <c r="C38" s="2036">
        <v>3</v>
      </c>
      <c r="D38" s="2001"/>
      <c r="E38" s="2001">
        <v>-0.66</v>
      </c>
      <c r="F38" s="2001">
        <v>-0.52</v>
      </c>
      <c r="G38" s="2001">
        <v>-2.87</v>
      </c>
      <c r="H38" s="2001"/>
      <c r="I38" s="2002">
        <f t="shared" ref="I38" si="169">F38</f>
        <v>-0.52</v>
      </c>
      <c r="J38" s="2901"/>
      <c r="K38" s="2037"/>
      <c r="L38" s="2022">
        <f t="shared" ref="L38" si="170">E38/100</f>
        <v>-6.6E-3</v>
      </c>
      <c r="M38" s="2022">
        <f t="shared" ref="M38" si="171">F38/100</f>
        <v>-5.1999999999999998E-3</v>
      </c>
      <c r="N38" s="2022">
        <f t="shared" ref="N38" si="172">G38/100</f>
        <v>-2.87E-2</v>
      </c>
      <c r="O38" s="2022"/>
      <c r="P38" s="2022">
        <f t="shared" si="123"/>
        <v>-5.1999999999999998E-3</v>
      </c>
      <c r="Q38" s="2901"/>
      <c r="R38" s="2021"/>
      <c r="S38" s="2021">
        <f>ROUND(IF(项目基本情况!$B$8="出让",SUMPRODUCT(PRODUCT(1+L38:L$52)),SUMPRODUCT(PRODUCT(1+L38:L$51))),4)</f>
        <v>1.0364</v>
      </c>
      <c r="T38" s="2021">
        <f>ROUND(IF(项目基本情况!$B$8="出让",SUMPRODUCT(PRODUCT(1+M38:M$52)),SUMPRODUCT(PRODUCT(1+M38:M$51))),4)</f>
        <v>1.0244</v>
      </c>
      <c r="U38" s="2021">
        <f>ROUND(IF(项目基本情况!$B$8="出让",SUMPRODUCT(PRODUCT(1+N38:N$52)),SUMPRODUCT(PRODUCT(1+N38:N$51))),4)</f>
        <v>1.048</v>
      </c>
      <c r="V38" s="2021"/>
      <c r="W38" s="2021">
        <f t="shared" si="124"/>
        <v>1.0244</v>
      </c>
      <c r="X38" s="2901"/>
      <c r="Y38" s="2022"/>
      <c r="Z38" s="2897">
        <f t="shared" ref="Z38:AB39" si="173">IF(E38=0,0,ROUND(AVERAGE(E38:E51)/100,4))</f>
        <v>2.5999999999999999E-3</v>
      </c>
      <c r="AA38" s="2897">
        <f t="shared" si="173"/>
        <v>1.6999999999999999E-3</v>
      </c>
      <c r="AB38" s="2897">
        <f t="shared" si="173"/>
        <v>3.3999999999999998E-3</v>
      </c>
      <c r="AC38" s="2899"/>
      <c r="AD38" s="2022">
        <f t="shared" si="128"/>
        <v>1.6999999999999999E-3</v>
      </c>
      <c r="AG38" s="3147">
        <f t="shared" si="129"/>
        <v>103.64</v>
      </c>
      <c r="AH38" s="3147">
        <f t="shared" si="130"/>
        <v>102.44</v>
      </c>
      <c r="AI38" s="3147">
        <f t="shared" si="131"/>
        <v>104.80000000000001</v>
      </c>
      <c r="AJ38" s="3149"/>
      <c r="AK38" s="3147">
        <f t="shared" si="132"/>
        <v>102.44</v>
      </c>
      <c r="AN38" s="3147">
        <f t="shared" si="148"/>
        <v>102.4323722197171</v>
      </c>
      <c r="AO38" s="3147">
        <f t="shared" si="159"/>
        <v>102.7703882070092</v>
      </c>
      <c r="AP38" s="3147">
        <f t="shared" si="160"/>
        <v>101.37456577100599</v>
      </c>
      <c r="AQ38" s="3147"/>
      <c r="AR38" s="3147">
        <f t="shared" si="161"/>
        <v>102.7703882070092</v>
      </c>
    </row>
    <row r="39" spans="1:44" s="2039" customFormat="1" ht="12.75">
      <c r="A39" s="2900" t="s">
        <v>3360</v>
      </c>
      <c r="B39" s="2025">
        <v>2024</v>
      </c>
      <c r="C39" s="2036">
        <v>2</v>
      </c>
      <c r="D39" s="2001"/>
      <c r="E39" s="2001">
        <v>-0.31</v>
      </c>
      <c r="F39" s="2001">
        <v>-0.39</v>
      </c>
      <c r="G39" s="2001">
        <v>1.23</v>
      </c>
      <c r="H39" s="2912"/>
      <c r="I39" s="2002">
        <f t="shared" ref="I39:I52" si="174">F39</f>
        <v>-0.39</v>
      </c>
      <c r="J39" s="2901"/>
      <c r="K39" s="2037"/>
      <c r="L39" s="2022">
        <f t="shared" ref="L39:N52" si="175">E39/100</f>
        <v>-3.0999999999999999E-3</v>
      </c>
      <c r="M39" s="2022">
        <f t="shared" si="175"/>
        <v>-3.9000000000000003E-3</v>
      </c>
      <c r="N39" s="2022">
        <f t="shared" si="175"/>
        <v>1.23E-2</v>
      </c>
      <c r="O39" s="2022"/>
      <c r="P39" s="2022">
        <f t="shared" si="123"/>
        <v>-3.9000000000000003E-3</v>
      </c>
      <c r="Q39" s="2901"/>
      <c r="R39" s="2021"/>
      <c r="S39" s="2021">
        <f>ROUND(IF(项目基本情况!$B$8="出让",SUMPRODUCT(PRODUCT(1+L39:L$52)),SUMPRODUCT(PRODUCT(1+L39:L$51))),4)</f>
        <v>1.0432999999999999</v>
      </c>
      <c r="T39" s="2021">
        <f>ROUND(IF(项目基本情况!$B$8="出让",SUMPRODUCT(PRODUCT(1+M39:M$52)),SUMPRODUCT(PRODUCT(1+M39:M$51))),4)</f>
        <v>1.0298</v>
      </c>
      <c r="U39" s="2021">
        <f>ROUND(IF(项目基本情况!$B$8="出让",SUMPRODUCT(PRODUCT(1+N39:N$52)),SUMPRODUCT(PRODUCT(1+N39:N$51))),4)</f>
        <v>1.079</v>
      </c>
      <c r="V39" s="2021"/>
      <c r="W39" s="2021">
        <f t="shared" si="124"/>
        <v>1.0298</v>
      </c>
      <c r="X39" s="2901"/>
      <c r="Y39" s="2022"/>
      <c r="Z39" s="2897">
        <f t="shared" si="173"/>
        <v>3.3E-3</v>
      </c>
      <c r="AA39" s="2898">
        <f t="shared" si="173"/>
        <v>2.3999999999999998E-3</v>
      </c>
      <c r="AB39" s="2022">
        <f t="shared" si="173"/>
        <v>6.1999999999999998E-3</v>
      </c>
      <c r="AC39" s="2899"/>
      <c r="AD39" s="2022">
        <f t="shared" si="128"/>
        <v>2.3999999999999998E-3</v>
      </c>
      <c r="AG39" s="3147">
        <f t="shared" si="129"/>
        <v>104.32999999999998</v>
      </c>
      <c r="AH39" s="3147">
        <f t="shared" si="130"/>
        <v>102.98</v>
      </c>
      <c r="AI39" s="3147">
        <f t="shared" si="131"/>
        <v>107.89999999999999</v>
      </c>
      <c r="AJ39" s="3149"/>
      <c r="AK39" s="3147">
        <f t="shared" si="132"/>
        <v>102.98</v>
      </c>
      <c r="AN39" s="3147">
        <f t="shared" si="148"/>
        <v>103.11291747505244</v>
      </c>
      <c r="AO39" s="3147">
        <f t="shared" si="159"/>
        <v>103.30758766285605</v>
      </c>
      <c r="AP39" s="3147">
        <f t="shared" si="160"/>
        <v>104.36998432101923</v>
      </c>
      <c r="AQ39" s="3147"/>
      <c r="AR39" s="3147">
        <f t="shared" si="161"/>
        <v>103.30758766285605</v>
      </c>
    </row>
    <row r="40" spans="1:44" s="2039" customFormat="1" ht="12.75">
      <c r="A40" s="2900" t="s">
        <v>3357</v>
      </c>
      <c r="B40" s="2025">
        <v>2024</v>
      </c>
      <c r="C40" s="2036">
        <v>1</v>
      </c>
      <c r="D40" s="2001"/>
      <c r="E40" s="2001">
        <v>0.25</v>
      </c>
      <c r="F40" s="2001">
        <v>0.4</v>
      </c>
      <c r="G40" s="2001">
        <v>-0.63</v>
      </c>
      <c r="H40" s="2912"/>
      <c r="I40" s="2002">
        <f t="shared" ref="I40:I41" si="176">F40</f>
        <v>0.4</v>
      </c>
      <c r="J40" s="2901"/>
      <c r="K40" s="2037"/>
      <c r="L40" s="2022">
        <f t="shared" ref="L40" si="177">E40/100</f>
        <v>2.5000000000000001E-3</v>
      </c>
      <c r="M40" s="2022">
        <f t="shared" ref="M40" si="178">F40/100</f>
        <v>4.0000000000000001E-3</v>
      </c>
      <c r="N40" s="2022">
        <f t="shared" ref="N40" si="179">G40/100</f>
        <v>-6.3E-3</v>
      </c>
      <c r="O40" s="2022"/>
      <c r="P40" s="2022">
        <f t="shared" ref="P40" si="180">M40</f>
        <v>4.0000000000000001E-3</v>
      </c>
      <c r="Q40" s="2901"/>
      <c r="R40" s="2021"/>
      <c r="S40" s="2021">
        <f>ROUND(IF(项目基本情况!$B$8="出让",SUMPRODUCT(PRODUCT(1+L40:L$52)),SUMPRODUCT(PRODUCT(1+L40:L$51))),4)</f>
        <v>1.0465</v>
      </c>
      <c r="T40" s="2021">
        <f>ROUND(IF(项目基本情况!$B$8="出让",SUMPRODUCT(PRODUCT(1+M40:M$52)),SUMPRODUCT(PRODUCT(1+M40:M$51))),4)</f>
        <v>1.0338000000000001</v>
      </c>
      <c r="U40" s="2021">
        <f>ROUND(IF(项目基本情况!$B$8="出让",SUMPRODUCT(PRODUCT(1+N40:N$52)),SUMPRODUCT(PRODUCT(1+N40:N$51))),4)</f>
        <v>1.0659000000000001</v>
      </c>
      <c r="V40" s="2021"/>
      <c r="W40" s="2021">
        <f t="shared" ref="W40" si="181">T40</f>
        <v>1.0338000000000001</v>
      </c>
      <c r="X40" s="2901"/>
      <c r="Y40" s="2022"/>
      <c r="Z40" s="2897"/>
      <c r="AA40" s="2898"/>
      <c r="AB40" s="2022"/>
      <c r="AC40" s="2899"/>
      <c r="AD40" s="2022"/>
      <c r="AG40" s="3147">
        <f t="shared" si="129"/>
        <v>104.65</v>
      </c>
      <c r="AH40" s="3147">
        <f t="shared" si="130"/>
        <v>103.38000000000001</v>
      </c>
      <c r="AI40" s="3147">
        <f t="shared" si="131"/>
        <v>106.59</v>
      </c>
      <c r="AJ40" s="3149"/>
      <c r="AK40" s="3147">
        <f t="shared" si="132"/>
        <v>103.38000000000001</v>
      </c>
      <c r="AN40" s="3147">
        <f t="shared" si="148"/>
        <v>103.43356151575126</v>
      </c>
      <c r="AO40" s="3147">
        <f t="shared" si="159"/>
        <v>103.7120647152455</v>
      </c>
      <c r="AP40" s="3147">
        <f t="shared" si="160"/>
        <v>103.10183179000221</v>
      </c>
      <c r="AQ40" s="3147"/>
      <c r="AR40" s="3147">
        <f t="shared" si="161"/>
        <v>103.7120647152455</v>
      </c>
    </row>
    <row r="41" spans="1:44" s="2039" customFormat="1" ht="12.75">
      <c r="A41" s="2900" t="s">
        <v>3355</v>
      </c>
      <c r="B41" s="2025">
        <v>2023</v>
      </c>
      <c r="C41" s="2036">
        <v>4</v>
      </c>
      <c r="D41" s="2001"/>
      <c r="E41" s="2001">
        <v>7.0000000000000007E-2</v>
      </c>
      <c r="F41" s="2001">
        <v>0.09</v>
      </c>
      <c r="G41" s="2001">
        <v>0.03</v>
      </c>
      <c r="H41" s="2912"/>
      <c r="I41" s="2002">
        <f t="shared" si="176"/>
        <v>0.09</v>
      </c>
      <c r="J41" s="2901"/>
      <c r="K41" s="2037"/>
      <c r="L41" s="2022">
        <f t="shared" si="175"/>
        <v>7.000000000000001E-4</v>
      </c>
      <c r="M41" s="2022">
        <f t="shared" si="175"/>
        <v>8.9999999999999998E-4</v>
      </c>
      <c r="N41" s="2022">
        <f t="shared" si="175"/>
        <v>2.9999999999999997E-4</v>
      </c>
      <c r="O41" s="2022"/>
      <c r="P41" s="2022">
        <f t="shared" ref="P41" si="182">M41</f>
        <v>8.9999999999999998E-4</v>
      </c>
      <c r="Q41" s="2901"/>
      <c r="R41" s="2021"/>
      <c r="S41" s="2021">
        <f>ROUND(IF(项目基本情况!$B$8="出让",SUMPRODUCT(PRODUCT(1+L41:L$52)),SUMPRODUCT(PRODUCT(1+L41:L$51))),4)</f>
        <v>1.0439000000000001</v>
      </c>
      <c r="T41" s="2021">
        <f>ROUND(IF(项目基本情况!$B$8="出让",SUMPRODUCT(PRODUCT(1+M41:M$52)),SUMPRODUCT(PRODUCT(1+M41:M$51))),4)</f>
        <v>1.0297000000000001</v>
      </c>
      <c r="U41" s="2021">
        <f>ROUND(IF(项目基本情况!$B$8="出让",SUMPRODUCT(PRODUCT(1+N41:N$52)),SUMPRODUCT(PRODUCT(1+N41:N$51))),4)</f>
        <v>1.0727</v>
      </c>
      <c r="V41" s="2021"/>
      <c r="W41" s="2021">
        <f t="shared" ref="W41" si="183">T41</f>
        <v>1.0297000000000001</v>
      </c>
      <c r="X41" s="2901"/>
      <c r="Y41" s="2022"/>
      <c r="Z41" s="2897"/>
      <c r="AA41" s="2898"/>
      <c r="AB41" s="2022"/>
      <c r="AC41" s="2899"/>
      <c r="AD41" s="2022"/>
      <c r="AG41" s="3147">
        <f t="shared" si="129"/>
        <v>104.39</v>
      </c>
      <c r="AH41" s="3147">
        <f t="shared" si="130"/>
        <v>102.97</v>
      </c>
      <c r="AI41" s="3147">
        <f t="shared" si="131"/>
        <v>107.27</v>
      </c>
      <c r="AJ41" s="3149"/>
      <c r="AK41" s="3147">
        <f t="shared" si="132"/>
        <v>102.97</v>
      </c>
      <c r="AN41" s="3147">
        <f t="shared" si="148"/>
        <v>103.17562245960227</v>
      </c>
      <c r="AO41" s="3147">
        <f t="shared" si="159"/>
        <v>103.29886923829234</v>
      </c>
      <c r="AP41" s="3147">
        <f t="shared" si="160"/>
        <v>103.75549138573231</v>
      </c>
      <c r="AQ41" s="3147"/>
      <c r="AR41" s="3147">
        <f t="shared" si="161"/>
        <v>103.29886923829234</v>
      </c>
    </row>
    <row r="42" spans="1:44" s="2039" customFormat="1" ht="12.75">
      <c r="A42" s="2900" t="s">
        <v>3353</v>
      </c>
      <c r="B42" s="2025">
        <v>2023</v>
      </c>
      <c r="C42" s="2036">
        <v>3</v>
      </c>
      <c r="D42" s="2001"/>
      <c r="E42" s="2001">
        <v>0.35</v>
      </c>
      <c r="F42" s="2001">
        <v>0.17</v>
      </c>
      <c r="G42" s="2001">
        <v>0.52</v>
      </c>
      <c r="H42" s="2912"/>
      <c r="I42" s="2002">
        <f t="shared" si="174"/>
        <v>0.17</v>
      </c>
      <c r="J42" s="2901"/>
      <c r="K42" s="2037"/>
      <c r="L42" s="2022">
        <f t="shared" ref="L42:L44" si="184">E42/100</f>
        <v>3.4999999999999996E-3</v>
      </c>
      <c r="M42" s="2022">
        <f t="shared" ref="M42:M44" si="185">F42/100</f>
        <v>1.7000000000000001E-3</v>
      </c>
      <c r="N42" s="2022">
        <f t="shared" ref="N42:N44" si="186">G42/100</f>
        <v>5.1999999999999998E-3</v>
      </c>
      <c r="O42" s="2022"/>
      <c r="P42" s="2022">
        <f t="shared" ref="P42:P44" si="187">M42</f>
        <v>1.7000000000000001E-3</v>
      </c>
      <c r="Q42" s="2901"/>
      <c r="R42" s="2021"/>
      <c r="S42" s="2021">
        <f>ROUND(IF(项目基本情况!$B$8="出让",SUMPRODUCT(PRODUCT(1+L42:L$52)),SUMPRODUCT(PRODUCT(1+L42:L$51))),4)</f>
        <v>1.0431999999999999</v>
      </c>
      <c r="T42" s="2021">
        <f>ROUND(IF(项目基本情况!$B$8="出让",SUMPRODUCT(PRODUCT(1+M42:M$52)),SUMPRODUCT(PRODUCT(1+M42:M$51))),4)</f>
        <v>1.0286999999999999</v>
      </c>
      <c r="U42" s="2021">
        <f>ROUND(IF(项目基本情况!$B$8="出让",SUMPRODUCT(PRODUCT(1+N42:N$52)),SUMPRODUCT(PRODUCT(1+N42:N$51))),4)</f>
        <v>1.0723</v>
      </c>
      <c r="V42" s="2021"/>
      <c r="W42" s="2021">
        <f t="shared" ref="W42:W44" si="188">T42</f>
        <v>1.0286999999999999</v>
      </c>
      <c r="X42" s="2901"/>
      <c r="Y42" s="2022"/>
      <c r="Z42" s="2897"/>
      <c r="AA42" s="2898"/>
      <c r="AB42" s="2022"/>
      <c r="AC42" s="2899"/>
      <c r="AD42" s="2022"/>
      <c r="AG42" s="3147">
        <f t="shared" si="129"/>
        <v>104.32</v>
      </c>
      <c r="AH42" s="3147">
        <f t="shared" si="130"/>
        <v>102.86999999999999</v>
      </c>
      <c r="AI42" s="3147">
        <f t="shared" si="131"/>
        <v>107.23</v>
      </c>
      <c r="AJ42" s="3149"/>
      <c r="AK42" s="3147">
        <f t="shared" si="132"/>
        <v>102.86999999999999</v>
      </c>
      <c r="AN42" s="3147">
        <f t="shared" si="148"/>
        <v>103.10345004457108</v>
      </c>
      <c r="AO42" s="3147">
        <f t="shared" si="159"/>
        <v>103.20598385282482</v>
      </c>
      <c r="AP42" s="3147">
        <f t="shared" si="160"/>
        <v>103.72437407351026</v>
      </c>
      <c r="AQ42" s="3147"/>
      <c r="AR42" s="3147">
        <f t="shared" si="161"/>
        <v>103.20598385282482</v>
      </c>
    </row>
    <row r="43" spans="1:44" s="2039" customFormat="1" ht="12.75">
      <c r="A43" s="2900" t="s">
        <v>3352</v>
      </c>
      <c r="B43" s="2025">
        <v>2023</v>
      </c>
      <c r="C43" s="2036">
        <v>2</v>
      </c>
      <c r="D43" s="2001"/>
      <c r="E43" s="2001">
        <v>0.5</v>
      </c>
      <c r="F43" s="2001">
        <v>0.45</v>
      </c>
      <c r="G43" s="2001">
        <v>0.89</v>
      </c>
      <c r="H43" s="2912"/>
      <c r="I43" s="2002">
        <f t="shared" si="174"/>
        <v>0.45</v>
      </c>
      <c r="J43" s="2901"/>
      <c r="K43" s="2037"/>
      <c r="L43" s="2022">
        <f t="shared" si="184"/>
        <v>5.0000000000000001E-3</v>
      </c>
      <c r="M43" s="2022">
        <f t="shared" si="185"/>
        <v>4.5000000000000005E-3</v>
      </c>
      <c r="N43" s="2022">
        <f t="shared" si="186"/>
        <v>8.8999999999999999E-3</v>
      </c>
      <c r="O43" s="2022"/>
      <c r="P43" s="2022">
        <f t="shared" si="187"/>
        <v>4.5000000000000005E-3</v>
      </c>
      <c r="Q43" s="2901"/>
      <c r="R43" s="2021"/>
      <c r="S43" s="2021">
        <f>ROUND(IF(项目基本情况!$B$8="出让",SUMPRODUCT(PRODUCT(1+L43:L$52)),SUMPRODUCT(PRODUCT(1+L43:L$51))),4)</f>
        <v>1.0396000000000001</v>
      </c>
      <c r="T43" s="2021">
        <f>ROUND(IF(项目基本情况!$B$8="出让",SUMPRODUCT(PRODUCT(1+M43:M$52)),SUMPRODUCT(PRODUCT(1+M43:M$51))),4)</f>
        <v>1.0269999999999999</v>
      </c>
      <c r="U43" s="2021">
        <f>ROUND(IF(项目基本情况!$B$8="出让",SUMPRODUCT(PRODUCT(1+N43:N$52)),SUMPRODUCT(PRODUCT(1+N43:N$51))),4)</f>
        <v>1.0668</v>
      </c>
      <c r="V43" s="2021"/>
      <c r="W43" s="2021">
        <f t="shared" si="188"/>
        <v>1.0269999999999999</v>
      </c>
      <c r="X43" s="2901"/>
      <c r="Y43" s="2022"/>
      <c r="Z43" s="2897"/>
      <c r="AA43" s="2898"/>
      <c r="AB43" s="2022"/>
      <c r="AC43" s="2899"/>
      <c r="AD43" s="2022"/>
      <c r="AG43" s="3147">
        <f t="shared" si="129"/>
        <v>103.96000000000001</v>
      </c>
      <c r="AH43" s="3147">
        <f t="shared" si="130"/>
        <v>102.69999999999999</v>
      </c>
      <c r="AI43" s="3147">
        <f t="shared" si="131"/>
        <v>106.67999999999999</v>
      </c>
      <c r="AJ43" s="3149"/>
      <c r="AK43" s="3147">
        <f t="shared" si="132"/>
        <v>102.69999999999999</v>
      </c>
      <c r="AN43" s="3147">
        <f t="shared" si="148"/>
        <v>102.74384658153569</v>
      </c>
      <c r="AO43" s="3147">
        <f t="shared" si="159"/>
        <v>103.03083143937786</v>
      </c>
      <c r="AP43" s="3147">
        <f t="shared" si="160"/>
        <v>103.18779752637312</v>
      </c>
      <c r="AQ43" s="3147"/>
      <c r="AR43" s="3147">
        <f t="shared" si="161"/>
        <v>103.03083143937786</v>
      </c>
    </row>
    <row r="44" spans="1:44" s="2039" customFormat="1" ht="12.75">
      <c r="A44" s="2900" t="s">
        <v>3350</v>
      </c>
      <c r="B44" s="2025">
        <v>2023</v>
      </c>
      <c r="C44" s="2036">
        <v>1</v>
      </c>
      <c r="D44" s="2001"/>
      <c r="E44" s="2001">
        <v>0.55000000000000004</v>
      </c>
      <c r="F44" s="2001">
        <v>0.59</v>
      </c>
      <c r="G44" s="2001">
        <v>0.64</v>
      </c>
      <c r="H44" s="2912"/>
      <c r="I44" s="2002">
        <f t="shared" si="174"/>
        <v>0.59</v>
      </c>
      <c r="J44" s="2901"/>
      <c r="K44" s="2037"/>
      <c r="L44" s="2022">
        <f t="shared" si="184"/>
        <v>5.5000000000000005E-3</v>
      </c>
      <c r="M44" s="2022">
        <f t="shared" si="185"/>
        <v>5.8999999999999999E-3</v>
      </c>
      <c r="N44" s="2022">
        <f t="shared" si="186"/>
        <v>6.4000000000000003E-3</v>
      </c>
      <c r="O44" s="2022"/>
      <c r="P44" s="2022">
        <f t="shared" si="187"/>
        <v>5.8999999999999999E-3</v>
      </c>
      <c r="Q44" s="2901"/>
      <c r="R44" s="2021"/>
      <c r="S44" s="2021">
        <f>ROUND(IF(项目基本情况!$B$8="出让",SUMPRODUCT(PRODUCT(1+L44:L$52)),SUMPRODUCT(PRODUCT(1+L44:L$51))),4)</f>
        <v>1.0344</v>
      </c>
      <c r="T44" s="2021">
        <f>ROUND(IF(项目基本情况!$B$8="出让",SUMPRODUCT(PRODUCT(1+M44:M$52)),SUMPRODUCT(PRODUCT(1+M44:M$51))),4)</f>
        <v>1.0224</v>
      </c>
      <c r="U44" s="2021">
        <f>ROUND(IF(项目基本情况!$B$8="出让",SUMPRODUCT(PRODUCT(1+N44:N$52)),SUMPRODUCT(PRODUCT(1+N44:N$51))),4)</f>
        <v>1.0573999999999999</v>
      </c>
      <c r="V44" s="2021"/>
      <c r="W44" s="2021">
        <f t="shared" si="188"/>
        <v>1.0224</v>
      </c>
      <c r="X44" s="2901"/>
      <c r="Y44" s="2022"/>
      <c r="Z44" s="2897"/>
      <c r="AA44" s="2898"/>
      <c r="AB44" s="2022"/>
      <c r="AC44" s="2899"/>
      <c r="AD44" s="2022"/>
      <c r="AG44" s="3147">
        <f t="shared" si="129"/>
        <v>103.44</v>
      </c>
      <c r="AH44" s="3147">
        <f t="shared" si="130"/>
        <v>102.24</v>
      </c>
      <c r="AI44" s="3147">
        <f t="shared" si="131"/>
        <v>105.74</v>
      </c>
      <c r="AJ44" s="3149"/>
      <c r="AK44" s="3147">
        <f t="shared" si="132"/>
        <v>102.24</v>
      </c>
      <c r="AN44" s="3147">
        <f t="shared" si="148"/>
        <v>102.23268316570717</v>
      </c>
      <c r="AO44" s="3147">
        <f t="shared" si="159"/>
        <v>102.56926972561261</v>
      </c>
      <c r="AP44" s="3147">
        <f t="shared" si="160"/>
        <v>102.27752753134416</v>
      </c>
      <c r="AQ44" s="3147"/>
      <c r="AR44" s="3147">
        <f t="shared" si="161"/>
        <v>102.56926972561261</v>
      </c>
    </row>
    <row r="45" spans="1:44" s="2039" customFormat="1" ht="12.75">
      <c r="A45" s="2900" t="s">
        <v>3349</v>
      </c>
      <c r="B45" s="2025">
        <v>2022</v>
      </c>
      <c r="C45" s="2036">
        <v>4</v>
      </c>
      <c r="D45" s="2001"/>
      <c r="E45" s="2001">
        <v>0.45</v>
      </c>
      <c r="F45" s="2001">
        <v>0.2</v>
      </c>
      <c r="G45" s="2001">
        <v>0.38</v>
      </c>
      <c r="H45" s="2912"/>
      <c r="I45" s="2002">
        <f t="shared" si="174"/>
        <v>0.2</v>
      </c>
      <c r="J45" s="2901"/>
      <c r="K45" s="2037"/>
      <c r="L45" s="2022">
        <f t="shared" si="175"/>
        <v>4.5000000000000005E-3</v>
      </c>
      <c r="M45" s="2022">
        <f t="shared" si="175"/>
        <v>2E-3</v>
      </c>
      <c r="N45" s="2022">
        <f t="shared" si="175"/>
        <v>3.8E-3</v>
      </c>
      <c r="O45" s="2022"/>
      <c r="P45" s="2022">
        <f t="shared" ref="P45:P52" si="189">M45</f>
        <v>2E-3</v>
      </c>
      <c r="Q45" s="2901"/>
      <c r="R45" s="2021"/>
      <c r="S45" s="2021">
        <f>ROUND(IF(项目基本情况!$B$8="出让",SUMPRODUCT(PRODUCT(1+L45:L$52)),SUMPRODUCT(PRODUCT(1+L45:L$51))),4)</f>
        <v>1.0286999999999999</v>
      </c>
      <c r="T45" s="2021">
        <f>ROUND(IF(项目基本情况!$B$8="出让",SUMPRODUCT(PRODUCT(1+M45:M$52)),SUMPRODUCT(PRODUCT(1+M45:M$51))),4)</f>
        <v>1.0164</v>
      </c>
      <c r="U45" s="2021">
        <f>ROUND(IF(项目基本情况!$B$8="出让",SUMPRODUCT(PRODUCT(1+N45:N$52)),SUMPRODUCT(PRODUCT(1+N45:N$51))),4)</f>
        <v>1.0506</v>
      </c>
      <c r="V45" s="2021"/>
      <c r="W45" s="2021">
        <f t="shared" ref="W45:W52" si="190">T45</f>
        <v>1.0164</v>
      </c>
      <c r="X45" s="2901"/>
      <c r="Y45" s="2022"/>
      <c r="Z45" s="2897">
        <f t="shared" ref="Z45:AD52" si="191">IF(E45=0,0,ROUND(AVERAGE(E45:E53)/100,4))</f>
        <v>4.0000000000000001E-3</v>
      </c>
      <c r="AA45" s="2898">
        <f t="shared" si="191"/>
        <v>2.5999999999999999E-3</v>
      </c>
      <c r="AB45" s="2022">
        <f t="shared" si="191"/>
        <v>7.4000000000000003E-3</v>
      </c>
      <c r="AC45" s="2899"/>
      <c r="AD45" s="2022">
        <f t="shared" si="191"/>
        <v>2.5999999999999999E-3</v>
      </c>
      <c r="AG45" s="3147">
        <f t="shared" si="129"/>
        <v>102.86999999999999</v>
      </c>
      <c r="AH45" s="3147">
        <f t="shared" si="130"/>
        <v>101.64</v>
      </c>
      <c r="AI45" s="3147">
        <f t="shared" si="131"/>
        <v>105.06</v>
      </c>
      <c r="AJ45" s="3149"/>
      <c r="AK45" s="3147">
        <f t="shared" si="132"/>
        <v>101.64</v>
      </c>
      <c r="AN45" s="3147">
        <f t="shared" si="148"/>
        <v>101.67347903103646</v>
      </c>
      <c r="AO45" s="3147">
        <f t="shared" si="159"/>
        <v>101.96766052849449</v>
      </c>
      <c r="AP45" s="3147">
        <f t="shared" si="160"/>
        <v>101.62711400173308</v>
      </c>
      <c r="AQ45" s="3147"/>
      <c r="AR45" s="3147">
        <f t="shared" si="161"/>
        <v>101.96766052849449</v>
      </c>
    </row>
    <row r="46" spans="1:44" s="2039" customFormat="1" ht="12.75">
      <c r="A46" s="2900" t="s">
        <v>3348</v>
      </c>
      <c r="B46" s="2025">
        <v>2022</v>
      </c>
      <c r="C46" s="2036">
        <v>3</v>
      </c>
      <c r="D46" s="2001"/>
      <c r="E46" s="2001">
        <v>0.3</v>
      </c>
      <c r="F46" s="2001">
        <v>0.28999999999999998</v>
      </c>
      <c r="G46" s="2001">
        <v>0.83</v>
      </c>
      <c r="H46" s="2912"/>
      <c r="I46" s="2002">
        <f t="shared" si="174"/>
        <v>0.28999999999999998</v>
      </c>
      <c r="J46" s="2901"/>
      <c r="K46" s="2037"/>
      <c r="L46" s="2022">
        <f t="shared" si="175"/>
        <v>3.0000000000000001E-3</v>
      </c>
      <c r="M46" s="2022">
        <f t="shared" si="175"/>
        <v>2.8999999999999998E-3</v>
      </c>
      <c r="N46" s="2022">
        <f t="shared" si="175"/>
        <v>8.3000000000000001E-3</v>
      </c>
      <c r="O46" s="2022"/>
      <c r="P46" s="2022">
        <f t="shared" si="189"/>
        <v>2.8999999999999998E-3</v>
      </c>
      <c r="Q46" s="2901"/>
      <c r="R46" s="2021"/>
      <c r="S46" s="2021">
        <f>ROUND(IF(项目基本情况!$B$8="出让",SUMPRODUCT(PRODUCT(1+L46:L$52)),SUMPRODUCT(PRODUCT(1+L46:L$51))),4)</f>
        <v>1.0241</v>
      </c>
      <c r="T46" s="2021">
        <f>ROUND(IF(项目基本情况!$B$8="出让",SUMPRODUCT(PRODUCT(1+M46:M$52)),SUMPRODUCT(PRODUCT(1+M46:M$51))),4)</f>
        <v>1.0144</v>
      </c>
      <c r="U46" s="2021">
        <f>ROUND(IF(项目基本情况!$B$8="出让",SUMPRODUCT(PRODUCT(1+N46:N$52)),SUMPRODUCT(PRODUCT(1+N46:N$51))),4)</f>
        <v>1.0467</v>
      </c>
      <c r="V46" s="2021"/>
      <c r="W46" s="2021">
        <f t="shared" si="190"/>
        <v>1.0144</v>
      </c>
      <c r="X46" s="2901"/>
      <c r="Y46" s="2022"/>
      <c r="Z46" s="2897">
        <f t="shared" si="191"/>
        <v>3.8999999999999998E-3</v>
      </c>
      <c r="AA46" s="2898">
        <f t="shared" si="191"/>
        <v>2.7000000000000001E-3</v>
      </c>
      <c r="AB46" s="2022">
        <f t="shared" si="191"/>
        <v>7.9000000000000008E-3</v>
      </c>
      <c r="AC46" s="2899"/>
      <c r="AD46" s="2022">
        <f t="shared" si="191"/>
        <v>2.7000000000000001E-3</v>
      </c>
      <c r="AG46" s="3147">
        <f t="shared" si="129"/>
        <v>102.41</v>
      </c>
      <c r="AH46" s="3147">
        <f t="shared" si="130"/>
        <v>101.44</v>
      </c>
      <c r="AI46" s="3147">
        <f t="shared" si="131"/>
        <v>104.67</v>
      </c>
      <c r="AJ46" s="3149"/>
      <c r="AK46" s="3147">
        <f t="shared" si="132"/>
        <v>101.44</v>
      </c>
      <c r="AN46" s="3147">
        <f t="shared" si="148"/>
        <v>101.21799803985711</v>
      </c>
      <c r="AO46" s="3147">
        <f t="shared" si="159"/>
        <v>101.76413226396656</v>
      </c>
      <c r="AP46" s="3147">
        <f t="shared" si="160"/>
        <v>101.24239290868009</v>
      </c>
      <c r="AQ46" s="3147"/>
      <c r="AR46" s="3147">
        <f t="shared" si="161"/>
        <v>101.76413226396656</v>
      </c>
    </row>
    <row r="47" spans="1:44" s="2039" customFormat="1" ht="12.75">
      <c r="A47" s="2900" t="s">
        <v>3338</v>
      </c>
      <c r="B47" s="2025">
        <v>2022</v>
      </c>
      <c r="C47" s="2036">
        <v>2</v>
      </c>
      <c r="D47" s="2001"/>
      <c r="E47" s="2001">
        <v>-0.11</v>
      </c>
      <c r="F47" s="2001">
        <v>-0.13</v>
      </c>
      <c r="G47" s="2001">
        <v>0.53</v>
      </c>
      <c r="H47" s="2912"/>
      <c r="I47" s="2002">
        <f t="shared" si="174"/>
        <v>-0.13</v>
      </c>
      <c r="J47" s="2901"/>
      <c r="K47" s="2037"/>
      <c r="L47" s="2022">
        <f t="shared" si="175"/>
        <v>-1.1000000000000001E-3</v>
      </c>
      <c r="M47" s="2022">
        <f t="shared" si="175"/>
        <v>-1.2999999999999999E-3</v>
      </c>
      <c r="N47" s="2022">
        <f t="shared" si="175"/>
        <v>5.3E-3</v>
      </c>
      <c r="O47" s="2022"/>
      <c r="P47" s="2022">
        <f t="shared" si="189"/>
        <v>-1.2999999999999999E-3</v>
      </c>
      <c r="Q47" s="2901"/>
      <c r="R47" s="2021"/>
      <c r="S47" s="2021">
        <f>ROUND(IF(项目基本情况!$B$8="出让",SUMPRODUCT(PRODUCT(1+L47:L$52)),SUMPRODUCT(PRODUCT(1+L47:L$51))),4)</f>
        <v>1.0210999999999999</v>
      </c>
      <c r="T47" s="2021">
        <f>ROUND(IF(项目基本情况!$B$8="出让",SUMPRODUCT(PRODUCT(1+M47:M$52)),SUMPRODUCT(PRODUCT(1+M47:M$51))),4)</f>
        <v>1.0114000000000001</v>
      </c>
      <c r="U47" s="2021">
        <f>ROUND(IF(项目基本情况!$B$8="出让",SUMPRODUCT(PRODUCT(1+N47:N$52)),SUMPRODUCT(PRODUCT(1+N47:N$51))),4)</f>
        <v>1.0381</v>
      </c>
      <c r="V47" s="2021"/>
      <c r="W47" s="2021">
        <f t="shared" si="190"/>
        <v>1.0114000000000001</v>
      </c>
      <c r="X47" s="2901"/>
      <c r="Y47" s="2022"/>
      <c r="Z47" s="2897">
        <f t="shared" si="191"/>
        <v>4.1000000000000003E-3</v>
      </c>
      <c r="AA47" s="2898">
        <f t="shared" si="191"/>
        <v>2.7000000000000001E-3</v>
      </c>
      <c r="AB47" s="2022">
        <f t="shared" si="191"/>
        <v>7.9000000000000008E-3</v>
      </c>
      <c r="AC47" s="2899"/>
      <c r="AD47" s="2022">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100.9152522830081</v>
      </c>
      <c r="AO47" s="3147">
        <f t="shared" si="159"/>
        <v>101.46986964200475</v>
      </c>
      <c r="AP47" s="3147">
        <f t="shared" si="160"/>
        <v>100.40899822342566</v>
      </c>
      <c r="AQ47" s="3147"/>
      <c r="AR47" s="3147">
        <f t="shared" si="161"/>
        <v>101.46986964200475</v>
      </c>
    </row>
    <row r="48" spans="1:44" s="2039" customFormat="1" ht="12.75">
      <c r="A48" s="2900" t="s">
        <v>2819</v>
      </c>
      <c r="B48" s="2025">
        <v>2022</v>
      </c>
      <c r="C48" s="2036">
        <v>1</v>
      </c>
      <c r="D48" s="2001"/>
      <c r="E48" s="2001">
        <v>0.6</v>
      </c>
      <c r="F48" s="2001">
        <v>0.45</v>
      </c>
      <c r="G48" s="2001">
        <v>0.53</v>
      </c>
      <c r="H48" s="2912"/>
      <c r="I48" s="2002">
        <f t="shared" si="174"/>
        <v>0.45</v>
      </c>
      <c r="J48" s="2901"/>
      <c r="K48" s="2037"/>
      <c r="L48" s="2022">
        <f t="shared" si="175"/>
        <v>6.0000000000000001E-3</v>
      </c>
      <c r="M48" s="2022">
        <f t="shared" si="175"/>
        <v>4.5000000000000005E-3</v>
      </c>
      <c r="N48" s="2022">
        <f t="shared" si="175"/>
        <v>5.3E-3</v>
      </c>
      <c r="O48" s="2022"/>
      <c r="P48" s="2022">
        <f t="shared" si="189"/>
        <v>4.5000000000000005E-3</v>
      </c>
      <c r="Q48" s="2901"/>
      <c r="R48" s="2021"/>
      <c r="S48" s="2021">
        <f>ROUND(IF(项目基本情况!$B$8="出让",SUMPRODUCT(PRODUCT(1+L48:L$52)),SUMPRODUCT(PRODUCT(1+L48:L$51))),4)</f>
        <v>1.0222</v>
      </c>
      <c r="T48" s="2021">
        <f>ROUND(IF(项目基本情况!$B$8="出让",SUMPRODUCT(PRODUCT(1+M48:M$52)),SUMPRODUCT(PRODUCT(1+M48:M$51))),4)</f>
        <v>1.0127999999999999</v>
      </c>
      <c r="U48" s="2021">
        <f>ROUND(IF(项目基本情况!$B$8="出让",SUMPRODUCT(PRODUCT(1+N48:N$52)),SUMPRODUCT(PRODUCT(1+N48:N$51))),4)</f>
        <v>1.0326</v>
      </c>
      <c r="V48" s="2021"/>
      <c r="W48" s="2021">
        <f t="shared" si="190"/>
        <v>1.0127999999999999</v>
      </c>
      <c r="X48" s="2901"/>
      <c r="Y48" s="2022"/>
      <c r="Z48" s="2897">
        <f t="shared" si="191"/>
        <v>5.1000000000000004E-3</v>
      </c>
      <c r="AA48" s="2898">
        <f t="shared" si="191"/>
        <v>3.5000000000000001E-3</v>
      </c>
      <c r="AB48" s="2022">
        <f t="shared" si="191"/>
        <v>8.3999999999999995E-3</v>
      </c>
      <c r="AC48" s="2899"/>
      <c r="AD48" s="2022">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101.02638130244078</v>
      </c>
      <c r="AO48" s="3147">
        <f t="shared" si="159"/>
        <v>101.60195217983853</v>
      </c>
      <c r="AP48" s="3147">
        <f t="shared" si="160"/>
        <v>99.879636151820989</v>
      </c>
      <c r="AQ48" s="3147"/>
      <c r="AR48" s="3147">
        <f t="shared" si="161"/>
        <v>101.60195217983853</v>
      </c>
    </row>
    <row r="49" spans="1:44" s="2039" customFormat="1" ht="12.75">
      <c r="A49" s="2900" t="s">
        <v>2820</v>
      </c>
      <c r="B49" s="2025">
        <v>2021</v>
      </c>
      <c r="C49" s="2036">
        <v>4</v>
      </c>
      <c r="D49" s="2001"/>
      <c r="E49" s="2001">
        <v>0.57999999999999996</v>
      </c>
      <c r="F49" s="2001">
        <v>0.08</v>
      </c>
      <c r="G49" s="2001">
        <v>0.68</v>
      </c>
      <c r="H49" s="2912"/>
      <c r="I49" s="2002">
        <f t="shared" si="174"/>
        <v>0.08</v>
      </c>
      <c r="J49" s="2901"/>
      <c r="K49" s="2037"/>
      <c r="L49" s="2022">
        <f t="shared" si="175"/>
        <v>5.7999999999999996E-3</v>
      </c>
      <c r="M49" s="2022">
        <f t="shared" si="175"/>
        <v>8.0000000000000004E-4</v>
      </c>
      <c r="N49" s="2022">
        <f t="shared" si="175"/>
        <v>6.8000000000000005E-3</v>
      </c>
      <c r="O49" s="2022"/>
      <c r="P49" s="2022">
        <f t="shared" si="189"/>
        <v>8.0000000000000004E-4</v>
      </c>
      <c r="Q49" s="2901"/>
      <c r="R49" s="2021"/>
      <c r="S49" s="2021">
        <f>ROUND(IF(项目基本情况!$B$8="出让",SUMPRODUCT(PRODUCT(1+L49:L$52)),SUMPRODUCT(PRODUCT(1+L49:L$51))),4)</f>
        <v>1.0161</v>
      </c>
      <c r="T49" s="2021">
        <f>ROUND(IF(项目基本情况!$B$8="出让",SUMPRODUCT(PRODUCT(1+M49:M$52)),SUMPRODUCT(PRODUCT(1+M49:M$51))),4)</f>
        <v>1.0082</v>
      </c>
      <c r="U49" s="2021">
        <f>ROUND(IF(项目基本情况!$B$8="出让",SUMPRODUCT(PRODUCT(1+N49:N$52)),SUMPRODUCT(PRODUCT(1+N49:N$51))),4)</f>
        <v>1.0270999999999999</v>
      </c>
      <c r="V49" s="2021"/>
      <c r="W49" s="2021">
        <f t="shared" si="190"/>
        <v>1.0082</v>
      </c>
      <c r="X49" s="2901"/>
      <c r="Y49" s="2022"/>
      <c r="Z49" s="2897">
        <f t="shared" si="191"/>
        <v>4.8999999999999998E-3</v>
      </c>
      <c r="AA49" s="2898">
        <f t="shared" si="191"/>
        <v>3.3E-3</v>
      </c>
      <c r="AB49" s="2022">
        <f t="shared" si="191"/>
        <v>9.1999999999999998E-3</v>
      </c>
      <c r="AC49" s="2899"/>
      <c r="AD49" s="2022">
        <f t="shared" si="191"/>
        <v>3.3E-3</v>
      </c>
      <c r="AG49" s="3147">
        <f t="shared" si="129"/>
        <v>101.61</v>
      </c>
      <c r="AH49" s="3147">
        <f t="shared" si="130"/>
        <v>100.82</v>
      </c>
      <c r="AI49" s="3147">
        <f t="shared" si="131"/>
        <v>102.71</v>
      </c>
      <c r="AJ49" s="3149"/>
      <c r="AK49" s="3147">
        <f t="shared" si="132"/>
        <v>100.82</v>
      </c>
      <c r="AN49" s="3147">
        <f t="shared" si="148"/>
        <v>100.42383827280396</v>
      </c>
      <c r="AO49" s="3147">
        <f t="shared" si="159"/>
        <v>101.14679161755951</v>
      </c>
      <c r="AP49" s="3147">
        <f t="shared" si="160"/>
        <v>99.353064907809596</v>
      </c>
      <c r="AQ49" s="3147"/>
      <c r="AR49" s="3147">
        <f t="shared" si="161"/>
        <v>101.14679161755951</v>
      </c>
    </row>
    <row r="50" spans="1:44" s="2039" customFormat="1" ht="12.75">
      <c r="A50" s="2900" t="s">
        <v>2821</v>
      </c>
      <c r="B50" s="2025">
        <v>2021</v>
      </c>
      <c r="C50" s="2036">
        <v>3</v>
      </c>
      <c r="D50" s="2001"/>
      <c r="E50" s="2001">
        <v>0.47</v>
      </c>
      <c r="F50" s="2001">
        <v>0.28000000000000003</v>
      </c>
      <c r="G50" s="2001">
        <v>0.91</v>
      </c>
      <c r="H50" s="2912"/>
      <c r="I50" s="2002">
        <f t="shared" si="174"/>
        <v>0.28000000000000003</v>
      </c>
      <c r="J50" s="2901"/>
      <c r="K50" s="2037"/>
      <c r="L50" s="2022">
        <f t="shared" si="175"/>
        <v>4.6999999999999993E-3</v>
      </c>
      <c r="M50" s="2022">
        <f t="shared" si="175"/>
        <v>2.8000000000000004E-3</v>
      </c>
      <c r="N50" s="2022">
        <f t="shared" si="175"/>
        <v>9.1000000000000004E-3</v>
      </c>
      <c r="O50" s="2022"/>
      <c r="P50" s="2022">
        <f t="shared" si="189"/>
        <v>2.8000000000000004E-3</v>
      </c>
      <c r="Q50" s="2901"/>
      <c r="R50" s="2021"/>
      <c r="S50" s="2021">
        <f>ROUND(IF(项目基本情况!$B$8="出让",SUMPRODUCT(PRODUCT(1+L50:L$52)),SUMPRODUCT(PRODUCT(1+L50:L$51))),4)</f>
        <v>1.0102</v>
      </c>
      <c r="T50" s="2021">
        <f>ROUND(IF(项目基本情况!$B$8="出让",SUMPRODUCT(PRODUCT(1+M50:M$52)),SUMPRODUCT(PRODUCT(1+M50:M$51))),4)</f>
        <v>1.0074000000000001</v>
      </c>
      <c r="U50" s="2021">
        <f>ROUND(IF(项目基本情况!$B$8="出让",SUMPRODUCT(PRODUCT(1+N50:N$52)),SUMPRODUCT(PRODUCT(1+N50:N$51))),4)</f>
        <v>1.0202</v>
      </c>
      <c r="V50" s="2021"/>
      <c r="W50" s="2021">
        <f t="shared" si="190"/>
        <v>1.0074000000000001</v>
      </c>
      <c r="X50" s="2901"/>
      <c r="Y50" s="2022"/>
      <c r="Z50" s="2897">
        <f t="shared" si="191"/>
        <v>4.5999999999999999E-3</v>
      </c>
      <c r="AA50" s="2898">
        <f t="shared" si="191"/>
        <v>4.1000000000000003E-3</v>
      </c>
      <c r="AB50" s="2022">
        <f t="shared" si="191"/>
        <v>0.01</v>
      </c>
      <c r="AC50" s="2899"/>
      <c r="AD50" s="2022">
        <f t="shared" si="191"/>
        <v>4.1000000000000003E-3</v>
      </c>
      <c r="AG50" s="3147">
        <f t="shared" si="129"/>
        <v>101.02</v>
      </c>
      <c r="AH50" s="3147">
        <f t="shared" si="130"/>
        <v>100.74000000000001</v>
      </c>
      <c r="AI50" s="3147">
        <f t="shared" si="131"/>
        <v>102.02</v>
      </c>
      <c r="AJ50" s="3149"/>
      <c r="AK50" s="3147">
        <f t="shared" si="132"/>
        <v>100.74000000000001</v>
      </c>
      <c r="AN50" s="3147">
        <f t="shared" si="148"/>
        <v>99.844738787834515</v>
      </c>
      <c r="AO50" s="3147">
        <f t="shared" si="159"/>
        <v>101.06593886646635</v>
      </c>
      <c r="AP50" s="3147">
        <f t="shared" si="160"/>
        <v>98.682027123370688</v>
      </c>
      <c r="AQ50" s="3147"/>
      <c r="AR50" s="3147">
        <f t="shared" si="161"/>
        <v>101.06593886646635</v>
      </c>
    </row>
    <row r="51" spans="1:44" s="2039" customFormat="1" ht="12.75">
      <c r="A51" s="2900" t="s">
        <v>2822</v>
      </c>
      <c r="B51" s="2025">
        <v>2021</v>
      </c>
      <c r="C51" s="2036">
        <v>2</v>
      </c>
      <c r="D51" s="2001"/>
      <c r="E51" s="2001">
        <v>0.55000000000000004</v>
      </c>
      <c r="F51" s="2001">
        <v>0.46</v>
      </c>
      <c r="G51" s="2001">
        <v>1.1000000000000001</v>
      </c>
      <c r="H51" s="2912"/>
      <c r="I51" s="2002">
        <f t="shared" si="174"/>
        <v>0.46</v>
      </c>
      <c r="J51" s="2901"/>
      <c r="K51" s="2037"/>
      <c r="L51" s="2022">
        <f t="shared" si="175"/>
        <v>5.5000000000000005E-3</v>
      </c>
      <c r="M51" s="2022">
        <f t="shared" si="175"/>
        <v>4.5999999999999999E-3</v>
      </c>
      <c r="N51" s="2022">
        <f t="shared" si="175"/>
        <v>1.1000000000000001E-2</v>
      </c>
      <c r="O51" s="2022"/>
      <c r="P51" s="2022">
        <f t="shared" si="189"/>
        <v>4.5999999999999999E-3</v>
      </c>
      <c r="Q51" s="2901"/>
      <c r="R51" s="2021"/>
      <c r="S51" s="2021">
        <f>ROUND(IF(项目基本情况!$B$8="出让",SUMPRODUCT(PRODUCT(1+L51:L$52)),SUMPRODUCT(PRODUCT(1+L51:L$51))),4)</f>
        <v>1.0055000000000001</v>
      </c>
      <c r="T51" s="2021">
        <f>ROUND(IF(项目基本情况!$B$8="出让",SUMPRODUCT(PRODUCT(1+M51:M$52)),SUMPRODUCT(PRODUCT(1+M51:M$51))),4)</f>
        <v>1.0045999999999999</v>
      </c>
      <c r="U51" s="2021">
        <f>ROUND(IF(项目基本情况!$B$8="出让",SUMPRODUCT(PRODUCT(1+N51:N$52)),SUMPRODUCT(PRODUCT(1+N51:N$51))),4)</f>
        <v>1.0109999999999999</v>
      </c>
      <c r="V51" s="2021"/>
      <c r="W51" s="2021">
        <f t="shared" si="190"/>
        <v>1.0045999999999999</v>
      </c>
      <c r="X51" s="2901"/>
      <c r="Y51" s="2022"/>
      <c r="Z51" s="2897">
        <f t="shared" si="191"/>
        <v>4.4999999999999997E-3</v>
      </c>
      <c r="AA51" s="2898">
        <f t="shared" si="191"/>
        <v>4.7000000000000002E-3</v>
      </c>
      <c r="AB51" s="2022">
        <f t="shared" si="191"/>
        <v>1.04E-2</v>
      </c>
      <c r="AC51" s="2899"/>
      <c r="AD51" s="2022">
        <f t="shared" si="191"/>
        <v>4.7000000000000002E-3</v>
      </c>
      <c r="AG51" s="3147">
        <f>$AG$52*S51</f>
        <v>100.55000000000001</v>
      </c>
      <c r="AH51" s="3147">
        <f t="shared" ref="AH51:AK51" si="192">$AG$52*T51</f>
        <v>100.46</v>
      </c>
      <c r="AI51" s="3147">
        <f t="shared" si="192"/>
        <v>101.1</v>
      </c>
      <c r="AJ51" s="3149"/>
      <c r="AK51" s="3147">
        <f t="shared" si="192"/>
        <v>100.46</v>
      </c>
      <c r="AN51" s="3147">
        <f t="shared" si="148"/>
        <v>99.377663768124336</v>
      </c>
      <c r="AO51" s="3147">
        <f t="shared" si="159"/>
        <v>100.78374438219622</v>
      </c>
      <c r="AP51" s="3147">
        <f t="shared" si="160"/>
        <v>97.7921188419093</v>
      </c>
      <c r="AQ51" s="3147"/>
      <c r="AR51" s="3147">
        <f t="shared" si="161"/>
        <v>100.78374438219622</v>
      </c>
    </row>
    <row r="52" spans="1:44" s="2923" customFormat="1" ht="14.25" thickBot="1">
      <c r="A52" s="2913" t="s">
        <v>2808</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98.83407634820918</v>
      </c>
      <c r="AO52" s="3154">
        <f t="shared" si="159"/>
        <v>100.32226197710156</v>
      </c>
      <c r="AP52" s="3154">
        <f t="shared" si="160"/>
        <v>96.728109635914251</v>
      </c>
      <c r="AQ52" s="3154"/>
      <c r="AR52" s="3154">
        <f t="shared" si="161"/>
        <v>100.32226197710156</v>
      </c>
    </row>
    <row r="53" spans="1:44" ht="14.25" thickTop="1"/>
    <row r="54" spans="1:44">
      <c r="A54" s="3137" t="s">
        <v>3363</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89" t="s">
        <v>452</v>
      </c>
      <c r="C1" s="3589"/>
      <c r="D1" s="3589"/>
      <c r="E1" s="3589"/>
      <c r="F1" s="3589"/>
      <c r="G1" s="3585" t="s">
        <v>453</v>
      </c>
      <c r="H1" s="3585"/>
      <c r="I1" s="3585"/>
      <c r="J1" s="3585"/>
      <c r="K1" s="3585"/>
      <c r="L1" s="3585"/>
      <c r="N1" s="3585" t="s">
        <v>454</v>
      </c>
      <c r="O1" s="3585"/>
      <c r="P1" s="3585"/>
      <c r="Q1" s="3585"/>
      <c r="S1" s="3585" t="s">
        <v>455</v>
      </c>
      <c r="T1" s="3585"/>
      <c r="U1" s="3585"/>
      <c r="V1" s="3585"/>
      <c r="X1" s="3584" t="s">
        <v>456</v>
      </c>
      <c r="Y1" s="3585"/>
      <c r="Z1" s="3585"/>
      <c r="AA1" s="3585"/>
      <c r="AB1" s="3585"/>
      <c r="AD1" s="3584" t="s">
        <v>457</v>
      </c>
      <c r="AE1" s="3585"/>
      <c r="AF1" s="3585"/>
      <c r="AG1" s="3585"/>
      <c r="AH1" s="3585"/>
    </row>
    <row r="2" spans="1:34" s="2004" customFormat="1" ht="14.25" thickBot="1">
      <c r="B2" s="2005" t="s">
        <v>458</v>
      </c>
      <c r="C2" s="2005" t="s">
        <v>459</v>
      </c>
      <c r="D2" s="2006" t="s">
        <v>460</v>
      </c>
      <c r="E2" s="2006" t="s">
        <v>461</v>
      </c>
      <c r="F2" s="2005" t="s">
        <v>462</v>
      </c>
      <c r="G2" s="2007"/>
      <c r="I2" s="2005" t="s">
        <v>458</v>
      </c>
      <c r="J2" s="2006" t="s">
        <v>672</v>
      </c>
      <c r="K2" s="2006" t="s">
        <v>308</v>
      </c>
      <c r="L2" s="2005" t="s">
        <v>462</v>
      </c>
      <c r="N2" s="2005" t="s">
        <v>458</v>
      </c>
      <c r="O2" s="2006" t="s">
        <v>672</v>
      </c>
      <c r="P2" s="2006" t="s">
        <v>308</v>
      </c>
      <c r="Q2" s="2005" t="s">
        <v>462</v>
      </c>
      <c r="S2" s="2005" t="s">
        <v>458</v>
      </c>
      <c r="T2" s="2006" t="s">
        <v>672</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2107</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3346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3343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2108</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3344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3345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2420</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2297</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2296</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2295</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2292</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2291</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2123</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2121</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2120</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2119</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2117</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2116</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2118</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87">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2114</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87"/>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2113</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87"/>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2106</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94"/>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2104</v>
      </c>
      <c r="B25" s="2043">
        <v>439</v>
      </c>
      <c r="C25" s="2043">
        <v>327</v>
      </c>
      <c r="D25" s="2043">
        <f>C25</f>
        <v>327</v>
      </c>
      <c r="E25" s="2043">
        <v>627</v>
      </c>
      <c r="F25" s="2044">
        <v>283</v>
      </c>
      <c r="G25" s="3590">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2105</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87"/>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673</v>
      </c>
      <c r="B27" s="2035">
        <f t="shared" si="232"/>
        <v>419.31181600000002</v>
      </c>
      <c r="C27" s="2035">
        <f t="shared" si="233"/>
        <v>313.95436800000004</v>
      </c>
      <c r="D27" s="2035">
        <f t="shared" si="234"/>
        <v>313.95436800000004</v>
      </c>
      <c r="E27" s="2035">
        <f t="shared" si="235"/>
        <v>596.63028431999999</v>
      </c>
      <c r="F27" s="2035">
        <f t="shared" si="236"/>
        <v>274.74220703999998</v>
      </c>
      <c r="G27" s="3587"/>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94"/>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90">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87"/>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87"/>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88"/>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86">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87"/>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87"/>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88"/>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86">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87"/>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87"/>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88"/>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91">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92"/>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92"/>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93"/>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86">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87"/>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87"/>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88"/>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86">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87">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87">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88">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86">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87">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87">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88">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86">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87">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87">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88">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86">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87">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87">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88">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86">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87">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87">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88">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86">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87">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87">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88">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86">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87">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87">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88">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86">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87">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87">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88">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86">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87">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87">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88">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86">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87">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87">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88">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97" t="s">
        <v>2823</v>
      </c>
      <c r="B1" s="3597"/>
      <c r="C1" s="3597"/>
      <c r="D1" s="3597"/>
      <c r="E1" s="3597"/>
      <c r="F1" s="3597"/>
      <c r="G1" s="3598"/>
      <c r="I1" s="2933" t="s">
        <v>2824</v>
      </c>
      <c r="J1" s="2934" t="s">
        <v>2825</v>
      </c>
      <c r="K1" s="2934" t="s">
        <v>2826</v>
      </c>
      <c r="L1" s="2934" t="s">
        <v>2827</v>
      </c>
      <c r="M1" s="2934" t="s">
        <v>2828</v>
      </c>
      <c r="N1" s="2934" t="s">
        <v>2829</v>
      </c>
      <c r="O1" s="2934" t="s">
        <v>2830</v>
      </c>
      <c r="P1" s="2934" t="s">
        <v>2831</v>
      </c>
      <c r="Q1" s="2934" t="s">
        <v>2832</v>
      </c>
      <c r="R1" s="2934" t="s">
        <v>2833</v>
      </c>
      <c r="S1" s="2934" t="s">
        <v>2834</v>
      </c>
      <c r="T1" s="2935" t="s">
        <v>2835</v>
      </c>
    </row>
    <row r="2" spans="1:20" ht="12" thickBot="1">
      <c r="A2" s="2936" t="s">
        <v>2836</v>
      </c>
      <c r="B2" s="2936"/>
      <c r="C2" s="2936"/>
      <c r="D2" s="2936"/>
      <c r="E2" s="2936"/>
      <c r="F2" s="2936"/>
      <c r="G2" s="2937" t="s">
        <v>2837</v>
      </c>
      <c r="I2" s="2938" t="s">
        <v>2838</v>
      </c>
      <c r="J2" s="2938" t="s">
        <v>2839</v>
      </c>
      <c r="K2" s="2938" t="s">
        <v>2840</v>
      </c>
      <c r="L2" s="2938" t="s">
        <v>2841</v>
      </c>
      <c r="M2" s="2938" t="s">
        <v>2842</v>
      </c>
      <c r="N2" s="2938" t="s">
        <v>2843</v>
      </c>
      <c r="O2" s="2938" t="s">
        <v>2844</v>
      </c>
      <c r="P2" s="2938" t="s">
        <v>2845</v>
      </c>
      <c r="Q2" s="2938" t="s">
        <v>2846</v>
      </c>
      <c r="R2" s="2938" t="s">
        <v>2847</v>
      </c>
      <c r="S2" s="2938" t="s">
        <v>2848</v>
      </c>
      <c r="T2" s="2938" t="s">
        <v>2849</v>
      </c>
    </row>
    <row r="3" spans="1:20" s="2944" customFormat="1">
      <c r="A3" s="3595" t="s">
        <v>2850</v>
      </c>
      <c r="B3" s="2939"/>
      <c r="C3" s="2940" t="s">
        <v>2795</v>
      </c>
      <c r="D3" s="2940" t="s">
        <v>2851</v>
      </c>
      <c r="E3" s="2940" t="s">
        <v>2797</v>
      </c>
      <c r="F3" s="2940" t="s">
        <v>2852</v>
      </c>
      <c r="G3" s="2940" t="s">
        <v>2615</v>
      </c>
      <c r="H3" s="2941"/>
      <c r="I3" s="2942" t="s">
        <v>2853</v>
      </c>
      <c r="J3" s="2943" t="s">
        <v>128</v>
      </c>
      <c r="K3" s="2943" t="s">
        <v>129</v>
      </c>
      <c r="L3" s="2942" t="s">
        <v>130</v>
      </c>
      <c r="M3" s="2942" t="s">
        <v>131</v>
      </c>
      <c r="N3" s="2942" t="s">
        <v>132</v>
      </c>
      <c r="O3" s="2942" t="s">
        <v>133</v>
      </c>
      <c r="P3" s="2942" t="s">
        <v>134</v>
      </c>
      <c r="Q3" s="2942" t="s">
        <v>135</v>
      </c>
      <c r="R3" s="2942" t="s">
        <v>136</v>
      </c>
      <c r="S3" s="2942" t="s">
        <v>2854</v>
      </c>
      <c r="T3" s="2942" t="s">
        <v>2855</v>
      </c>
    </row>
    <row r="4" spans="1:20" s="2944" customFormat="1" ht="12" thickBot="1">
      <c r="A4" s="3596"/>
      <c r="B4" s="2945" t="s">
        <v>2856</v>
      </c>
      <c r="C4" s="2945" t="s">
        <v>2857</v>
      </c>
      <c r="D4" s="2945" t="s">
        <v>2857</v>
      </c>
      <c r="E4" s="2945" t="s">
        <v>2857</v>
      </c>
      <c r="F4" s="2946" t="s">
        <v>2857</v>
      </c>
      <c r="G4" s="2946" t="s">
        <v>2857</v>
      </c>
      <c r="H4" s="2941"/>
      <c r="I4" s="2943" t="s">
        <v>137</v>
      </c>
      <c r="J4" s="2943" t="s">
        <v>111</v>
      </c>
      <c r="K4" s="2943" t="s">
        <v>138</v>
      </c>
      <c r="L4" s="2942" t="s">
        <v>139</v>
      </c>
      <c r="M4" s="2942" t="s">
        <v>140</v>
      </c>
      <c r="N4" s="2942" t="s">
        <v>141</v>
      </c>
      <c r="O4" s="2942" t="s">
        <v>142</v>
      </c>
      <c r="P4" s="2942" t="s">
        <v>143</v>
      </c>
      <c r="Q4" s="2942" t="s">
        <v>2858</v>
      </c>
      <c r="R4" s="2942" t="s">
        <v>2859</v>
      </c>
      <c r="S4" s="2942" t="s">
        <v>2860</v>
      </c>
      <c r="T4" s="2942" t="s">
        <v>2861</v>
      </c>
    </row>
    <row r="5" spans="1:20">
      <c r="A5" s="2947" t="s">
        <v>2824</v>
      </c>
      <c r="B5" s="2938" t="s">
        <v>2838</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2862</v>
      </c>
      <c r="R5" s="2942" t="s">
        <v>2863</v>
      </c>
      <c r="S5" s="2942" t="s">
        <v>153</v>
      </c>
      <c r="T5" s="2942" t="s">
        <v>2864</v>
      </c>
    </row>
    <row r="6" spans="1:20" ht="12" thickBot="1">
      <c r="A6" s="2942" t="s">
        <v>144</v>
      </c>
      <c r="B6" s="2942" t="s">
        <v>2853</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2865</v>
      </c>
      <c r="Q6" s="2942" t="s">
        <v>2866</v>
      </c>
      <c r="R6" s="2942" t="s">
        <v>161</v>
      </c>
      <c r="S6" s="2942" t="s">
        <v>2867</v>
      </c>
      <c r="T6" s="2942" t="s">
        <v>2868</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2869</v>
      </c>
      <c r="Q7" s="2942" t="s">
        <v>2870</v>
      </c>
      <c r="R7" s="2942" t="s">
        <v>2871</v>
      </c>
      <c r="S7" s="2942" t="s">
        <v>2872</v>
      </c>
      <c r="T7" s="2942" t="s">
        <v>2873</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2874</v>
      </c>
      <c r="Q8" s="2942" t="s">
        <v>174</v>
      </c>
      <c r="R8" s="2942" t="s">
        <v>2875</v>
      </c>
      <c r="S8" s="2942" t="s">
        <v>2876</v>
      </c>
      <c r="T8" s="2949" t="s">
        <v>2877</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2878</v>
      </c>
      <c r="Q9" s="2942" t="s">
        <v>182</v>
      </c>
      <c r="R9" s="2942" t="s">
        <v>183</v>
      </c>
      <c r="S9" s="2942" t="s">
        <v>200</v>
      </c>
    </row>
    <row r="10" spans="1:20">
      <c r="A10" s="2947" t="s">
        <v>184</v>
      </c>
      <c r="B10" s="2938" t="s">
        <v>2839</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2879</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2880</v>
      </c>
      <c r="P11" s="2942" t="s">
        <v>191</v>
      </c>
      <c r="Q11" s="2942" t="s">
        <v>199</v>
      </c>
      <c r="R11" s="2942" t="s">
        <v>2881</v>
      </c>
      <c r="S11" s="2942" t="s">
        <v>2882</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2883</v>
      </c>
      <c r="P12" s="2942" t="s">
        <v>2884</v>
      </c>
      <c r="Q12" s="2942" t="s">
        <v>2885</v>
      </c>
      <c r="R12" s="2942" t="s">
        <v>2886</v>
      </c>
      <c r="S12" s="2942" t="s">
        <v>2887</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2888</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2889</v>
      </c>
      <c r="K14" s="2943" t="s">
        <v>215</v>
      </c>
      <c r="L14" s="2942" t="s">
        <v>216</v>
      </c>
      <c r="M14" s="2942" t="s">
        <v>217</v>
      </c>
      <c r="N14" s="2942" t="s">
        <v>218</v>
      </c>
      <c r="O14" s="2942" t="s">
        <v>240</v>
      </c>
      <c r="P14" s="2942" t="s">
        <v>213</v>
      </c>
      <c r="Q14" s="2942" t="s">
        <v>2890</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2891</v>
      </c>
      <c r="P15" s="2942" t="s">
        <v>2892</v>
      </c>
      <c r="Q15" s="2942" t="s">
        <v>242</v>
      </c>
      <c r="R15" s="2942" t="s">
        <v>2893</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2894</v>
      </c>
      <c r="P16" s="2942" t="s">
        <v>227</v>
      </c>
      <c r="Q16" s="2942" t="s">
        <v>250</v>
      </c>
      <c r="R16" s="2942" t="s">
        <v>207</v>
      </c>
      <c r="S16" s="2942" t="s">
        <v>2895</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2896</v>
      </c>
      <c r="P17" s="2942" t="s">
        <v>2897</v>
      </c>
      <c r="Q17" s="2942" t="s">
        <v>256</v>
      </c>
      <c r="R17" s="2942" t="s">
        <v>2898</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2899</v>
      </c>
      <c r="P18" s="2942" t="s">
        <v>241</v>
      </c>
      <c r="Q18" s="2942" t="s">
        <v>2900</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2901</v>
      </c>
      <c r="P19" s="2942" t="s">
        <v>249</v>
      </c>
      <c r="Q19" s="2942" t="s">
        <v>2902</v>
      </c>
      <c r="R19" s="2942" t="s">
        <v>265</v>
      </c>
      <c r="S19" s="2942" t="s">
        <v>2903</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2904</v>
      </c>
      <c r="P20" s="2942" t="s">
        <v>2905</v>
      </c>
      <c r="Q20" s="2942" t="s">
        <v>290</v>
      </c>
      <c r="R20" s="2942" t="s">
        <v>2906</v>
      </c>
      <c r="S20" s="2942" t="s">
        <v>277</v>
      </c>
    </row>
    <row r="21" spans="1:19" ht="14.25" customHeight="1" thickBot="1">
      <c r="A21" s="2942" t="s">
        <v>184</v>
      </c>
      <c r="B21" s="2943" t="s">
        <v>208</v>
      </c>
      <c r="C21" s="2942">
        <v>32370</v>
      </c>
      <c r="D21" s="2942">
        <v>26730</v>
      </c>
      <c r="E21" s="2942">
        <v>26640</v>
      </c>
      <c r="F21" s="2942"/>
      <c r="G21" s="2942">
        <v>19440</v>
      </c>
      <c r="J21" s="2949" t="s">
        <v>2907</v>
      </c>
      <c r="K21" s="2943" t="s">
        <v>267</v>
      </c>
      <c r="L21" s="2942" t="s">
        <v>268</v>
      </c>
      <c r="M21" s="2942" t="s">
        <v>269</v>
      </c>
      <c r="N21" s="2942" t="s">
        <v>270</v>
      </c>
      <c r="O21" s="2942" t="s">
        <v>264</v>
      </c>
      <c r="P21" s="2942" t="s">
        <v>283</v>
      </c>
      <c r="Q21" s="2942" t="s">
        <v>293</v>
      </c>
      <c r="R21" s="2942" t="s">
        <v>2908</v>
      </c>
      <c r="S21" s="2949" t="s">
        <v>2909</v>
      </c>
    </row>
    <row r="22" spans="1:19" ht="14.25" customHeight="1">
      <c r="A22" s="2942" t="s">
        <v>184</v>
      </c>
      <c r="B22" s="2943" t="s">
        <v>2889</v>
      </c>
      <c r="C22" s="2942">
        <v>29830</v>
      </c>
      <c r="D22" s="2942">
        <v>27600</v>
      </c>
      <c r="E22" s="2942">
        <v>28150</v>
      </c>
      <c r="F22" s="2942"/>
      <c r="G22" s="2942">
        <v>20080</v>
      </c>
      <c r="K22" s="2943" t="s">
        <v>2910</v>
      </c>
      <c r="L22" s="2942" t="s">
        <v>272</v>
      </c>
      <c r="M22" s="2942" t="s">
        <v>273</v>
      </c>
      <c r="N22" s="2942" t="s">
        <v>274</v>
      </c>
      <c r="O22" s="2942" t="s">
        <v>2911</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2912</v>
      </c>
      <c r="L23" s="2942" t="s">
        <v>278</v>
      </c>
      <c r="M23" s="2942" t="s">
        <v>279</v>
      </c>
      <c r="N23" s="2942" t="s">
        <v>2913</v>
      </c>
      <c r="O23" s="2942" t="s">
        <v>2914</v>
      </c>
      <c r="P23" s="2942" t="s">
        <v>289</v>
      </c>
      <c r="Q23" s="2942" t="s">
        <v>298</v>
      </c>
      <c r="R23" s="2942" t="s">
        <v>2915</v>
      </c>
    </row>
    <row r="24" spans="1:19" ht="14.25" customHeight="1">
      <c r="A24" s="2942" t="s">
        <v>184</v>
      </c>
      <c r="B24" s="2943" t="s">
        <v>230</v>
      </c>
      <c r="C24" s="2942">
        <v>27930</v>
      </c>
      <c r="D24" s="2942">
        <v>32260</v>
      </c>
      <c r="E24" s="2942">
        <v>32120</v>
      </c>
      <c r="F24" s="2942"/>
      <c r="G24" s="2942">
        <v>23470</v>
      </c>
      <c r="K24" s="2943" t="s">
        <v>2916</v>
      </c>
      <c r="L24" s="2942" t="s">
        <v>281</v>
      </c>
      <c r="M24" s="2942" t="s">
        <v>282</v>
      </c>
      <c r="N24" s="2942" t="s">
        <v>2917</v>
      </c>
      <c r="O24" s="2942" t="s">
        <v>285</v>
      </c>
      <c r="P24" s="2942" t="s">
        <v>2918</v>
      </c>
      <c r="Q24" s="2951" t="s">
        <v>2919</v>
      </c>
      <c r="R24" s="2942" t="s">
        <v>2920</v>
      </c>
    </row>
    <row r="25" spans="1:19" ht="14.25" customHeight="1">
      <c r="A25" s="2942" t="s">
        <v>184</v>
      </c>
      <c r="B25" s="2943" t="s">
        <v>235</v>
      </c>
      <c r="C25" s="2942">
        <v>32230</v>
      </c>
      <c r="D25" s="2942">
        <v>29640</v>
      </c>
      <c r="E25" s="2942">
        <v>29510</v>
      </c>
      <c r="F25" s="2942"/>
      <c r="G25" s="2942">
        <v>21560</v>
      </c>
      <c r="K25" s="2943" t="s">
        <v>2921</v>
      </c>
      <c r="L25" s="2942" t="s">
        <v>2922</v>
      </c>
      <c r="M25" s="2942" t="s">
        <v>284</v>
      </c>
      <c r="N25" s="2942" t="s">
        <v>292</v>
      </c>
      <c r="O25" s="2942" t="s">
        <v>288</v>
      </c>
      <c r="P25" s="2942" t="s">
        <v>275</v>
      </c>
      <c r="Q25" s="2951" t="s">
        <v>271</v>
      </c>
      <c r="R25" s="2942" t="s">
        <v>2923</v>
      </c>
    </row>
    <row r="26" spans="1:19" ht="14.25" customHeight="1" thickBot="1">
      <c r="A26" s="2942" t="s">
        <v>184</v>
      </c>
      <c r="B26" s="2943" t="s">
        <v>244</v>
      </c>
      <c r="C26" s="2942">
        <v>31690</v>
      </c>
      <c r="D26" s="2942">
        <v>27650</v>
      </c>
      <c r="E26" s="2942">
        <v>28200</v>
      </c>
      <c r="F26" s="2942"/>
      <c r="G26" s="2942">
        <v>20110</v>
      </c>
      <c r="K26" s="2948" t="s">
        <v>2924</v>
      </c>
      <c r="L26" s="2942" t="s">
        <v>2925</v>
      </c>
      <c r="M26" s="2942" t="s">
        <v>287</v>
      </c>
      <c r="N26" s="2942" t="s">
        <v>294</v>
      </c>
      <c r="O26" s="2942" t="s">
        <v>2926</v>
      </c>
      <c r="P26" s="2942" t="s">
        <v>2927</v>
      </c>
      <c r="Q26" s="2951" t="s">
        <v>276</v>
      </c>
      <c r="R26" s="2942" t="s">
        <v>2928</v>
      </c>
    </row>
    <row r="27" spans="1:19" ht="14.25" customHeight="1">
      <c r="A27" s="2942" t="s">
        <v>184</v>
      </c>
      <c r="B27" s="2943" t="s">
        <v>251</v>
      </c>
      <c r="C27" s="2942">
        <v>29610</v>
      </c>
      <c r="D27" s="2942">
        <v>27770</v>
      </c>
      <c r="E27" s="2942">
        <v>28300</v>
      </c>
      <c r="F27" s="2942"/>
      <c r="G27" s="2942">
        <v>20210</v>
      </c>
      <c r="L27" s="2942" t="s">
        <v>2929</v>
      </c>
      <c r="M27" s="2942" t="s">
        <v>291</v>
      </c>
      <c r="N27" s="2942" t="s">
        <v>297</v>
      </c>
      <c r="O27" s="2942" t="s">
        <v>2930</v>
      </c>
      <c r="P27" s="2942" t="s">
        <v>2931</v>
      </c>
      <c r="Q27" s="2942" t="s">
        <v>2932</v>
      </c>
      <c r="R27" s="2942" t="s">
        <v>2933</v>
      </c>
    </row>
    <row r="28" spans="1:19" ht="14.25" customHeight="1">
      <c r="A28" s="2942" t="s">
        <v>184</v>
      </c>
      <c r="B28" s="2943" t="s">
        <v>259</v>
      </c>
      <c r="C28" s="2942"/>
      <c r="D28" s="2942">
        <v>31520</v>
      </c>
      <c r="E28" s="2942">
        <v>31410</v>
      </c>
      <c r="F28" s="2942"/>
      <c r="G28" s="2942">
        <v>22940</v>
      </c>
      <c r="L28" s="2942" t="s">
        <v>2934</v>
      </c>
      <c r="M28" s="2942" t="s">
        <v>2935</v>
      </c>
      <c r="N28" s="2942" t="s">
        <v>2936</v>
      </c>
      <c r="O28" s="2942" t="s">
        <v>2937</v>
      </c>
      <c r="P28" s="2942" t="s">
        <v>2938</v>
      </c>
      <c r="Q28" s="2942" t="s">
        <v>2939</v>
      </c>
      <c r="R28" s="2942" t="s">
        <v>2940</v>
      </c>
    </row>
    <row r="29" spans="1:19" ht="14.25" customHeight="1" thickBot="1">
      <c r="A29" s="2950" t="s">
        <v>184</v>
      </c>
      <c r="B29" s="2952" t="s">
        <v>2907</v>
      </c>
      <c r="C29" s="2953"/>
      <c r="D29" s="2953">
        <v>29460</v>
      </c>
      <c r="E29" s="2953">
        <v>28640</v>
      </c>
      <c r="F29" s="2953"/>
      <c r="G29" s="2953">
        <v>21430</v>
      </c>
      <c r="L29" s="2942" t="s">
        <v>2941</v>
      </c>
      <c r="M29" s="2942" t="s">
        <v>2942</v>
      </c>
      <c r="N29" s="2942" t="s">
        <v>2943</v>
      </c>
      <c r="O29" s="2942" t="s">
        <v>2944</v>
      </c>
      <c r="P29" s="2942" t="s">
        <v>2945</v>
      </c>
      <c r="Q29" s="2942" t="s">
        <v>2946</v>
      </c>
      <c r="R29" s="2942" t="s">
        <v>280</v>
      </c>
    </row>
    <row r="30" spans="1:19" ht="14.25" customHeight="1">
      <c r="A30" s="2947" t="s">
        <v>296</v>
      </c>
      <c r="B30" s="2938" t="s">
        <v>2840</v>
      </c>
      <c r="C30" s="2938">
        <v>26890</v>
      </c>
      <c r="D30" s="2938">
        <v>26770</v>
      </c>
      <c r="E30" s="2938">
        <v>25700</v>
      </c>
      <c r="F30" s="2938">
        <v>8180</v>
      </c>
      <c r="G30" s="2954">
        <v>18740</v>
      </c>
      <c r="L30" s="2942" t="s">
        <v>2947</v>
      </c>
      <c r="M30" s="2942" t="s">
        <v>2948</v>
      </c>
      <c r="N30" s="2942" t="s">
        <v>2949</v>
      </c>
      <c r="O30" s="2942" t="s">
        <v>2950</v>
      </c>
      <c r="P30" s="2942" t="s">
        <v>2951</v>
      </c>
      <c r="Q30" s="2942" t="s">
        <v>2952</v>
      </c>
      <c r="R30" s="2942" t="s">
        <v>2953</v>
      </c>
    </row>
    <row r="31" spans="1:19" ht="14.25" customHeight="1">
      <c r="A31" s="2942" t="s">
        <v>296</v>
      </c>
      <c r="B31" s="2943" t="s">
        <v>129</v>
      </c>
      <c r="C31" s="2942">
        <v>24550</v>
      </c>
      <c r="D31" s="2942">
        <v>23990</v>
      </c>
      <c r="E31" s="2942">
        <v>22930</v>
      </c>
      <c r="F31" s="2942">
        <v>7470</v>
      </c>
      <c r="G31" s="2955">
        <v>16790</v>
      </c>
      <c r="L31" s="2942" t="s">
        <v>2954</v>
      </c>
      <c r="M31" s="2942" t="s">
        <v>2955</v>
      </c>
      <c r="N31" s="2942" t="s">
        <v>2956</v>
      </c>
      <c r="O31" s="2942" t="s">
        <v>2957</v>
      </c>
      <c r="P31" s="2942" t="s">
        <v>2958</v>
      </c>
      <c r="Q31" s="2942" t="s">
        <v>2959</v>
      </c>
      <c r="R31" s="2942" t="s">
        <v>2960</v>
      </c>
    </row>
    <row r="32" spans="1:19" ht="14.25" customHeight="1" thickBot="1">
      <c r="A32" s="2942" t="s">
        <v>296</v>
      </c>
      <c r="B32" s="2943" t="s">
        <v>138</v>
      </c>
      <c r="C32" s="2942">
        <v>27210</v>
      </c>
      <c r="D32" s="2942">
        <v>23240</v>
      </c>
      <c r="E32" s="2942">
        <v>23260</v>
      </c>
      <c r="F32" s="2942">
        <v>7130</v>
      </c>
      <c r="G32" s="2955">
        <v>16270</v>
      </c>
      <c r="L32" s="2942" t="s">
        <v>2961</v>
      </c>
      <c r="M32" s="2942" t="s">
        <v>2962</v>
      </c>
      <c r="N32" s="2942" t="s">
        <v>300</v>
      </c>
      <c r="O32" s="2942" t="s">
        <v>2963</v>
      </c>
      <c r="P32" s="2942" t="s">
        <v>299</v>
      </c>
      <c r="Q32" s="2942" t="s">
        <v>2964</v>
      </c>
      <c r="R32" s="2949" t="s">
        <v>2965</v>
      </c>
    </row>
    <row r="33" spans="1:17" ht="14.25" customHeight="1" thickBot="1">
      <c r="A33" s="2942" t="s">
        <v>296</v>
      </c>
      <c r="B33" s="2943" t="s">
        <v>147</v>
      </c>
      <c r="C33" s="2942">
        <v>27300</v>
      </c>
      <c r="D33" s="2942">
        <v>22980</v>
      </c>
      <c r="E33" s="2942">
        <v>24260</v>
      </c>
      <c r="F33" s="2942">
        <v>5860</v>
      </c>
      <c r="G33" s="2955">
        <v>16090</v>
      </c>
      <c r="L33" s="2949" t="s">
        <v>2966</v>
      </c>
      <c r="M33" s="2942" t="s">
        <v>2967</v>
      </c>
      <c r="N33" s="2942" t="s">
        <v>301</v>
      </c>
      <c r="O33" s="2942" t="s">
        <v>2968</v>
      </c>
      <c r="P33" s="2942" t="s">
        <v>2969</v>
      </c>
      <c r="Q33" s="2942" t="s">
        <v>2970</v>
      </c>
    </row>
    <row r="34" spans="1:17" ht="14.25" customHeight="1">
      <c r="A34" s="2942" t="s">
        <v>296</v>
      </c>
      <c r="B34" s="2943" t="s">
        <v>156</v>
      </c>
      <c r="C34" s="2942">
        <v>23090</v>
      </c>
      <c r="D34" s="2942">
        <v>23390</v>
      </c>
      <c r="E34" s="2942">
        <v>23510</v>
      </c>
      <c r="F34" s="2942">
        <v>6700</v>
      </c>
      <c r="G34" s="2955">
        <v>16370</v>
      </c>
      <c r="M34" s="2942" t="s">
        <v>2971</v>
      </c>
      <c r="N34" s="2942" t="s">
        <v>302</v>
      </c>
      <c r="O34" s="2942" t="s">
        <v>2972</v>
      </c>
      <c r="P34" s="2942" t="s">
        <v>2973</v>
      </c>
      <c r="Q34" s="2942" t="s">
        <v>2974</v>
      </c>
    </row>
    <row r="35" spans="1:17" ht="14.25" customHeight="1">
      <c r="A35" s="2942" t="s">
        <v>296</v>
      </c>
      <c r="B35" s="2943" t="s">
        <v>163</v>
      </c>
      <c r="C35" s="2942">
        <v>27270</v>
      </c>
      <c r="D35" s="2942">
        <v>24270</v>
      </c>
      <c r="E35" s="2942">
        <v>24950</v>
      </c>
      <c r="F35" s="2942">
        <v>6600</v>
      </c>
      <c r="G35" s="2955">
        <v>16990</v>
      </c>
      <c r="M35" s="2942" t="s">
        <v>2975</v>
      </c>
      <c r="N35" s="2942" t="s">
        <v>2976</v>
      </c>
      <c r="O35" s="2942" t="s">
        <v>2977</v>
      </c>
      <c r="P35" s="2942" t="s">
        <v>2978</v>
      </c>
      <c r="Q35" s="2942" t="s">
        <v>2979</v>
      </c>
    </row>
    <row r="36" spans="1:17" ht="14.25" customHeight="1">
      <c r="A36" s="2942" t="s">
        <v>296</v>
      </c>
      <c r="B36" s="2943" t="s">
        <v>169</v>
      </c>
      <c r="C36" s="2942">
        <v>23490</v>
      </c>
      <c r="D36" s="2942">
        <v>23020</v>
      </c>
      <c r="E36" s="2942">
        <v>25230</v>
      </c>
      <c r="F36" s="2942">
        <v>6780</v>
      </c>
      <c r="G36" s="2955">
        <v>16120</v>
      </c>
      <c r="M36" s="2942" t="s">
        <v>2980</v>
      </c>
      <c r="N36" s="2942" t="s">
        <v>2981</v>
      </c>
      <c r="O36" s="2942" t="s">
        <v>2982</v>
      </c>
      <c r="P36" s="2942" t="s">
        <v>2983</v>
      </c>
      <c r="Q36" s="2942" t="s">
        <v>2984</v>
      </c>
    </row>
    <row r="37" spans="1:17" ht="14.25" customHeight="1">
      <c r="A37" s="2942" t="s">
        <v>296</v>
      </c>
      <c r="B37" s="2943" t="s">
        <v>176</v>
      </c>
      <c r="C37" s="2942">
        <v>24380</v>
      </c>
      <c r="D37" s="2942">
        <v>22240</v>
      </c>
      <c r="E37" s="2942">
        <v>25980</v>
      </c>
      <c r="F37" s="2942">
        <v>8160</v>
      </c>
      <c r="G37" s="2955">
        <v>15570</v>
      </c>
      <c r="M37" s="2942" t="s">
        <v>2985</v>
      </c>
      <c r="N37" s="2942" t="s">
        <v>2986</v>
      </c>
      <c r="O37" s="2942" t="s">
        <v>2987</v>
      </c>
      <c r="P37" s="2942" t="s">
        <v>2988</v>
      </c>
      <c r="Q37" s="2942" t="s">
        <v>2989</v>
      </c>
    </row>
    <row r="38" spans="1:17" ht="14.25" customHeight="1">
      <c r="A38" s="2942" t="s">
        <v>296</v>
      </c>
      <c r="B38" s="2943" t="s">
        <v>186</v>
      </c>
      <c r="C38" s="2942">
        <v>23120</v>
      </c>
      <c r="D38" s="2942">
        <v>24630</v>
      </c>
      <c r="E38" s="2942">
        <v>25030</v>
      </c>
      <c r="F38" s="2942">
        <v>7710</v>
      </c>
      <c r="G38" s="2955">
        <v>17240</v>
      </c>
      <c r="M38" s="2942" t="s">
        <v>2990</v>
      </c>
      <c r="N38" s="2942" t="s">
        <v>2991</v>
      </c>
      <c r="O38" s="2942" t="s">
        <v>2992</v>
      </c>
      <c r="P38" s="2942" t="s">
        <v>2993</v>
      </c>
      <c r="Q38" s="2942" t="s">
        <v>2994</v>
      </c>
    </row>
    <row r="39" spans="1:17" ht="14.25" customHeight="1">
      <c r="A39" s="2942" t="s">
        <v>296</v>
      </c>
      <c r="B39" s="2943" t="s">
        <v>195</v>
      </c>
      <c r="C39" s="2942">
        <v>22330</v>
      </c>
      <c r="D39" s="2942">
        <v>21140</v>
      </c>
      <c r="E39" s="2942">
        <v>23970</v>
      </c>
      <c r="F39" s="2942">
        <v>7940</v>
      </c>
      <c r="G39" s="2955">
        <v>14790</v>
      </c>
      <c r="M39" s="2942" t="s">
        <v>2995</v>
      </c>
      <c r="N39" s="2942" t="s">
        <v>2996</v>
      </c>
      <c r="O39" s="2942" t="s">
        <v>2997</v>
      </c>
      <c r="P39" s="2942" t="s">
        <v>2998</v>
      </c>
      <c r="Q39" s="2942" t="s">
        <v>2999</v>
      </c>
    </row>
    <row r="40" spans="1:17" ht="14.25" customHeight="1">
      <c r="A40" s="2942" t="s">
        <v>296</v>
      </c>
      <c r="B40" s="2943" t="s">
        <v>202</v>
      </c>
      <c r="C40" s="2942">
        <v>24740</v>
      </c>
      <c r="D40" s="2942">
        <v>24690</v>
      </c>
      <c r="E40" s="2942">
        <v>22610</v>
      </c>
      <c r="F40" s="2942"/>
      <c r="G40" s="2955">
        <v>17280</v>
      </c>
      <c r="M40" s="2942" t="s">
        <v>3000</v>
      </c>
      <c r="N40" s="2942" t="s">
        <v>3001</v>
      </c>
      <c r="O40" s="2942" t="s">
        <v>3002</v>
      </c>
      <c r="P40" s="2942" t="s">
        <v>3003</v>
      </c>
      <c r="Q40" s="2942" t="s">
        <v>3004</v>
      </c>
    </row>
    <row r="41" spans="1:17" ht="14.25" customHeight="1" thickBot="1">
      <c r="A41" s="2942" t="s">
        <v>296</v>
      </c>
      <c r="B41" s="2943" t="s">
        <v>209</v>
      </c>
      <c r="C41" s="2942">
        <v>21220</v>
      </c>
      <c r="D41" s="2942">
        <v>21120</v>
      </c>
      <c r="E41" s="2942">
        <v>22590</v>
      </c>
      <c r="F41" s="2942"/>
      <c r="G41" s="2955">
        <v>14780</v>
      </c>
      <c r="M41" s="2949" t="s">
        <v>3005</v>
      </c>
      <c r="N41" s="2942" t="s">
        <v>3006</v>
      </c>
      <c r="O41" s="2942" t="s">
        <v>3007</v>
      </c>
      <c r="P41" s="2942" t="s">
        <v>3008</v>
      </c>
      <c r="Q41" s="2942" t="s">
        <v>3009</v>
      </c>
    </row>
    <row r="42" spans="1:17" ht="14.25" customHeight="1">
      <c r="A42" s="2942" t="s">
        <v>296</v>
      </c>
      <c r="B42" s="2943" t="s">
        <v>215</v>
      </c>
      <c r="C42" s="2942">
        <v>24800</v>
      </c>
      <c r="D42" s="2942">
        <v>22280</v>
      </c>
      <c r="E42" s="2942">
        <v>24350</v>
      </c>
      <c r="F42" s="2942"/>
      <c r="G42" s="2955">
        <v>15590</v>
      </c>
      <c r="N42" s="2942" t="s">
        <v>3010</v>
      </c>
      <c r="O42" s="2942" t="s">
        <v>3011</v>
      </c>
      <c r="P42" s="2942" t="s">
        <v>3012</v>
      </c>
      <c r="Q42" s="2942" t="s">
        <v>3013</v>
      </c>
    </row>
    <row r="43" spans="1:17" ht="14.25" customHeight="1">
      <c r="A43" s="2942" t="s">
        <v>3014</v>
      </c>
      <c r="B43" s="2943" t="s">
        <v>223</v>
      </c>
      <c r="C43" s="2942">
        <v>21210</v>
      </c>
      <c r="D43" s="2942">
        <v>21160</v>
      </c>
      <c r="E43" s="2942">
        <v>22650</v>
      </c>
      <c r="F43" s="2942"/>
      <c r="G43" s="2955">
        <v>14800</v>
      </c>
      <c r="N43" s="2942" t="s">
        <v>3015</v>
      </c>
      <c r="O43" s="2942" t="s">
        <v>3016</v>
      </c>
      <c r="P43" s="2942" t="s">
        <v>3017</v>
      </c>
      <c r="Q43" s="2942" t="s">
        <v>3018</v>
      </c>
    </row>
    <row r="44" spans="1:17" ht="14.25" customHeight="1" thickBot="1">
      <c r="A44" s="2942" t="s">
        <v>296</v>
      </c>
      <c r="B44" s="2943" t="s">
        <v>231</v>
      </c>
      <c r="C44" s="2942">
        <v>22370</v>
      </c>
      <c r="D44" s="2942">
        <v>23140</v>
      </c>
      <c r="E44" s="2942">
        <v>25090</v>
      </c>
      <c r="F44" s="2942"/>
      <c r="G44" s="2955">
        <v>16190</v>
      </c>
      <c r="N44" s="2942" t="s">
        <v>3019</v>
      </c>
      <c r="O44" s="2942" t="s">
        <v>3020</v>
      </c>
      <c r="P44" s="2949" t="s">
        <v>3021</v>
      </c>
      <c r="Q44" s="2942" t="s">
        <v>3022</v>
      </c>
    </row>
    <row r="45" spans="1:17" ht="14.25" customHeight="1" thickBot="1">
      <c r="A45" s="2942" t="s">
        <v>296</v>
      </c>
      <c r="B45" s="2943" t="s">
        <v>236</v>
      </c>
      <c r="C45" s="2942">
        <v>21240</v>
      </c>
      <c r="D45" s="2942">
        <v>27050</v>
      </c>
      <c r="E45" s="2942">
        <v>28000</v>
      </c>
      <c r="F45" s="2942"/>
      <c r="G45" s="2955">
        <v>18940</v>
      </c>
      <c r="N45" s="2942" t="s">
        <v>3023</v>
      </c>
      <c r="O45" s="2949" t="s">
        <v>3024</v>
      </c>
      <c r="Q45" s="2942" t="s">
        <v>3025</v>
      </c>
    </row>
    <row r="46" spans="1:17" ht="14.25" customHeight="1">
      <c r="A46" s="2942" t="s">
        <v>296</v>
      </c>
      <c r="B46" s="2943" t="s">
        <v>245</v>
      </c>
      <c r="C46" s="2942">
        <v>23240</v>
      </c>
      <c r="D46" s="2942">
        <v>23000</v>
      </c>
      <c r="E46" s="2942">
        <v>24980</v>
      </c>
      <c r="F46" s="2942"/>
      <c r="G46" s="2955">
        <v>16100</v>
      </c>
      <c r="N46" s="2942" t="s">
        <v>3026</v>
      </c>
      <c r="Q46" s="2942" t="s">
        <v>3027</v>
      </c>
    </row>
    <row r="47" spans="1:17" ht="14.25" customHeight="1">
      <c r="A47" s="2942" t="s">
        <v>296</v>
      </c>
      <c r="B47" s="2943" t="s">
        <v>252</v>
      </c>
      <c r="C47" s="2942">
        <v>27150</v>
      </c>
      <c r="D47" s="2942">
        <v>23310</v>
      </c>
      <c r="E47" s="2942">
        <v>25150</v>
      </c>
      <c r="F47" s="2942"/>
      <c r="G47" s="2955">
        <v>16310</v>
      </c>
      <c r="N47" s="2942" t="s">
        <v>3028</v>
      </c>
      <c r="Q47" s="2942" t="s">
        <v>3029</v>
      </c>
    </row>
    <row r="48" spans="1:17" ht="14.25" customHeight="1">
      <c r="A48" s="2942" t="s">
        <v>296</v>
      </c>
      <c r="B48" s="2943" t="s">
        <v>260</v>
      </c>
      <c r="C48" s="2942">
        <v>23100</v>
      </c>
      <c r="D48" s="2942">
        <v>21110</v>
      </c>
      <c r="E48" s="2942">
        <v>23080</v>
      </c>
      <c r="F48" s="2942"/>
      <c r="G48" s="2955">
        <v>14780</v>
      </c>
      <c r="N48" s="2942" t="s">
        <v>3030</v>
      </c>
      <c r="Q48" s="2942" t="s">
        <v>3031</v>
      </c>
    </row>
    <row r="49" spans="1:17" ht="14.25" customHeight="1">
      <c r="A49" s="2942" t="s">
        <v>296</v>
      </c>
      <c r="B49" s="2943" t="s">
        <v>267</v>
      </c>
      <c r="C49" s="2942">
        <v>23400</v>
      </c>
      <c r="D49" s="2942">
        <v>22920</v>
      </c>
      <c r="E49" s="2942">
        <v>24900</v>
      </c>
      <c r="F49" s="2942"/>
      <c r="G49" s="2955">
        <v>16040</v>
      </c>
      <c r="N49" s="2942" t="s">
        <v>3032</v>
      </c>
      <c r="Q49" s="2942" t="s">
        <v>3033</v>
      </c>
    </row>
    <row r="50" spans="1:17" ht="14.25" customHeight="1">
      <c r="A50" s="2942" t="s">
        <v>296</v>
      </c>
      <c r="B50" s="2943" t="s">
        <v>2910</v>
      </c>
      <c r="C50" s="2942">
        <v>21200</v>
      </c>
      <c r="D50" s="2942">
        <v>26540</v>
      </c>
      <c r="E50" s="2942">
        <v>23200</v>
      </c>
      <c r="F50" s="2942"/>
      <c r="G50" s="2955">
        <v>18580</v>
      </c>
      <c r="N50" s="2942" t="s">
        <v>3034</v>
      </c>
      <c r="Q50" s="2943" t="s">
        <v>3035</v>
      </c>
    </row>
    <row r="51" spans="1:17" ht="14.25" customHeight="1" thickBot="1">
      <c r="A51" s="2942" t="s">
        <v>296</v>
      </c>
      <c r="B51" s="2943" t="s">
        <v>2912</v>
      </c>
      <c r="C51" s="2942">
        <v>23000</v>
      </c>
      <c r="D51" s="2942">
        <v>23460</v>
      </c>
      <c r="E51" s="2942">
        <v>25290</v>
      </c>
      <c r="F51" s="2942"/>
      <c r="G51" s="2955">
        <v>16420</v>
      </c>
      <c r="N51" s="2942" t="s">
        <v>3036</v>
      </c>
      <c r="Q51" s="2949" t="s">
        <v>3037</v>
      </c>
    </row>
    <row r="52" spans="1:17" ht="14.25" customHeight="1">
      <c r="A52" s="2942" t="s">
        <v>296</v>
      </c>
      <c r="B52" s="2943" t="s">
        <v>2916</v>
      </c>
      <c r="C52" s="2942">
        <v>26660</v>
      </c>
      <c r="D52" s="2942">
        <v>22350</v>
      </c>
      <c r="E52" s="2942">
        <v>22920</v>
      </c>
      <c r="F52" s="2942"/>
      <c r="G52" s="2955">
        <v>15640</v>
      </c>
      <c r="N52" s="2942" t="s">
        <v>3038</v>
      </c>
    </row>
    <row r="53" spans="1:17" ht="14.25" customHeight="1">
      <c r="A53" s="2942" t="s">
        <v>296</v>
      </c>
      <c r="B53" s="2943" t="s">
        <v>2921</v>
      </c>
      <c r="C53" s="2942">
        <v>23580</v>
      </c>
      <c r="D53" s="2942"/>
      <c r="E53" s="2942">
        <v>24280</v>
      </c>
      <c r="F53" s="2942"/>
      <c r="G53" s="2955"/>
      <c r="N53" s="2942" t="s">
        <v>3039</v>
      </c>
    </row>
    <row r="54" spans="1:17" ht="14.25" customHeight="1" thickBot="1">
      <c r="A54" s="2956" t="s">
        <v>296</v>
      </c>
      <c r="B54" s="2948" t="s">
        <v>2924</v>
      </c>
      <c r="C54" s="2949">
        <v>22460</v>
      </c>
      <c r="D54" s="2949"/>
      <c r="E54" s="2949"/>
      <c r="F54" s="2949"/>
      <c r="G54" s="2957"/>
      <c r="N54" s="2942" t="s">
        <v>3040</v>
      </c>
    </row>
    <row r="55" spans="1:17" ht="14.25" customHeight="1">
      <c r="A55" s="2947" t="s">
        <v>110</v>
      </c>
      <c r="B55" s="2938" t="s">
        <v>3041</v>
      </c>
      <c r="C55" s="2942">
        <v>21970</v>
      </c>
      <c r="D55" s="2942">
        <v>20370</v>
      </c>
      <c r="E55" s="2942">
        <v>20180</v>
      </c>
      <c r="F55" s="2942">
        <v>5730</v>
      </c>
      <c r="G55" s="2942">
        <v>13820</v>
      </c>
      <c r="N55" s="2942" t="s">
        <v>3042</v>
      </c>
    </row>
    <row r="56" spans="1:17" ht="14.25" customHeight="1">
      <c r="A56" s="2942" t="s">
        <v>110</v>
      </c>
      <c r="B56" s="2942" t="s">
        <v>130</v>
      </c>
      <c r="C56" s="2942">
        <v>20470</v>
      </c>
      <c r="D56" s="2942">
        <v>20700</v>
      </c>
      <c r="E56" s="2942">
        <v>20380</v>
      </c>
      <c r="F56" s="2942">
        <v>4760</v>
      </c>
      <c r="G56" s="2942">
        <v>14050</v>
      </c>
      <c r="N56" s="2942" t="s">
        <v>3043</v>
      </c>
    </row>
    <row r="57" spans="1:17" ht="14.25" customHeight="1">
      <c r="A57" s="2942" t="s">
        <v>110</v>
      </c>
      <c r="B57" s="2942" t="s">
        <v>139</v>
      </c>
      <c r="C57" s="2942">
        <v>20790</v>
      </c>
      <c r="D57" s="2942">
        <v>21370</v>
      </c>
      <c r="E57" s="2942">
        <v>20890</v>
      </c>
      <c r="F57" s="2942">
        <v>4910</v>
      </c>
      <c r="G57" s="2942">
        <v>14510</v>
      </c>
      <c r="N57" s="2942" t="s">
        <v>3044</v>
      </c>
    </row>
    <row r="58" spans="1:17" ht="14.25" customHeight="1">
      <c r="A58" s="2942" t="s">
        <v>110</v>
      </c>
      <c r="B58" s="2942" t="s">
        <v>148</v>
      </c>
      <c r="C58" s="2942">
        <v>21460</v>
      </c>
      <c r="D58" s="2942">
        <v>20920</v>
      </c>
      <c r="E58" s="2942">
        <v>23410</v>
      </c>
      <c r="F58" s="2942">
        <v>5100</v>
      </c>
      <c r="G58" s="2942">
        <v>14200</v>
      </c>
      <c r="N58" s="2942" t="s">
        <v>3045</v>
      </c>
    </row>
    <row r="59" spans="1:17" ht="14.25" customHeight="1">
      <c r="A59" s="2942" t="s">
        <v>110</v>
      </c>
      <c r="B59" s="2942" t="s">
        <v>157</v>
      </c>
      <c r="C59" s="2942">
        <v>21000</v>
      </c>
      <c r="D59" s="2942">
        <v>21550</v>
      </c>
      <c r="E59" s="2942">
        <v>21150</v>
      </c>
      <c r="F59" s="2942">
        <v>5250</v>
      </c>
      <c r="G59" s="2942">
        <v>14630</v>
      </c>
      <c r="N59" s="2942" t="s">
        <v>3046</v>
      </c>
    </row>
    <row r="60" spans="1:17" ht="14.25" customHeight="1">
      <c r="A60" s="2942" t="s">
        <v>110</v>
      </c>
      <c r="B60" s="2942" t="s">
        <v>164</v>
      </c>
      <c r="C60" s="2942">
        <v>21640</v>
      </c>
      <c r="D60" s="2942">
        <v>21260</v>
      </c>
      <c r="E60" s="2942">
        <v>24040</v>
      </c>
      <c r="F60" s="2942">
        <v>4470</v>
      </c>
      <c r="G60" s="2942">
        <v>14430</v>
      </c>
      <c r="N60" s="2942" t="s">
        <v>3047</v>
      </c>
    </row>
    <row r="61" spans="1:17" ht="14.25" customHeight="1">
      <c r="A61" s="2942" t="s">
        <v>110</v>
      </c>
      <c r="B61" s="2942" t="s">
        <v>170</v>
      </c>
      <c r="C61" s="2942">
        <v>21330</v>
      </c>
      <c r="D61" s="2942">
        <v>18640</v>
      </c>
      <c r="E61" s="2942">
        <v>21190</v>
      </c>
      <c r="F61" s="2942">
        <v>4180</v>
      </c>
      <c r="G61" s="2942">
        <v>12650</v>
      </c>
      <c r="N61" s="2942" t="s">
        <v>3048</v>
      </c>
    </row>
    <row r="62" spans="1:17" ht="14.25" customHeight="1">
      <c r="A62" s="2942" t="s">
        <v>110</v>
      </c>
      <c r="B62" s="2942" t="s">
        <v>177</v>
      </c>
      <c r="C62" s="2942">
        <v>18710</v>
      </c>
      <c r="D62" s="2942">
        <v>19400</v>
      </c>
      <c r="E62" s="2942">
        <v>23750</v>
      </c>
      <c r="F62" s="2942">
        <v>4860</v>
      </c>
      <c r="G62" s="2942">
        <v>13170</v>
      </c>
      <c r="N62" s="2942" t="s">
        <v>3049</v>
      </c>
    </row>
    <row r="63" spans="1:17" ht="14.25" customHeight="1">
      <c r="A63" s="2942" t="s">
        <v>110</v>
      </c>
      <c r="B63" s="2942" t="s">
        <v>187</v>
      </c>
      <c r="C63" s="2942">
        <v>19480</v>
      </c>
      <c r="D63" s="2942">
        <v>16830</v>
      </c>
      <c r="E63" s="2942">
        <v>21590</v>
      </c>
      <c r="F63" s="2942">
        <v>4560</v>
      </c>
      <c r="G63" s="2942">
        <v>11420</v>
      </c>
      <c r="N63" s="2942" t="s">
        <v>3050</v>
      </c>
    </row>
    <row r="64" spans="1:17" ht="14.25" customHeight="1" thickBot="1">
      <c r="A64" s="2942" t="s">
        <v>110</v>
      </c>
      <c r="B64" s="2942" t="s">
        <v>196</v>
      </c>
      <c r="C64" s="2942">
        <v>16920</v>
      </c>
      <c r="D64" s="2942">
        <v>19190</v>
      </c>
      <c r="E64" s="2942">
        <v>22200</v>
      </c>
      <c r="F64" s="2942">
        <v>4390</v>
      </c>
      <c r="G64" s="2942">
        <v>13030</v>
      </c>
      <c r="N64" s="2949" t="s">
        <v>3051</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2922</v>
      </c>
      <c r="C78" s="2942">
        <v>19820</v>
      </c>
      <c r="D78" s="2942">
        <v>19780</v>
      </c>
      <c r="E78" s="2942">
        <v>18560</v>
      </c>
      <c r="F78" s="2942"/>
      <c r="G78" s="2942">
        <v>13430</v>
      </c>
    </row>
    <row r="79" spans="1:7" s="2776" customFormat="1" ht="14.25" customHeight="1">
      <c r="A79" s="2942" t="s">
        <v>110</v>
      </c>
      <c r="B79" s="2942" t="s">
        <v>2925</v>
      </c>
      <c r="C79" s="2942">
        <v>21660</v>
      </c>
      <c r="D79" s="2942">
        <v>18000</v>
      </c>
      <c r="E79" s="2942">
        <v>22570</v>
      </c>
      <c r="F79" s="2942"/>
      <c r="G79" s="2942">
        <v>12220</v>
      </c>
    </row>
    <row r="80" spans="1:7" s="2776" customFormat="1" ht="14.25" customHeight="1">
      <c r="A80" s="2942" t="s">
        <v>110</v>
      </c>
      <c r="B80" s="2942" t="s">
        <v>2929</v>
      </c>
      <c r="C80" s="2942">
        <v>19850</v>
      </c>
      <c r="D80" s="2942"/>
      <c r="E80" s="2942">
        <v>21700</v>
      </c>
      <c r="F80" s="2942"/>
      <c r="G80" s="2942"/>
    </row>
    <row r="81" spans="1:7" s="2776" customFormat="1" ht="14.25" customHeight="1">
      <c r="A81" s="2942" t="s">
        <v>110</v>
      </c>
      <c r="B81" s="2942" t="s">
        <v>2934</v>
      </c>
      <c r="C81" s="2942">
        <v>18080</v>
      </c>
      <c r="D81" s="2942"/>
      <c r="E81" s="2942">
        <v>20900</v>
      </c>
      <c r="F81" s="2942"/>
      <c r="G81" s="2942"/>
    </row>
    <row r="82" spans="1:7" s="2776" customFormat="1" ht="14.25" customHeight="1">
      <c r="A82" s="2942" t="s">
        <v>110</v>
      </c>
      <c r="B82" s="2942" t="s">
        <v>2941</v>
      </c>
      <c r="C82" s="2942"/>
      <c r="D82" s="2942"/>
      <c r="E82" s="2942">
        <v>20840</v>
      </c>
      <c r="F82" s="2942"/>
      <c r="G82" s="2942"/>
    </row>
    <row r="83" spans="1:7" s="2776" customFormat="1" ht="14.25" customHeight="1">
      <c r="A83" s="2942" t="s">
        <v>110</v>
      </c>
      <c r="B83" s="2942" t="s">
        <v>3052</v>
      </c>
      <c r="C83" s="2942"/>
      <c r="D83" s="2942"/>
      <c r="E83" s="2942"/>
      <c r="F83" s="2942">
        <v>4770</v>
      </c>
      <c r="G83" s="2942"/>
    </row>
    <row r="84" spans="1:7" s="2776" customFormat="1" ht="14.25" customHeight="1">
      <c r="A84" s="2942" t="s">
        <v>110</v>
      </c>
      <c r="B84" s="2942" t="s">
        <v>3053</v>
      </c>
      <c r="C84" s="2942"/>
      <c r="D84" s="2942"/>
      <c r="E84" s="2942"/>
      <c r="F84" s="2942">
        <v>4600</v>
      </c>
      <c r="G84" s="2942"/>
    </row>
    <row r="85" spans="1:7" s="2776" customFormat="1" ht="14.25" customHeight="1">
      <c r="A85" s="2942" t="s">
        <v>110</v>
      </c>
      <c r="B85" s="2942" t="s">
        <v>3054</v>
      </c>
      <c r="C85" s="2942"/>
      <c r="D85" s="2942"/>
      <c r="E85" s="2942"/>
      <c r="F85" s="2942">
        <v>4680</v>
      </c>
      <c r="G85" s="2942"/>
    </row>
    <row r="86" spans="1:7" s="2776" customFormat="1" ht="14.25" customHeight="1" thickBot="1">
      <c r="A86" s="2950" t="s">
        <v>110</v>
      </c>
      <c r="B86" s="2952" t="s">
        <v>3055</v>
      </c>
      <c r="C86" s="2953">
        <v>16610</v>
      </c>
      <c r="D86" s="2953">
        <v>16540</v>
      </c>
      <c r="E86" s="2953">
        <v>18850</v>
      </c>
      <c r="F86" s="2953"/>
      <c r="G86" s="2953">
        <v>11220</v>
      </c>
    </row>
    <row r="87" spans="1:7" s="2776" customFormat="1" ht="14.25" customHeight="1">
      <c r="A87" s="2947" t="s">
        <v>303</v>
      </c>
      <c r="B87" s="2938" t="s">
        <v>3056</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2935</v>
      </c>
      <c r="C113" s="2942">
        <v>15520</v>
      </c>
      <c r="D113" s="2942">
        <v>15450</v>
      </c>
      <c r="E113" s="2942"/>
      <c r="F113" s="2942"/>
      <c r="G113" s="2955">
        <v>10210</v>
      </c>
    </row>
    <row r="114" spans="1:7" s="2776" customFormat="1" ht="14.25" customHeight="1">
      <c r="A114" s="2942" t="s">
        <v>303</v>
      </c>
      <c r="B114" s="2942" t="s">
        <v>2942</v>
      </c>
      <c r="C114" s="2942">
        <v>13110</v>
      </c>
      <c r="D114" s="2942">
        <v>13050</v>
      </c>
      <c r="E114" s="2942"/>
      <c r="F114" s="2942"/>
      <c r="G114" s="2955">
        <v>8620</v>
      </c>
    </row>
    <row r="115" spans="1:7" s="2776" customFormat="1" ht="14.25" customHeight="1">
      <c r="A115" s="2942" t="s">
        <v>303</v>
      </c>
      <c r="B115" s="2942" t="s">
        <v>2948</v>
      </c>
      <c r="C115" s="2942">
        <v>12460</v>
      </c>
      <c r="D115" s="2942">
        <v>12390</v>
      </c>
      <c r="E115" s="2942"/>
      <c r="F115" s="2942"/>
      <c r="G115" s="2955">
        <v>8190</v>
      </c>
    </row>
    <row r="116" spans="1:7" s="2776" customFormat="1" ht="14.25" customHeight="1">
      <c r="A116" s="2942" t="s">
        <v>303</v>
      </c>
      <c r="B116" s="2942" t="s">
        <v>2955</v>
      </c>
      <c r="C116" s="2942">
        <v>13580</v>
      </c>
      <c r="D116" s="2942">
        <v>13520</v>
      </c>
      <c r="E116" s="2942"/>
      <c r="F116" s="2942"/>
      <c r="G116" s="2955">
        <v>8930</v>
      </c>
    </row>
    <row r="117" spans="1:7" s="2776" customFormat="1" ht="14.25" customHeight="1">
      <c r="A117" s="2942" t="s">
        <v>303</v>
      </c>
      <c r="B117" s="2942" t="s">
        <v>2962</v>
      </c>
      <c r="C117" s="2942">
        <v>17120</v>
      </c>
      <c r="D117" s="2942">
        <v>17040</v>
      </c>
      <c r="E117" s="2942"/>
      <c r="F117" s="2942"/>
      <c r="G117" s="2955">
        <v>11260</v>
      </c>
    </row>
    <row r="118" spans="1:7" s="2776" customFormat="1" ht="14.25" customHeight="1">
      <c r="A118" s="2942" t="s">
        <v>303</v>
      </c>
      <c r="B118" s="2942" t="s">
        <v>2967</v>
      </c>
      <c r="C118" s="2942">
        <v>14860</v>
      </c>
      <c r="D118" s="2942">
        <v>14790</v>
      </c>
      <c r="E118" s="2942"/>
      <c r="F118" s="2942"/>
      <c r="G118" s="2955">
        <v>9780</v>
      </c>
    </row>
    <row r="119" spans="1:7" s="2776" customFormat="1" ht="14.25" customHeight="1">
      <c r="A119" s="2942" t="s">
        <v>303</v>
      </c>
      <c r="B119" s="2942" t="s">
        <v>2971</v>
      </c>
      <c r="C119" s="2942">
        <v>16470</v>
      </c>
      <c r="D119" s="2942">
        <v>16400</v>
      </c>
      <c r="E119" s="2942"/>
      <c r="F119" s="2942"/>
      <c r="G119" s="2955">
        <v>10840</v>
      </c>
    </row>
    <row r="120" spans="1:7" s="2776" customFormat="1" ht="14.25" customHeight="1">
      <c r="A120" s="2942" t="s">
        <v>303</v>
      </c>
      <c r="B120" s="2942" t="s">
        <v>3057</v>
      </c>
      <c r="C120" s="2942"/>
      <c r="D120" s="2942"/>
      <c r="E120" s="2942"/>
      <c r="F120" s="2942">
        <v>4160</v>
      </c>
      <c r="G120" s="2955"/>
    </row>
    <row r="121" spans="1:7" s="2776" customFormat="1" ht="14.25" customHeight="1">
      <c r="A121" s="2942" t="s">
        <v>303</v>
      </c>
      <c r="B121" s="2942" t="s">
        <v>3058</v>
      </c>
      <c r="C121" s="2942"/>
      <c r="D121" s="2942"/>
      <c r="E121" s="2942"/>
      <c r="F121" s="2942">
        <v>3880</v>
      </c>
      <c r="G121" s="2955"/>
    </row>
    <row r="122" spans="1:7" s="2776" customFormat="1" ht="14.25" customHeight="1">
      <c r="A122" s="2942" t="s">
        <v>303</v>
      </c>
      <c r="B122" s="2942" t="s">
        <v>3059</v>
      </c>
      <c r="C122" s="2942">
        <v>13750</v>
      </c>
      <c r="D122" s="2942">
        <v>13680</v>
      </c>
      <c r="E122" s="2942">
        <v>16460</v>
      </c>
      <c r="F122" s="2942">
        <v>2880</v>
      </c>
      <c r="G122" s="2955">
        <v>9040</v>
      </c>
    </row>
    <row r="123" spans="1:7" s="2776" customFormat="1" ht="14.25" customHeight="1">
      <c r="A123" s="2942" t="s">
        <v>303</v>
      </c>
      <c r="B123" s="2942" t="s">
        <v>2990</v>
      </c>
      <c r="C123" s="2942">
        <v>13590</v>
      </c>
      <c r="D123" s="2942">
        <v>13520</v>
      </c>
      <c r="E123" s="2942">
        <v>16290</v>
      </c>
      <c r="F123" s="2942">
        <v>2790</v>
      </c>
      <c r="G123" s="2955">
        <v>8930</v>
      </c>
    </row>
    <row r="124" spans="1:7" s="2776" customFormat="1" ht="14.25" customHeight="1">
      <c r="A124" s="2942" t="s">
        <v>303</v>
      </c>
      <c r="B124" s="2942" t="s">
        <v>2995</v>
      </c>
      <c r="C124" s="2942">
        <v>13400</v>
      </c>
      <c r="D124" s="2942">
        <v>13320</v>
      </c>
      <c r="E124" s="2942">
        <v>16100</v>
      </c>
      <c r="F124" s="2942">
        <v>2320</v>
      </c>
      <c r="G124" s="2955">
        <v>8800</v>
      </c>
    </row>
    <row r="125" spans="1:7" s="2776" customFormat="1" ht="14.25" customHeight="1">
      <c r="A125" s="2942" t="s">
        <v>303</v>
      </c>
      <c r="B125" s="2942" t="s">
        <v>3000</v>
      </c>
      <c r="C125" s="2942">
        <v>12860</v>
      </c>
      <c r="D125" s="2942">
        <v>12790</v>
      </c>
      <c r="E125" s="2942">
        <v>15370</v>
      </c>
      <c r="F125" s="2942">
        <v>2280</v>
      </c>
      <c r="G125" s="2955">
        <v>8450</v>
      </c>
    </row>
    <row r="126" spans="1:7" s="2776" customFormat="1" ht="14.25" customHeight="1" thickBot="1">
      <c r="A126" s="2956" t="s">
        <v>303</v>
      </c>
      <c r="B126" s="2949" t="s">
        <v>3005</v>
      </c>
      <c r="C126" s="2949">
        <v>12960</v>
      </c>
      <c r="D126" s="2949">
        <v>12890</v>
      </c>
      <c r="E126" s="2949">
        <v>15530</v>
      </c>
      <c r="F126" s="2949">
        <v>2910</v>
      </c>
      <c r="G126" s="2957">
        <v>8520</v>
      </c>
    </row>
    <row r="127" spans="1:7" s="2776" customFormat="1" ht="14.25" customHeight="1">
      <c r="A127" s="2947" t="s">
        <v>29</v>
      </c>
      <c r="B127" s="2938" t="s">
        <v>3060</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3061</v>
      </c>
      <c r="C148" s="2942">
        <v>10370</v>
      </c>
      <c r="D148" s="2942">
        <v>10310</v>
      </c>
      <c r="E148" s="2942">
        <v>12970</v>
      </c>
      <c r="F148" s="2942"/>
      <c r="G148" s="2942">
        <v>6630</v>
      </c>
    </row>
    <row r="149" spans="1:7" s="2776" customFormat="1" ht="14.25" customHeight="1">
      <c r="A149" s="2942" t="s">
        <v>29</v>
      </c>
      <c r="B149" s="2942" t="s">
        <v>3062</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2936</v>
      </c>
      <c r="C153" s="2942">
        <v>10880</v>
      </c>
      <c r="D153" s="2942">
        <v>10820</v>
      </c>
      <c r="E153" s="2942">
        <v>13660</v>
      </c>
      <c r="F153" s="2942">
        <v>2260</v>
      </c>
      <c r="G153" s="2942">
        <v>6970</v>
      </c>
    </row>
    <row r="154" spans="1:7" s="2776" customFormat="1" ht="14.25" customHeight="1">
      <c r="A154" s="2942" t="s">
        <v>29</v>
      </c>
      <c r="B154" s="2942" t="s">
        <v>3063</v>
      </c>
      <c r="C154" s="2942">
        <v>11220</v>
      </c>
      <c r="D154" s="2942">
        <v>11160</v>
      </c>
      <c r="E154" s="2942">
        <v>14130</v>
      </c>
      <c r="F154" s="2942">
        <v>2230</v>
      </c>
      <c r="G154" s="2942">
        <v>7180</v>
      </c>
    </row>
    <row r="155" spans="1:7" s="2776" customFormat="1" ht="14.25" customHeight="1">
      <c r="A155" s="2942" t="s">
        <v>29</v>
      </c>
      <c r="B155" s="2942" t="s">
        <v>2949</v>
      </c>
      <c r="C155" s="2942">
        <v>10430</v>
      </c>
      <c r="D155" s="2942">
        <v>10380</v>
      </c>
      <c r="E155" s="2942">
        <v>13140</v>
      </c>
      <c r="F155" s="2942">
        <v>2080</v>
      </c>
      <c r="G155" s="2942">
        <v>6650</v>
      </c>
    </row>
    <row r="156" spans="1:7" s="2776" customFormat="1" ht="14.25" customHeight="1">
      <c r="A156" s="2942" t="s">
        <v>29</v>
      </c>
      <c r="B156" s="2942" t="s">
        <v>3064</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3065</v>
      </c>
      <c r="C160" s="2942">
        <v>11180</v>
      </c>
      <c r="D160" s="2942">
        <v>11140</v>
      </c>
      <c r="E160" s="2942">
        <v>14050</v>
      </c>
      <c r="F160" s="2942">
        <v>2270</v>
      </c>
      <c r="G160" s="2942">
        <v>7170</v>
      </c>
    </row>
    <row r="161" spans="1:7" s="2776" customFormat="1" ht="14.25" customHeight="1">
      <c r="A161" s="2942" t="s">
        <v>29</v>
      </c>
      <c r="B161" s="2942" t="s">
        <v>2981</v>
      </c>
      <c r="C161" s="2942">
        <v>11160</v>
      </c>
      <c r="D161" s="2942">
        <v>11120</v>
      </c>
      <c r="E161" s="2942">
        <v>14020</v>
      </c>
      <c r="F161" s="2942">
        <v>2150</v>
      </c>
      <c r="G161" s="2942">
        <v>7160</v>
      </c>
    </row>
    <row r="162" spans="1:7" s="2776" customFormat="1" ht="14.25" customHeight="1">
      <c r="A162" s="2942" t="s">
        <v>29</v>
      </c>
      <c r="B162" s="2942" t="s">
        <v>2986</v>
      </c>
      <c r="C162" s="2942">
        <v>9620</v>
      </c>
      <c r="D162" s="2942">
        <v>9570</v>
      </c>
      <c r="E162" s="2942">
        <v>12320</v>
      </c>
      <c r="F162" s="2942">
        <v>2010</v>
      </c>
      <c r="G162" s="2942">
        <v>6160</v>
      </c>
    </row>
    <row r="163" spans="1:7" s="2776" customFormat="1" ht="14.25" customHeight="1">
      <c r="A163" s="2942" t="s">
        <v>29</v>
      </c>
      <c r="B163" s="2942" t="s">
        <v>2991</v>
      </c>
      <c r="C163" s="2942">
        <v>9320</v>
      </c>
      <c r="D163" s="2942">
        <v>9270</v>
      </c>
      <c r="E163" s="2942">
        <v>11790</v>
      </c>
      <c r="F163" s="2942">
        <v>1920</v>
      </c>
      <c r="G163" s="2942">
        <v>5960</v>
      </c>
    </row>
    <row r="164" spans="1:7" s="2776" customFormat="1" ht="14.25" customHeight="1">
      <c r="A164" s="2942" t="s">
        <v>29</v>
      </c>
      <c r="B164" s="2942" t="s">
        <v>2996</v>
      </c>
      <c r="C164" s="2942"/>
      <c r="D164" s="2942"/>
      <c r="E164" s="2942"/>
      <c r="F164" s="2942">
        <v>1980</v>
      </c>
      <c r="G164" s="2942"/>
    </row>
    <row r="165" spans="1:7" s="2776" customFormat="1" ht="14.25" customHeight="1">
      <c r="A165" s="2942" t="s">
        <v>29</v>
      </c>
      <c r="B165" s="2942" t="s">
        <v>3066</v>
      </c>
      <c r="C165" s="2942">
        <v>11060</v>
      </c>
      <c r="D165" s="2942">
        <v>11030</v>
      </c>
      <c r="E165" s="2942">
        <v>13850</v>
      </c>
      <c r="F165" s="2942">
        <v>2170</v>
      </c>
      <c r="G165" s="2942">
        <v>7090</v>
      </c>
    </row>
    <row r="166" spans="1:7" s="2776" customFormat="1" ht="14.25" customHeight="1">
      <c r="A166" s="2942" t="s">
        <v>29</v>
      </c>
      <c r="B166" s="2942" t="s">
        <v>3006</v>
      </c>
      <c r="C166" s="2942">
        <v>11050</v>
      </c>
      <c r="D166" s="2942">
        <v>11010</v>
      </c>
      <c r="E166" s="2942">
        <v>13920</v>
      </c>
      <c r="F166" s="2942">
        <v>2140</v>
      </c>
      <c r="G166" s="2942">
        <v>7080</v>
      </c>
    </row>
    <row r="167" spans="1:7" s="2776" customFormat="1" ht="14.25" customHeight="1">
      <c r="A167" s="2942" t="s">
        <v>29</v>
      </c>
      <c r="B167" s="2942" t="s">
        <v>3010</v>
      </c>
      <c r="C167" s="2942">
        <v>10930</v>
      </c>
      <c r="D167" s="2942">
        <v>10890</v>
      </c>
      <c r="E167" s="2942">
        <v>13790</v>
      </c>
      <c r="F167" s="2942">
        <v>2010</v>
      </c>
      <c r="G167" s="2942">
        <v>7000</v>
      </c>
    </row>
    <row r="168" spans="1:7" s="2776" customFormat="1" ht="14.25" customHeight="1">
      <c r="A168" s="2942" t="s">
        <v>29</v>
      </c>
      <c r="B168" s="2942" t="s">
        <v>3015</v>
      </c>
      <c r="C168" s="2942">
        <v>9420</v>
      </c>
      <c r="D168" s="2942">
        <v>9380</v>
      </c>
      <c r="E168" s="2942">
        <v>11970</v>
      </c>
      <c r="F168" s="2942"/>
      <c r="G168" s="2942">
        <v>6040</v>
      </c>
    </row>
    <row r="169" spans="1:7" s="2776" customFormat="1" ht="14.25" customHeight="1">
      <c r="A169" s="2942" t="s">
        <v>29</v>
      </c>
      <c r="B169" s="2942" t="s">
        <v>3067</v>
      </c>
      <c r="C169" s="2942"/>
      <c r="D169" s="2942"/>
      <c r="E169" s="2942"/>
      <c r="F169" s="2942">
        <v>2880</v>
      </c>
      <c r="G169" s="2942"/>
    </row>
    <row r="170" spans="1:7" s="2776" customFormat="1" ht="14.25" customHeight="1">
      <c r="A170" s="2942" t="s">
        <v>29</v>
      </c>
      <c r="B170" s="2942" t="s">
        <v>3023</v>
      </c>
      <c r="C170" s="2942"/>
      <c r="D170" s="2942"/>
      <c r="E170" s="2942"/>
      <c r="F170" s="2942">
        <v>2880</v>
      </c>
      <c r="G170" s="2942"/>
    </row>
    <row r="171" spans="1:7" s="2776" customFormat="1" ht="14.25" customHeight="1">
      <c r="A171" s="2942" t="s">
        <v>29</v>
      </c>
      <c r="B171" s="2942" t="s">
        <v>3026</v>
      </c>
      <c r="C171" s="2942"/>
      <c r="D171" s="2942"/>
      <c r="E171" s="2942"/>
      <c r="F171" s="2942">
        <v>2880</v>
      </c>
      <c r="G171" s="2942"/>
    </row>
    <row r="172" spans="1:7" s="2776" customFormat="1" ht="14.25" customHeight="1">
      <c r="A172" s="2942" t="s">
        <v>29</v>
      </c>
      <c r="B172" s="2942" t="s">
        <v>3028</v>
      </c>
      <c r="C172" s="2942"/>
      <c r="D172" s="2942"/>
      <c r="E172" s="2942"/>
      <c r="F172" s="2942">
        <v>2880</v>
      </c>
      <c r="G172" s="2942"/>
    </row>
    <row r="173" spans="1:7" s="2776" customFormat="1" ht="14.25" customHeight="1">
      <c r="A173" s="2942" t="s">
        <v>29</v>
      </c>
      <c r="B173" s="2942" t="s">
        <v>3030</v>
      </c>
      <c r="C173" s="2942"/>
      <c r="D173" s="2942"/>
      <c r="E173" s="2942"/>
      <c r="F173" s="2942">
        <v>2150</v>
      </c>
      <c r="G173" s="2942"/>
    </row>
    <row r="174" spans="1:7" s="2776" customFormat="1" ht="14.25" customHeight="1">
      <c r="A174" s="2942" t="s">
        <v>29</v>
      </c>
      <c r="B174" s="2942" t="s">
        <v>3032</v>
      </c>
      <c r="C174" s="2942"/>
      <c r="D174" s="2942"/>
      <c r="E174" s="2942"/>
      <c r="F174" s="2942">
        <v>2030</v>
      </c>
      <c r="G174" s="2942"/>
    </row>
    <row r="175" spans="1:7" s="2776" customFormat="1" ht="14.25" customHeight="1">
      <c r="A175" s="2942" t="s">
        <v>29</v>
      </c>
      <c r="B175" s="2942" t="s">
        <v>3034</v>
      </c>
      <c r="C175" s="2942"/>
      <c r="D175" s="2942"/>
      <c r="E175" s="2942"/>
      <c r="F175" s="2942">
        <v>2780</v>
      </c>
      <c r="G175" s="2942"/>
    </row>
    <row r="176" spans="1:7" s="2776" customFormat="1" ht="14.25" customHeight="1">
      <c r="A176" s="2942" t="s">
        <v>29</v>
      </c>
      <c r="B176" s="2942" t="s">
        <v>3036</v>
      </c>
      <c r="C176" s="2942"/>
      <c r="D176" s="2942"/>
      <c r="E176" s="2942"/>
      <c r="F176" s="2942">
        <v>2780</v>
      </c>
      <c r="G176" s="2942"/>
    </row>
    <row r="177" spans="1:7" s="2776" customFormat="1" ht="14.25" customHeight="1">
      <c r="A177" s="2942" t="s">
        <v>29</v>
      </c>
      <c r="B177" s="2942" t="s">
        <v>3068</v>
      </c>
      <c r="C177" s="2942"/>
      <c r="D177" s="2942"/>
      <c r="E177" s="2942"/>
      <c r="F177" s="2942">
        <v>2780</v>
      </c>
      <c r="G177" s="2942"/>
    </row>
    <row r="178" spans="1:7" s="2776" customFormat="1" ht="14.25" customHeight="1">
      <c r="A178" s="2942" t="s">
        <v>29</v>
      </c>
      <c r="B178" s="2942" t="s">
        <v>3069</v>
      </c>
      <c r="C178" s="2942"/>
      <c r="D178" s="2942"/>
      <c r="E178" s="2942"/>
      <c r="F178" s="2942">
        <v>2060</v>
      </c>
      <c r="G178" s="2942"/>
    </row>
    <row r="179" spans="1:7" s="2776" customFormat="1" ht="14.25" customHeight="1">
      <c r="A179" s="2942" t="s">
        <v>29</v>
      </c>
      <c r="B179" s="2942" t="s">
        <v>3070</v>
      </c>
      <c r="C179" s="2942"/>
      <c r="D179" s="2942"/>
      <c r="E179" s="2942"/>
      <c r="F179" s="2942">
        <v>2120</v>
      </c>
      <c r="G179" s="2942"/>
    </row>
    <row r="180" spans="1:7" s="2776" customFormat="1" ht="14.25" customHeight="1">
      <c r="A180" s="2942" t="s">
        <v>29</v>
      </c>
      <c r="B180" s="2942" t="s">
        <v>3042</v>
      </c>
      <c r="C180" s="2942"/>
      <c r="D180" s="2942"/>
      <c r="E180" s="2942"/>
      <c r="F180" s="2942">
        <v>2340</v>
      </c>
      <c r="G180" s="2942"/>
    </row>
    <row r="181" spans="1:7" s="2776" customFormat="1" ht="14.25" customHeight="1">
      <c r="A181" s="2942" t="s">
        <v>29</v>
      </c>
      <c r="B181" s="2942" t="s">
        <v>3043</v>
      </c>
      <c r="C181" s="2942"/>
      <c r="D181" s="2942"/>
      <c r="E181" s="2942"/>
      <c r="F181" s="2942">
        <v>2340</v>
      </c>
      <c r="G181" s="2942"/>
    </row>
    <row r="182" spans="1:7" s="2776" customFormat="1" ht="14.25" customHeight="1">
      <c r="A182" s="2942" t="s">
        <v>29</v>
      </c>
      <c r="B182" s="2942" t="s">
        <v>3044</v>
      </c>
      <c r="C182" s="2942"/>
      <c r="D182" s="2942"/>
      <c r="E182" s="2942"/>
      <c r="F182" s="2942">
        <v>2340</v>
      </c>
      <c r="G182" s="2942"/>
    </row>
    <row r="183" spans="1:7" s="2776" customFormat="1" ht="14.25" customHeight="1">
      <c r="A183" s="2942" t="s">
        <v>29</v>
      </c>
      <c r="B183" s="2942" t="s">
        <v>3045</v>
      </c>
      <c r="C183" s="2942"/>
      <c r="D183" s="2942"/>
      <c r="E183" s="2942"/>
      <c r="F183" s="2942">
        <v>2340</v>
      </c>
      <c r="G183" s="2942"/>
    </row>
    <row r="184" spans="1:7" s="2776" customFormat="1" ht="14.25" customHeight="1">
      <c r="A184" s="2942" t="s">
        <v>29</v>
      </c>
      <c r="B184" s="2942" t="s">
        <v>3046</v>
      </c>
      <c r="C184" s="2942"/>
      <c r="D184" s="2942"/>
      <c r="E184" s="2942"/>
      <c r="F184" s="2942">
        <v>2340</v>
      </c>
      <c r="G184" s="2942"/>
    </row>
    <row r="185" spans="1:7" s="2776" customFormat="1" ht="14.25" customHeight="1">
      <c r="A185" s="2942" t="s">
        <v>29</v>
      </c>
      <c r="B185" s="2942" t="s">
        <v>3047</v>
      </c>
      <c r="C185" s="2942"/>
      <c r="D185" s="2942"/>
      <c r="E185" s="2942"/>
      <c r="F185" s="2942">
        <v>2530</v>
      </c>
      <c r="G185" s="2942"/>
    </row>
    <row r="186" spans="1:7" s="2776" customFormat="1" ht="14.25" customHeight="1">
      <c r="A186" s="2942" t="s">
        <v>29</v>
      </c>
      <c r="B186" s="2942" t="s">
        <v>3048</v>
      </c>
      <c r="C186" s="2942"/>
      <c r="D186" s="2942"/>
      <c r="E186" s="2942"/>
      <c r="F186" s="2942">
        <v>2550</v>
      </c>
      <c r="G186" s="2942"/>
    </row>
    <row r="187" spans="1:7" s="2776" customFormat="1" ht="14.25" customHeight="1">
      <c r="A187" s="2942" t="s">
        <v>29</v>
      </c>
      <c r="B187" s="2942" t="s">
        <v>3049</v>
      </c>
      <c r="C187" s="2942"/>
      <c r="D187" s="2942"/>
      <c r="E187" s="2942"/>
      <c r="F187" s="2942">
        <v>2070</v>
      </c>
      <c r="G187" s="2942"/>
    </row>
    <row r="188" spans="1:7" s="2776" customFormat="1" ht="14.25" customHeight="1">
      <c r="A188" s="2942" t="s">
        <v>29</v>
      </c>
      <c r="B188" s="2942" t="s">
        <v>3050</v>
      </c>
      <c r="C188" s="2942"/>
      <c r="D188" s="2942"/>
      <c r="E188" s="2942"/>
      <c r="F188" s="2942">
        <v>2340</v>
      </c>
      <c r="G188" s="2942"/>
    </row>
    <row r="189" spans="1:7" s="2776" customFormat="1" ht="14.25" customHeight="1" thickBot="1">
      <c r="A189" s="2950" t="s">
        <v>29</v>
      </c>
      <c r="B189" s="2953" t="s">
        <v>3051</v>
      </c>
      <c r="C189" s="2953"/>
      <c r="D189" s="2953"/>
      <c r="E189" s="2953"/>
      <c r="F189" s="2953">
        <v>2050</v>
      </c>
      <c r="G189" s="2953"/>
    </row>
    <row r="190" spans="1:7" s="2776" customFormat="1" ht="14.25" customHeight="1">
      <c r="A190" s="2947" t="s">
        <v>304</v>
      </c>
      <c r="B190" s="2938" t="s">
        <v>3071</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3072</v>
      </c>
      <c r="C199" s="2942">
        <v>8690</v>
      </c>
      <c r="D199" s="2942">
        <v>8630</v>
      </c>
      <c r="E199" s="2942">
        <v>11350</v>
      </c>
      <c r="F199" s="2942">
        <v>1600</v>
      </c>
      <c r="G199" s="2955">
        <v>5450</v>
      </c>
    </row>
    <row r="200" spans="1:7" s="2776" customFormat="1" ht="14.25" customHeight="1">
      <c r="A200" s="2942" t="s">
        <v>304</v>
      </c>
      <c r="B200" s="2942" t="s">
        <v>2883</v>
      </c>
      <c r="C200" s="2942"/>
      <c r="D200" s="2942"/>
      <c r="E200" s="2942"/>
      <c r="F200" s="2942">
        <v>1510</v>
      </c>
      <c r="G200" s="2955"/>
    </row>
    <row r="201" spans="1:7" s="2776" customFormat="1" ht="14.25" customHeight="1">
      <c r="A201" s="2942" t="s">
        <v>304</v>
      </c>
      <c r="B201" s="2942" t="s">
        <v>3073</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3074</v>
      </c>
      <c r="C203" s="2942">
        <v>8130</v>
      </c>
      <c r="D203" s="2942">
        <v>8070</v>
      </c>
      <c r="E203" s="2942">
        <v>10820</v>
      </c>
      <c r="F203" s="2942">
        <v>1690</v>
      </c>
      <c r="G203" s="2955">
        <v>5100</v>
      </c>
    </row>
    <row r="204" spans="1:7" s="2776" customFormat="1" ht="14.25" customHeight="1">
      <c r="A204" s="2942" t="s">
        <v>304</v>
      </c>
      <c r="B204" s="2942" t="s">
        <v>2894</v>
      </c>
      <c r="C204" s="2942">
        <v>8350</v>
      </c>
      <c r="D204" s="2942">
        <v>8290</v>
      </c>
      <c r="E204" s="2942">
        <v>11080</v>
      </c>
      <c r="F204" s="2942">
        <v>1450</v>
      </c>
      <c r="G204" s="2955">
        <v>5240</v>
      </c>
    </row>
    <row r="205" spans="1:7" s="2776" customFormat="1" ht="14.25" customHeight="1">
      <c r="A205" s="2942" t="s">
        <v>304</v>
      </c>
      <c r="B205" s="2942" t="s">
        <v>2896</v>
      </c>
      <c r="C205" s="2942">
        <v>7190</v>
      </c>
      <c r="D205" s="2942">
        <v>7130</v>
      </c>
      <c r="E205" s="2942">
        <v>9490</v>
      </c>
      <c r="F205" s="2942">
        <v>1470</v>
      </c>
      <c r="G205" s="2955">
        <v>4510</v>
      </c>
    </row>
    <row r="206" spans="1:7" s="2776" customFormat="1" ht="14.25" customHeight="1">
      <c r="A206" s="2942" t="s">
        <v>304</v>
      </c>
      <c r="B206" s="2942" t="s">
        <v>2899</v>
      </c>
      <c r="C206" s="2942">
        <v>7000</v>
      </c>
      <c r="D206" s="2942">
        <v>6950</v>
      </c>
      <c r="E206" s="2942">
        <v>9170</v>
      </c>
      <c r="F206" s="2942">
        <v>1400</v>
      </c>
      <c r="G206" s="2955">
        <v>4380</v>
      </c>
    </row>
    <row r="207" spans="1:7" s="2776" customFormat="1" ht="14.25" customHeight="1">
      <c r="A207" s="2942" t="s">
        <v>304</v>
      </c>
      <c r="B207" s="2942" t="s">
        <v>2901</v>
      </c>
      <c r="C207" s="2942">
        <v>6950</v>
      </c>
      <c r="D207" s="2942">
        <v>6900</v>
      </c>
      <c r="E207" s="2942">
        <v>9110</v>
      </c>
      <c r="F207" s="2942">
        <v>1790</v>
      </c>
      <c r="G207" s="2955">
        <v>4360</v>
      </c>
    </row>
    <row r="208" spans="1:7" s="2776" customFormat="1" ht="14.25" customHeight="1">
      <c r="A208" s="2942" t="s">
        <v>304</v>
      </c>
      <c r="B208" s="2942" t="s">
        <v>3075</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2911</v>
      </c>
      <c r="C210" s="2942">
        <v>8710</v>
      </c>
      <c r="D210" s="2942">
        <v>8660</v>
      </c>
      <c r="E210" s="2942">
        <v>11440</v>
      </c>
      <c r="F210" s="2942">
        <v>1740</v>
      </c>
      <c r="G210" s="2955">
        <v>5470</v>
      </c>
    </row>
    <row r="211" spans="1:7" s="2776" customFormat="1" ht="14.25" customHeight="1">
      <c r="A211" s="2942" t="s">
        <v>304</v>
      </c>
      <c r="B211" s="2942" t="s">
        <v>3076</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3077</v>
      </c>
      <c r="C214" s="2942">
        <v>8090</v>
      </c>
      <c r="D214" s="2942">
        <v>8030</v>
      </c>
      <c r="E214" s="2942">
        <v>10780</v>
      </c>
      <c r="F214" s="2942">
        <v>1570</v>
      </c>
      <c r="G214" s="2955">
        <v>5070</v>
      </c>
    </row>
    <row r="215" spans="1:7" s="2776" customFormat="1" ht="14.25" customHeight="1">
      <c r="A215" s="2942" t="s">
        <v>304</v>
      </c>
      <c r="B215" s="2942" t="s">
        <v>3078</v>
      </c>
      <c r="C215" s="2942">
        <v>7950</v>
      </c>
      <c r="D215" s="2942">
        <v>7900</v>
      </c>
      <c r="E215" s="2942">
        <v>10560</v>
      </c>
      <c r="F215" s="2942">
        <v>1630</v>
      </c>
      <c r="G215" s="2955">
        <v>4990</v>
      </c>
    </row>
    <row r="216" spans="1:7" s="2776" customFormat="1" ht="14.25" customHeight="1">
      <c r="A216" s="2942" t="s">
        <v>304</v>
      </c>
      <c r="B216" s="2942" t="s">
        <v>3079</v>
      </c>
      <c r="C216" s="2942">
        <v>8490</v>
      </c>
      <c r="D216" s="2942">
        <v>8440</v>
      </c>
      <c r="E216" s="2942">
        <v>11260</v>
      </c>
      <c r="F216" s="2942">
        <v>1690</v>
      </c>
      <c r="G216" s="2955">
        <v>5330</v>
      </c>
    </row>
    <row r="217" spans="1:7" s="2776" customFormat="1" ht="14.25" customHeight="1">
      <c r="A217" s="2942" t="s">
        <v>304</v>
      </c>
      <c r="B217" s="2942" t="s">
        <v>2944</v>
      </c>
      <c r="C217" s="2942">
        <v>8200</v>
      </c>
      <c r="D217" s="2942">
        <v>8150</v>
      </c>
      <c r="E217" s="2942">
        <v>10910</v>
      </c>
      <c r="F217" s="2942">
        <v>1670</v>
      </c>
      <c r="G217" s="2955">
        <v>5150</v>
      </c>
    </row>
    <row r="218" spans="1:7" s="2776" customFormat="1" ht="14.25" customHeight="1">
      <c r="A218" s="2942" t="s">
        <v>304</v>
      </c>
      <c r="B218" s="2942" t="s">
        <v>3080</v>
      </c>
      <c r="C218" s="2942"/>
      <c r="D218" s="2942"/>
      <c r="E218" s="2942"/>
      <c r="F218" s="2942">
        <v>2040</v>
      </c>
      <c r="G218" s="2955"/>
    </row>
    <row r="219" spans="1:7" s="2776" customFormat="1" ht="14.25" customHeight="1">
      <c r="A219" s="2942" t="s">
        <v>304</v>
      </c>
      <c r="B219" s="2942" t="s">
        <v>3081</v>
      </c>
      <c r="C219" s="2942"/>
      <c r="D219" s="2942"/>
      <c r="E219" s="2942"/>
      <c r="F219" s="2942">
        <v>2040</v>
      </c>
      <c r="G219" s="2955"/>
    </row>
    <row r="220" spans="1:7" s="2776" customFormat="1" ht="14.25" customHeight="1">
      <c r="A220" s="2942" t="s">
        <v>304</v>
      </c>
      <c r="B220" s="2942" t="s">
        <v>3082</v>
      </c>
      <c r="C220" s="2942"/>
      <c r="D220" s="2942"/>
      <c r="E220" s="2942"/>
      <c r="F220" s="2942">
        <v>2040</v>
      </c>
      <c r="G220" s="2955"/>
    </row>
    <row r="221" spans="1:7" s="2776" customFormat="1" ht="14.25" customHeight="1">
      <c r="A221" s="2942" t="s">
        <v>304</v>
      </c>
      <c r="B221" s="2942" t="s">
        <v>3083</v>
      </c>
      <c r="C221" s="2942"/>
      <c r="D221" s="2942"/>
      <c r="E221" s="2942"/>
      <c r="F221" s="2942">
        <v>2040</v>
      </c>
      <c r="G221" s="2955"/>
    </row>
    <row r="222" spans="1:7" s="2776" customFormat="1" ht="14.25" customHeight="1">
      <c r="A222" s="2942" t="s">
        <v>304</v>
      </c>
      <c r="B222" s="2942" t="s">
        <v>3084</v>
      </c>
      <c r="C222" s="2942"/>
      <c r="D222" s="2942"/>
      <c r="E222" s="2942"/>
      <c r="F222" s="2942">
        <v>2040</v>
      </c>
      <c r="G222" s="2955"/>
    </row>
    <row r="223" spans="1:7" s="2776" customFormat="1" ht="14.25" customHeight="1">
      <c r="A223" s="2942" t="s">
        <v>304</v>
      </c>
      <c r="B223" s="2942" t="s">
        <v>3085</v>
      </c>
      <c r="C223" s="2942"/>
      <c r="D223" s="2942"/>
      <c r="E223" s="2942"/>
      <c r="F223" s="2942">
        <v>1930</v>
      </c>
      <c r="G223" s="2955"/>
    </row>
    <row r="224" spans="1:7" s="2776" customFormat="1" ht="14.25" customHeight="1">
      <c r="A224" s="2942" t="s">
        <v>304</v>
      </c>
      <c r="B224" s="2942" t="s">
        <v>3086</v>
      </c>
      <c r="C224" s="2942"/>
      <c r="D224" s="2942"/>
      <c r="E224" s="2942"/>
      <c r="F224" s="2942">
        <v>1930</v>
      </c>
      <c r="G224" s="2955"/>
    </row>
    <row r="225" spans="1:7" s="2776" customFormat="1" ht="14.25" customHeight="1">
      <c r="A225" s="2942" t="s">
        <v>304</v>
      </c>
      <c r="B225" s="2942" t="s">
        <v>3087</v>
      </c>
      <c r="C225" s="2942"/>
      <c r="D225" s="2942"/>
      <c r="E225" s="2942"/>
      <c r="F225" s="2942">
        <v>1930</v>
      </c>
      <c r="G225" s="2955"/>
    </row>
    <row r="226" spans="1:7" s="2776" customFormat="1" ht="14.25" customHeight="1">
      <c r="A226" s="2942" t="s">
        <v>304</v>
      </c>
      <c r="B226" s="2942" t="s">
        <v>3088</v>
      </c>
      <c r="C226" s="2942"/>
      <c r="D226" s="2942"/>
      <c r="E226" s="2942"/>
      <c r="F226" s="2942">
        <v>1700</v>
      </c>
      <c r="G226" s="2955"/>
    </row>
    <row r="227" spans="1:7" s="2776" customFormat="1" ht="14.25" customHeight="1">
      <c r="A227" s="2942" t="s">
        <v>304</v>
      </c>
      <c r="B227" s="2942" t="s">
        <v>3089</v>
      </c>
      <c r="C227" s="2942"/>
      <c r="D227" s="2942"/>
      <c r="E227" s="2942"/>
      <c r="F227" s="2942">
        <v>1520</v>
      </c>
      <c r="G227" s="2955"/>
    </row>
    <row r="228" spans="1:7" s="2776" customFormat="1" ht="14.25" customHeight="1">
      <c r="A228" s="2942" t="s">
        <v>304</v>
      </c>
      <c r="B228" s="2942" t="s">
        <v>3090</v>
      </c>
      <c r="C228" s="2942"/>
      <c r="D228" s="2942"/>
      <c r="E228" s="2942"/>
      <c r="F228" s="2942">
        <v>1520</v>
      </c>
      <c r="G228" s="2955"/>
    </row>
    <row r="229" spans="1:7" s="2776" customFormat="1" ht="14.25" customHeight="1">
      <c r="A229" s="2942" t="s">
        <v>304</v>
      </c>
      <c r="B229" s="2942" t="s">
        <v>3007</v>
      </c>
      <c r="C229" s="2942"/>
      <c r="D229" s="2942"/>
      <c r="E229" s="2942"/>
      <c r="F229" s="2942">
        <v>1520</v>
      </c>
      <c r="G229" s="2955"/>
    </row>
    <row r="230" spans="1:7" s="2776" customFormat="1" ht="14.25" customHeight="1">
      <c r="A230" s="2942" t="s">
        <v>304</v>
      </c>
      <c r="B230" s="2942" t="s">
        <v>3091</v>
      </c>
      <c r="C230" s="2942"/>
      <c r="D230" s="2942"/>
      <c r="E230" s="2942"/>
      <c r="F230" s="2942">
        <v>1820</v>
      </c>
      <c r="G230" s="2955"/>
    </row>
    <row r="231" spans="1:7" s="2776" customFormat="1" ht="14.25" customHeight="1">
      <c r="A231" s="2942" t="s">
        <v>304</v>
      </c>
      <c r="B231" s="2942" t="s">
        <v>3092</v>
      </c>
      <c r="C231" s="2942"/>
      <c r="D231" s="2942"/>
      <c r="E231" s="2942"/>
      <c r="F231" s="2942">
        <v>1760</v>
      </c>
      <c r="G231" s="2955"/>
    </row>
    <row r="232" spans="1:7" s="2776" customFormat="1" ht="14.25" customHeight="1">
      <c r="A232" s="2942" t="s">
        <v>304</v>
      </c>
      <c r="B232" s="2942" t="s">
        <v>3093</v>
      </c>
      <c r="C232" s="2942"/>
      <c r="D232" s="2942"/>
      <c r="E232" s="2942"/>
      <c r="F232" s="2942">
        <v>1840</v>
      </c>
      <c r="G232" s="2955"/>
    </row>
    <row r="233" spans="1:7" s="2776" customFormat="1" ht="14.25" customHeight="1" thickBot="1">
      <c r="A233" s="2956" t="s">
        <v>304</v>
      </c>
      <c r="B233" s="2949" t="s">
        <v>3024</v>
      </c>
      <c r="C233" s="2949"/>
      <c r="D233" s="2949"/>
      <c r="E233" s="2949"/>
      <c r="F233" s="2949">
        <v>1770</v>
      </c>
      <c r="G233" s="2957"/>
    </row>
    <row r="234" spans="1:7" s="2776" customFormat="1" ht="14.25" customHeight="1">
      <c r="A234" s="2947" t="s">
        <v>305</v>
      </c>
      <c r="B234" s="2938" t="s">
        <v>3094</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2865</v>
      </c>
      <c r="C238" s="2942">
        <v>6920</v>
      </c>
      <c r="D238" s="2942">
        <v>6890</v>
      </c>
      <c r="E238" s="2942">
        <v>8640</v>
      </c>
      <c r="F238" s="2942">
        <v>1310</v>
      </c>
      <c r="G238" s="2942">
        <v>4230</v>
      </c>
    </row>
    <row r="239" spans="1:7" s="2776" customFormat="1" ht="14.25" customHeight="1">
      <c r="A239" s="2942" t="s">
        <v>305</v>
      </c>
      <c r="B239" s="2942" t="s">
        <v>3095</v>
      </c>
      <c r="C239" s="2942">
        <v>6780</v>
      </c>
      <c r="D239" s="2942">
        <v>6750</v>
      </c>
      <c r="E239" s="2942">
        <v>8440</v>
      </c>
      <c r="F239" s="2942">
        <v>1160</v>
      </c>
      <c r="G239" s="2942">
        <v>4140</v>
      </c>
    </row>
    <row r="240" spans="1:7" s="2776" customFormat="1" ht="14.25" customHeight="1">
      <c r="A240" s="2942" t="s">
        <v>305</v>
      </c>
      <c r="B240" s="2942" t="s">
        <v>3096</v>
      </c>
      <c r="C240" s="2942">
        <v>5420</v>
      </c>
      <c r="D240" s="2942">
        <v>5380</v>
      </c>
      <c r="E240" s="2942">
        <v>6640</v>
      </c>
      <c r="F240" s="2942">
        <v>1020</v>
      </c>
      <c r="G240" s="2942">
        <v>3300</v>
      </c>
    </row>
    <row r="241" spans="1:7" s="2776" customFormat="1" ht="14.25" customHeight="1">
      <c r="A241" s="2942" t="s">
        <v>305</v>
      </c>
      <c r="B241" s="2942" t="s">
        <v>3097</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3098</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3099</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3100</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3101</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3102</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2927</v>
      </c>
      <c r="C258" s="2942">
        <v>6190</v>
      </c>
      <c r="D258" s="2942">
        <v>6160</v>
      </c>
      <c r="E258" s="2942">
        <v>7680</v>
      </c>
      <c r="F258" s="2942">
        <v>1170</v>
      </c>
      <c r="G258" s="2942">
        <v>3780</v>
      </c>
    </row>
    <row r="259" spans="1:7" s="2776" customFormat="1" ht="14.25" customHeight="1">
      <c r="A259" s="2942" t="s">
        <v>305</v>
      </c>
      <c r="B259" s="2942" t="s">
        <v>3103</v>
      </c>
      <c r="C259" s="2942">
        <v>7610</v>
      </c>
      <c r="D259" s="2942">
        <v>7570</v>
      </c>
      <c r="E259" s="2942">
        <v>9350</v>
      </c>
      <c r="F259" s="2942">
        <v>1350</v>
      </c>
      <c r="G259" s="2942">
        <v>4650</v>
      </c>
    </row>
    <row r="260" spans="1:7" s="2776" customFormat="1" ht="14.25" customHeight="1">
      <c r="A260" s="2942" t="s">
        <v>305</v>
      </c>
      <c r="B260" s="2942" t="s">
        <v>3104</v>
      </c>
      <c r="C260" s="2942">
        <v>6920</v>
      </c>
      <c r="D260" s="2942">
        <v>6880</v>
      </c>
      <c r="E260" s="2942">
        <v>8380</v>
      </c>
      <c r="F260" s="2942">
        <v>1160</v>
      </c>
      <c r="G260" s="2942">
        <v>4220</v>
      </c>
    </row>
    <row r="261" spans="1:7" s="2776" customFormat="1" ht="14.25" customHeight="1">
      <c r="A261" s="2942" t="s">
        <v>305</v>
      </c>
      <c r="B261" s="2942" t="s">
        <v>3105</v>
      </c>
      <c r="C261" s="2942">
        <v>6850</v>
      </c>
      <c r="D261" s="2942">
        <v>6810</v>
      </c>
      <c r="E261" s="2942">
        <v>8290</v>
      </c>
      <c r="F261" s="2942">
        <v>1130</v>
      </c>
      <c r="G261" s="2942">
        <v>4180</v>
      </c>
    </row>
    <row r="262" spans="1:7" s="2776" customFormat="1" ht="14.25" customHeight="1">
      <c r="A262" s="2942" t="s">
        <v>305</v>
      </c>
      <c r="B262" s="2942" t="s">
        <v>3106</v>
      </c>
      <c r="C262" s="2942">
        <v>5860</v>
      </c>
      <c r="D262" s="2942">
        <v>5820</v>
      </c>
      <c r="E262" s="2942">
        <v>7640</v>
      </c>
      <c r="F262" s="2942">
        <v>1070</v>
      </c>
      <c r="G262" s="2942">
        <v>3570</v>
      </c>
    </row>
    <row r="263" spans="1:7" s="2776" customFormat="1" ht="14.25" customHeight="1">
      <c r="A263" s="2942" t="s">
        <v>305</v>
      </c>
      <c r="B263" s="2942" t="s">
        <v>3107</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3108</v>
      </c>
      <c r="C265" s="2942"/>
      <c r="D265" s="2942"/>
      <c r="E265" s="2942"/>
      <c r="F265" s="2942">
        <v>1500</v>
      </c>
      <c r="G265" s="2942"/>
    </row>
    <row r="266" spans="1:7" s="2776" customFormat="1" ht="14.25" customHeight="1">
      <c r="A266" s="2942" t="s">
        <v>305</v>
      </c>
      <c r="B266" s="2942" t="s">
        <v>3109</v>
      </c>
      <c r="C266" s="2942"/>
      <c r="D266" s="2942"/>
      <c r="E266" s="2942"/>
      <c r="F266" s="2942">
        <v>1500</v>
      </c>
      <c r="G266" s="2942"/>
    </row>
    <row r="267" spans="1:7" s="2776" customFormat="1" ht="14.25" customHeight="1">
      <c r="A267" s="2942" t="s">
        <v>305</v>
      </c>
      <c r="B267" s="2942" t="s">
        <v>3110</v>
      </c>
      <c r="C267" s="2942"/>
      <c r="D267" s="2942"/>
      <c r="E267" s="2942"/>
      <c r="F267" s="2942">
        <v>1500</v>
      </c>
      <c r="G267" s="2942"/>
    </row>
    <row r="268" spans="1:7" s="2776" customFormat="1" ht="14.25" customHeight="1">
      <c r="A268" s="2942" t="s">
        <v>305</v>
      </c>
      <c r="B268" s="2942" t="s">
        <v>3111</v>
      </c>
      <c r="C268" s="2942"/>
      <c r="D268" s="2942"/>
      <c r="E268" s="2942"/>
      <c r="F268" s="2942">
        <v>1290</v>
      </c>
      <c r="G268" s="2942"/>
    </row>
    <row r="269" spans="1:7" s="2776" customFormat="1" ht="14.25" customHeight="1">
      <c r="A269" s="2942" t="s">
        <v>305</v>
      </c>
      <c r="B269" s="2942" t="s">
        <v>3112</v>
      </c>
      <c r="C269" s="2942"/>
      <c r="D269" s="2942"/>
      <c r="E269" s="2942"/>
      <c r="F269" s="2942">
        <v>1150</v>
      </c>
      <c r="G269" s="2942"/>
    </row>
    <row r="270" spans="1:7" s="2776" customFormat="1" ht="14.25" customHeight="1">
      <c r="A270" s="2942" t="s">
        <v>305</v>
      </c>
      <c r="B270" s="2942" t="s">
        <v>3113</v>
      </c>
      <c r="C270" s="2942"/>
      <c r="D270" s="2942"/>
      <c r="E270" s="2942"/>
      <c r="F270" s="2942">
        <v>1380</v>
      </c>
      <c r="G270" s="2942"/>
    </row>
    <row r="271" spans="1:7" s="2776" customFormat="1" ht="14.25" customHeight="1">
      <c r="A271" s="2942" t="s">
        <v>305</v>
      </c>
      <c r="B271" s="2942" t="s">
        <v>3114</v>
      </c>
      <c r="C271" s="2942"/>
      <c r="D271" s="2942"/>
      <c r="E271" s="2942"/>
      <c r="F271" s="2942">
        <v>1460</v>
      </c>
      <c r="G271" s="2942"/>
    </row>
    <row r="272" spans="1:7" s="2776" customFormat="1" ht="14.25" customHeight="1">
      <c r="A272" s="2942" t="s">
        <v>305</v>
      </c>
      <c r="B272" s="2942" t="s">
        <v>3115</v>
      </c>
      <c r="C272" s="2942"/>
      <c r="D272" s="2942"/>
      <c r="E272" s="2942"/>
      <c r="F272" s="2942">
        <v>1460</v>
      </c>
      <c r="G272" s="2942"/>
    </row>
    <row r="273" spans="1:7" s="2776" customFormat="1" ht="14.25" customHeight="1">
      <c r="A273" s="2942" t="s">
        <v>305</v>
      </c>
      <c r="B273" s="2942" t="s">
        <v>3008</v>
      </c>
      <c r="C273" s="2942"/>
      <c r="D273" s="2942"/>
      <c r="E273" s="2942"/>
      <c r="F273" s="2942">
        <v>1490</v>
      </c>
      <c r="G273" s="2942"/>
    </row>
    <row r="274" spans="1:7" s="2776" customFormat="1" ht="14.25" customHeight="1">
      <c r="A274" s="2942" t="s">
        <v>305</v>
      </c>
      <c r="B274" s="2942" t="s">
        <v>3116</v>
      </c>
      <c r="C274" s="2942"/>
      <c r="D274" s="2942"/>
      <c r="E274" s="2942"/>
      <c r="F274" s="2942">
        <v>1490</v>
      </c>
      <c r="G274" s="2942"/>
    </row>
    <row r="275" spans="1:7" s="2776" customFormat="1" ht="14.25" customHeight="1">
      <c r="A275" s="2942" t="s">
        <v>305</v>
      </c>
      <c r="B275" s="2942" t="s">
        <v>3117</v>
      </c>
      <c r="C275" s="2942"/>
      <c r="D275" s="2942"/>
      <c r="E275" s="2942"/>
      <c r="F275" s="2942">
        <v>1220</v>
      </c>
      <c r="G275" s="2942"/>
    </row>
    <row r="276" spans="1:7" s="2776" customFormat="1" ht="14.25" customHeight="1" thickBot="1">
      <c r="A276" s="2950" t="s">
        <v>305</v>
      </c>
      <c r="B276" s="2952" t="s">
        <v>3118</v>
      </c>
      <c r="C276" s="2953"/>
      <c r="D276" s="2953"/>
      <c r="E276" s="2953"/>
      <c r="F276" s="2953">
        <v>1380</v>
      </c>
      <c r="G276" s="2953"/>
    </row>
    <row r="277" spans="1:7" s="2776" customFormat="1" ht="14.25" customHeight="1">
      <c r="A277" s="2947" t="s">
        <v>306</v>
      </c>
      <c r="B277" s="2938" t="s">
        <v>3119</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3120</v>
      </c>
      <c r="C279" s="2942">
        <v>4760</v>
      </c>
      <c r="D279" s="2942">
        <v>4720</v>
      </c>
      <c r="E279" s="2942">
        <v>5540</v>
      </c>
      <c r="F279" s="2942">
        <v>810</v>
      </c>
      <c r="G279" s="2955">
        <v>2850</v>
      </c>
    </row>
    <row r="280" spans="1:7" s="2776" customFormat="1" ht="14.25" customHeight="1">
      <c r="A280" s="2942" t="s">
        <v>306</v>
      </c>
      <c r="B280" s="2942" t="s">
        <v>3121</v>
      </c>
      <c r="C280" s="2942">
        <v>4010</v>
      </c>
      <c r="D280" s="2942">
        <v>3950</v>
      </c>
      <c r="E280" s="2942">
        <v>4710</v>
      </c>
      <c r="F280" s="2942">
        <v>800</v>
      </c>
      <c r="G280" s="2955">
        <v>2390</v>
      </c>
    </row>
    <row r="281" spans="1:7" s="2776" customFormat="1" ht="14.25" customHeight="1">
      <c r="A281" s="2942" t="s">
        <v>306</v>
      </c>
      <c r="B281" s="2942" t="s">
        <v>3122</v>
      </c>
      <c r="C281" s="2942">
        <v>4480</v>
      </c>
      <c r="D281" s="2942">
        <v>4420</v>
      </c>
      <c r="E281" s="2942">
        <v>5230</v>
      </c>
      <c r="F281" s="2942">
        <v>870</v>
      </c>
      <c r="G281" s="2955">
        <v>2660</v>
      </c>
    </row>
    <row r="282" spans="1:7" s="2776" customFormat="1" ht="14.25" customHeight="1">
      <c r="A282" s="2942" t="s">
        <v>306</v>
      </c>
      <c r="B282" s="2942" t="s">
        <v>3123</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3124</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3125</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2900</v>
      </c>
      <c r="C293" s="2942">
        <v>5320</v>
      </c>
      <c r="D293" s="2942">
        <v>5270</v>
      </c>
      <c r="E293" s="2942">
        <v>6160</v>
      </c>
      <c r="F293" s="2942">
        <v>990</v>
      </c>
      <c r="G293" s="2955">
        <v>3170</v>
      </c>
    </row>
    <row r="294" spans="1:7" s="2776" customFormat="1" ht="14.25" customHeight="1">
      <c r="A294" s="2942" t="s">
        <v>306</v>
      </c>
      <c r="B294" s="2942" t="s">
        <v>3126</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2919</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3127</v>
      </c>
      <c r="C302" s="2942">
        <v>5520</v>
      </c>
      <c r="D302" s="2942">
        <v>5470</v>
      </c>
      <c r="E302" s="2942">
        <v>6410</v>
      </c>
      <c r="F302" s="2942">
        <v>950</v>
      </c>
      <c r="G302" s="2955">
        <v>3300</v>
      </c>
    </row>
    <row r="303" spans="1:7" s="2776" customFormat="1" ht="14.25" customHeight="1">
      <c r="A303" s="2942" t="s">
        <v>306</v>
      </c>
      <c r="B303" s="2942" t="s">
        <v>2939</v>
      </c>
      <c r="C303" s="2942">
        <v>5630</v>
      </c>
      <c r="D303" s="2942">
        <v>5590</v>
      </c>
      <c r="E303" s="2942">
        <v>6550</v>
      </c>
      <c r="F303" s="2942">
        <v>1010</v>
      </c>
      <c r="G303" s="2955">
        <v>3370</v>
      </c>
    </row>
    <row r="304" spans="1:7" s="2776" customFormat="1" ht="14.25" customHeight="1">
      <c r="A304" s="2942" t="s">
        <v>306</v>
      </c>
      <c r="B304" s="2942" t="s">
        <v>2946</v>
      </c>
      <c r="C304" s="2942">
        <v>5680</v>
      </c>
      <c r="D304" s="2942">
        <v>5620</v>
      </c>
      <c r="E304" s="2942">
        <v>6620</v>
      </c>
      <c r="F304" s="2942">
        <v>1050</v>
      </c>
      <c r="G304" s="2955">
        <v>3390</v>
      </c>
    </row>
    <row r="305" spans="1:7" s="2776" customFormat="1" ht="14.25" customHeight="1">
      <c r="A305" s="2942" t="s">
        <v>306</v>
      </c>
      <c r="B305" s="2942" t="s">
        <v>2952</v>
      </c>
      <c r="C305" s="2942">
        <v>5590</v>
      </c>
      <c r="D305" s="2942">
        <v>5530</v>
      </c>
      <c r="E305" s="2942">
        <v>6460</v>
      </c>
      <c r="F305" s="2942">
        <v>900</v>
      </c>
      <c r="G305" s="2955">
        <v>3340</v>
      </c>
    </row>
    <row r="306" spans="1:7" s="2776" customFormat="1" ht="14.25" customHeight="1">
      <c r="A306" s="2942" t="s">
        <v>306</v>
      </c>
      <c r="B306" s="2942" t="s">
        <v>3128</v>
      </c>
      <c r="C306" s="2942">
        <v>5560</v>
      </c>
      <c r="D306" s="2942">
        <v>5510</v>
      </c>
      <c r="E306" s="2942">
        <v>6440</v>
      </c>
      <c r="F306" s="2942">
        <v>900</v>
      </c>
      <c r="G306" s="2955">
        <v>3320</v>
      </c>
    </row>
    <row r="307" spans="1:7" s="2776" customFormat="1" ht="14.25" customHeight="1">
      <c r="A307" s="2942" t="s">
        <v>306</v>
      </c>
      <c r="B307" s="2942" t="s">
        <v>2964</v>
      </c>
      <c r="C307" s="2942">
        <v>5650</v>
      </c>
      <c r="D307" s="2942">
        <v>5600</v>
      </c>
      <c r="E307" s="2942">
        <v>6590</v>
      </c>
      <c r="F307" s="2942">
        <v>930</v>
      </c>
      <c r="G307" s="2955">
        <v>3380</v>
      </c>
    </row>
    <row r="308" spans="1:7" s="2776" customFormat="1" ht="14.25" customHeight="1">
      <c r="A308" s="2942" t="s">
        <v>306</v>
      </c>
      <c r="B308" s="2942" t="s">
        <v>3129</v>
      </c>
      <c r="C308" s="2942">
        <v>5620</v>
      </c>
      <c r="D308" s="2942">
        <v>5580</v>
      </c>
      <c r="E308" s="2942">
        <v>6540</v>
      </c>
      <c r="F308" s="2942">
        <v>910</v>
      </c>
      <c r="G308" s="2955">
        <v>3370</v>
      </c>
    </row>
    <row r="309" spans="1:7" s="2776" customFormat="1" ht="14.25" customHeight="1">
      <c r="A309" s="2942" t="s">
        <v>306</v>
      </c>
      <c r="B309" s="2942" t="s">
        <v>3130</v>
      </c>
      <c r="C309" s="2942">
        <v>5060</v>
      </c>
      <c r="D309" s="2942">
        <v>5020</v>
      </c>
      <c r="E309" s="2942">
        <v>6370</v>
      </c>
      <c r="F309" s="2942">
        <v>800</v>
      </c>
      <c r="G309" s="2955">
        <v>3020</v>
      </c>
    </row>
    <row r="310" spans="1:7" s="2776" customFormat="1" ht="14.25" customHeight="1">
      <c r="A310" s="2942" t="s">
        <v>306</v>
      </c>
      <c r="B310" s="2942" t="s">
        <v>2979</v>
      </c>
      <c r="C310" s="2942">
        <v>5150</v>
      </c>
      <c r="D310" s="2942">
        <v>5110</v>
      </c>
      <c r="E310" s="2942">
        <v>6500</v>
      </c>
      <c r="F310" s="2942">
        <v>880</v>
      </c>
      <c r="G310" s="2955">
        <v>3080</v>
      </c>
    </row>
    <row r="311" spans="1:7" s="2776" customFormat="1" ht="14.25" customHeight="1">
      <c r="A311" s="2942" t="s">
        <v>306</v>
      </c>
      <c r="B311" s="2942" t="s">
        <v>3131</v>
      </c>
      <c r="C311" s="2942">
        <v>4750</v>
      </c>
      <c r="D311" s="2942">
        <v>4710</v>
      </c>
      <c r="E311" s="2942">
        <v>5510</v>
      </c>
      <c r="F311" s="2942">
        <v>880</v>
      </c>
      <c r="G311" s="2955">
        <v>2840</v>
      </c>
    </row>
    <row r="312" spans="1:7" s="2776" customFormat="1" ht="14.25" customHeight="1">
      <c r="A312" s="2942" t="s">
        <v>306</v>
      </c>
      <c r="B312" s="2942" t="s">
        <v>2989</v>
      </c>
      <c r="C312" s="2942">
        <v>4690</v>
      </c>
      <c r="D312" s="2942">
        <v>4640</v>
      </c>
      <c r="E312" s="2942">
        <v>5420</v>
      </c>
      <c r="F312" s="2942">
        <v>800</v>
      </c>
      <c r="G312" s="2955">
        <v>2800</v>
      </c>
    </row>
    <row r="313" spans="1:7" s="2776" customFormat="1" ht="14.25" customHeight="1">
      <c r="A313" s="2942" t="s">
        <v>306</v>
      </c>
      <c r="B313" s="2942" t="s">
        <v>2994</v>
      </c>
      <c r="C313" s="2942">
        <v>4810</v>
      </c>
      <c r="D313" s="2942">
        <v>4760</v>
      </c>
      <c r="E313" s="2942">
        <v>5550</v>
      </c>
      <c r="F313" s="2942">
        <v>920</v>
      </c>
      <c r="G313" s="2955">
        <v>2870</v>
      </c>
    </row>
    <row r="314" spans="1:7" s="2776" customFormat="1" ht="14.25" customHeight="1">
      <c r="A314" s="2942" t="s">
        <v>306</v>
      </c>
      <c r="B314" s="2942" t="s">
        <v>3132</v>
      </c>
      <c r="C314" s="2942"/>
      <c r="D314" s="2942"/>
      <c r="E314" s="2942"/>
      <c r="F314" s="2942">
        <v>1020</v>
      </c>
      <c r="G314" s="2955"/>
    </row>
    <row r="315" spans="1:7" s="2776" customFormat="1" ht="14.25" customHeight="1">
      <c r="A315" s="2942" t="s">
        <v>306</v>
      </c>
      <c r="B315" s="2942" t="s">
        <v>3133</v>
      </c>
      <c r="C315" s="2942"/>
      <c r="D315" s="2942"/>
      <c r="E315" s="2942"/>
      <c r="F315" s="2942">
        <v>1050</v>
      </c>
      <c r="G315" s="2955"/>
    </row>
    <row r="316" spans="1:7" s="2776" customFormat="1" ht="14.25" customHeight="1">
      <c r="A316" s="2942" t="s">
        <v>306</v>
      </c>
      <c r="B316" s="2942" t="s">
        <v>3009</v>
      </c>
      <c r="C316" s="2942"/>
      <c r="D316" s="2942"/>
      <c r="E316" s="2942"/>
      <c r="F316" s="2942">
        <v>900</v>
      </c>
      <c r="G316" s="2955"/>
    </row>
    <row r="317" spans="1:7" s="2776" customFormat="1" ht="14.25" customHeight="1">
      <c r="A317" s="2942" t="s">
        <v>306</v>
      </c>
      <c r="B317" s="2942" t="s">
        <v>3134</v>
      </c>
      <c r="C317" s="2942"/>
      <c r="D317" s="2942"/>
      <c r="E317" s="2942"/>
      <c r="F317" s="2942">
        <v>920</v>
      </c>
      <c r="G317" s="2955"/>
    </row>
    <row r="318" spans="1:7" s="2776" customFormat="1" ht="14.25" customHeight="1">
      <c r="A318" s="2942" t="s">
        <v>306</v>
      </c>
      <c r="B318" s="2942" t="s">
        <v>3135</v>
      </c>
      <c r="C318" s="2942"/>
      <c r="D318" s="2942"/>
      <c r="E318" s="2942"/>
      <c r="F318" s="2942">
        <v>1080</v>
      </c>
      <c r="G318" s="2955"/>
    </row>
    <row r="319" spans="1:7" s="2776" customFormat="1" ht="14.25" customHeight="1">
      <c r="A319" s="2942" t="s">
        <v>306</v>
      </c>
      <c r="B319" s="2942" t="s">
        <v>3022</v>
      </c>
      <c r="C319" s="2942"/>
      <c r="D319" s="2942"/>
      <c r="E319" s="2942"/>
      <c r="F319" s="2942">
        <v>1020</v>
      </c>
      <c r="G319" s="2955"/>
    </row>
    <row r="320" spans="1:7" s="2776" customFormat="1" ht="14.25" customHeight="1">
      <c r="A320" s="2942" t="s">
        <v>306</v>
      </c>
      <c r="B320" s="2942" t="s">
        <v>3025</v>
      </c>
      <c r="C320" s="2942"/>
      <c r="D320" s="2942"/>
      <c r="E320" s="2942"/>
      <c r="F320" s="2942">
        <v>1050</v>
      </c>
      <c r="G320" s="2955"/>
    </row>
    <row r="321" spans="1:7" s="2776" customFormat="1" ht="14.25" customHeight="1">
      <c r="A321" s="2942" t="s">
        <v>306</v>
      </c>
      <c r="B321" s="2942" t="s">
        <v>3027</v>
      </c>
      <c r="C321" s="2942"/>
      <c r="D321" s="2942"/>
      <c r="E321" s="2942"/>
      <c r="F321" s="2942">
        <v>960</v>
      </c>
      <c r="G321" s="2955"/>
    </row>
    <row r="322" spans="1:7" s="2776" customFormat="1" ht="14.25" customHeight="1">
      <c r="A322" s="2942" t="s">
        <v>306</v>
      </c>
      <c r="B322" s="2942" t="s">
        <v>3029</v>
      </c>
      <c r="C322" s="2942"/>
      <c r="D322" s="2942"/>
      <c r="E322" s="2942"/>
      <c r="F322" s="2942">
        <v>960</v>
      </c>
      <c r="G322" s="2955"/>
    </row>
    <row r="323" spans="1:7" s="2776" customFormat="1" ht="14.25" customHeight="1">
      <c r="A323" s="2942" t="s">
        <v>306</v>
      </c>
      <c r="B323" s="2942" t="s">
        <v>3031</v>
      </c>
      <c r="C323" s="2942"/>
      <c r="D323" s="2942"/>
      <c r="E323" s="2942"/>
      <c r="F323" s="2942">
        <v>880</v>
      </c>
      <c r="G323" s="2955"/>
    </row>
    <row r="324" spans="1:7" s="2776" customFormat="1" ht="14.25" customHeight="1">
      <c r="A324" s="2942" t="s">
        <v>306</v>
      </c>
      <c r="B324" s="2942" t="s">
        <v>3033</v>
      </c>
      <c r="C324" s="2942"/>
      <c r="D324" s="2942"/>
      <c r="E324" s="2942"/>
      <c r="F324" s="2942">
        <v>930</v>
      </c>
      <c r="G324" s="2955"/>
    </row>
    <row r="325" spans="1:7" s="2776" customFormat="1" ht="14.25" customHeight="1">
      <c r="A325" s="2942" t="s">
        <v>306</v>
      </c>
      <c r="B325" s="2943" t="s">
        <v>3035</v>
      </c>
      <c r="C325" s="2942"/>
      <c r="D325" s="2942"/>
      <c r="E325" s="2942"/>
      <c r="F325" s="2942">
        <v>900</v>
      </c>
      <c r="G325" s="2955"/>
    </row>
    <row r="326" spans="1:7" s="2776" customFormat="1" ht="14.25" customHeight="1" thickBot="1">
      <c r="A326" s="2956" t="s">
        <v>306</v>
      </c>
      <c r="B326" s="2949" t="s">
        <v>3037</v>
      </c>
      <c r="C326" s="2949"/>
      <c r="D326" s="2949"/>
      <c r="E326" s="2949"/>
      <c r="F326" s="2949">
        <v>790</v>
      </c>
      <c r="G326" s="2957"/>
    </row>
    <row r="327" spans="1:7" s="2776" customFormat="1" ht="14.25" customHeight="1">
      <c r="A327" s="2947" t="s">
        <v>307</v>
      </c>
      <c r="B327" s="2938" t="s">
        <v>3136</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3137</v>
      </c>
      <c r="C329" s="2942">
        <v>2730</v>
      </c>
      <c r="D329" s="2942">
        <v>2690</v>
      </c>
      <c r="E329" s="2942">
        <v>3100</v>
      </c>
      <c r="F329" s="2942">
        <v>660</v>
      </c>
      <c r="G329" s="2942">
        <v>1610</v>
      </c>
    </row>
    <row r="330" spans="1:7" s="2776" customFormat="1" ht="14.25" customHeight="1">
      <c r="A330" s="2942" t="s">
        <v>307</v>
      </c>
      <c r="B330" s="2942" t="s">
        <v>3138</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2871</v>
      </c>
      <c r="C332" s="2942">
        <v>3520</v>
      </c>
      <c r="D332" s="2942">
        <v>3480</v>
      </c>
      <c r="E332" s="2942">
        <v>3830</v>
      </c>
      <c r="F332" s="2942">
        <v>720</v>
      </c>
      <c r="G332" s="2942">
        <v>2090</v>
      </c>
    </row>
    <row r="333" spans="1:7" s="2776" customFormat="1" ht="14.25" customHeight="1">
      <c r="A333" s="2942" t="s">
        <v>307</v>
      </c>
      <c r="B333" s="2942" t="s">
        <v>3139</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2881</v>
      </c>
      <c r="C336" s="2942">
        <v>3570</v>
      </c>
      <c r="D336" s="2942">
        <v>3530</v>
      </c>
      <c r="E336" s="2942">
        <v>3880</v>
      </c>
      <c r="F336" s="2942">
        <v>770</v>
      </c>
      <c r="G336" s="2942">
        <v>2110</v>
      </c>
    </row>
    <row r="337" spans="1:10" s="2776" customFormat="1" ht="14.25" customHeight="1">
      <c r="A337" s="2942" t="s">
        <v>307</v>
      </c>
      <c r="B337" s="2942" t="s">
        <v>3140</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3141</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3142</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2906</v>
      </c>
      <c r="C345" s="2942">
        <v>3190</v>
      </c>
      <c r="D345" s="2942">
        <v>3140</v>
      </c>
      <c r="E345" s="2942">
        <v>3450</v>
      </c>
      <c r="F345" s="2942">
        <v>720</v>
      </c>
      <c r="G345" s="2942">
        <v>1880</v>
      </c>
      <c r="J345" s="2776"/>
    </row>
    <row r="346" spans="1:10">
      <c r="A346" s="2942" t="s">
        <v>307</v>
      </c>
      <c r="B346" s="2942" t="s">
        <v>3143</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2915</v>
      </c>
      <c r="C348" s="2942">
        <v>4000</v>
      </c>
      <c r="D348" s="2942">
        <v>3950</v>
      </c>
      <c r="E348" s="2942">
        <v>4430</v>
      </c>
      <c r="F348" s="2942">
        <v>760</v>
      </c>
      <c r="G348" s="2942">
        <v>2360</v>
      </c>
      <c r="J348" s="2776"/>
    </row>
    <row r="349" spans="1:10">
      <c r="A349" s="2942" t="s">
        <v>307</v>
      </c>
      <c r="B349" s="2942" t="s">
        <v>2920</v>
      </c>
      <c r="C349" s="2942">
        <v>3820</v>
      </c>
      <c r="D349" s="2942">
        <v>3780</v>
      </c>
      <c r="E349" s="2942">
        <v>4170</v>
      </c>
      <c r="F349" s="2942">
        <v>710</v>
      </c>
      <c r="G349" s="2942">
        <v>2260</v>
      </c>
      <c r="J349" s="2776"/>
    </row>
    <row r="350" spans="1:10">
      <c r="A350" s="2942" t="s">
        <v>307</v>
      </c>
      <c r="B350" s="2942" t="s">
        <v>3144</v>
      </c>
      <c r="C350" s="2942">
        <v>3760</v>
      </c>
      <c r="D350" s="2942">
        <v>3730</v>
      </c>
      <c r="E350" s="2942">
        <v>4100</v>
      </c>
      <c r="F350" s="2942">
        <v>800</v>
      </c>
      <c r="G350" s="2942">
        <v>2230</v>
      </c>
      <c r="J350" s="2776"/>
    </row>
    <row r="351" spans="1:10">
      <c r="A351" s="2942" t="s">
        <v>307</v>
      </c>
      <c r="B351" s="2942" t="s">
        <v>2928</v>
      </c>
      <c r="C351" s="2942">
        <v>3610</v>
      </c>
      <c r="D351" s="2942">
        <v>3580</v>
      </c>
      <c r="E351" s="2942">
        <v>3930</v>
      </c>
      <c r="F351" s="2942">
        <v>700</v>
      </c>
      <c r="G351" s="2942">
        <v>2140</v>
      </c>
      <c r="J351" s="2776"/>
    </row>
    <row r="352" spans="1:10">
      <c r="A352" s="2942" t="s">
        <v>307</v>
      </c>
      <c r="B352" s="2942" t="s">
        <v>2933</v>
      </c>
      <c r="C352" s="2942">
        <v>3670</v>
      </c>
      <c r="D352" s="2942">
        <v>3630</v>
      </c>
      <c r="E352" s="2942">
        <v>4000</v>
      </c>
      <c r="F352" s="2942">
        <v>750</v>
      </c>
      <c r="G352" s="2942">
        <v>2180</v>
      </c>
    </row>
    <row r="353" spans="1:7" s="2777" customFormat="1">
      <c r="A353" s="2942" t="s">
        <v>307</v>
      </c>
      <c r="B353" s="2942" t="s">
        <v>3145</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2953</v>
      </c>
      <c r="C355" s="2942">
        <v>3650</v>
      </c>
      <c r="D355" s="2942">
        <v>3610</v>
      </c>
      <c r="E355" s="2942">
        <v>4200</v>
      </c>
      <c r="F355" s="2942">
        <v>640</v>
      </c>
      <c r="G355" s="2942">
        <v>2160</v>
      </c>
    </row>
    <row r="356" spans="1:7" s="2777" customFormat="1">
      <c r="A356" s="2942" t="s">
        <v>307</v>
      </c>
      <c r="B356" s="2942" t="s">
        <v>2960</v>
      </c>
      <c r="C356" s="2942">
        <v>3260</v>
      </c>
      <c r="D356" s="2942">
        <v>3230</v>
      </c>
      <c r="E356" s="2942">
        <v>3740</v>
      </c>
      <c r="F356" s="2942">
        <v>600</v>
      </c>
      <c r="G356" s="2942">
        <v>1930</v>
      </c>
    </row>
    <row r="357" spans="1:7" s="2777" customFormat="1" ht="12" thickBot="1">
      <c r="A357" s="2950" t="s">
        <v>307</v>
      </c>
      <c r="B357" s="2953" t="s">
        <v>3146</v>
      </c>
      <c r="C357" s="2953">
        <v>3690</v>
      </c>
      <c r="D357" s="2953">
        <v>3650</v>
      </c>
      <c r="E357" s="2953">
        <v>4020</v>
      </c>
      <c r="F357" s="2953">
        <v>700</v>
      </c>
      <c r="G357" s="2953">
        <v>2190</v>
      </c>
    </row>
    <row r="358" spans="1:7" s="2777" customFormat="1">
      <c r="A358" s="2947" t="s">
        <v>3147</v>
      </c>
      <c r="B358" s="2938" t="s">
        <v>3148</v>
      </c>
      <c r="C358" s="2938">
        <v>2080</v>
      </c>
      <c r="D358" s="2938">
        <v>2040</v>
      </c>
      <c r="E358" s="2938">
        <v>2010</v>
      </c>
      <c r="F358" s="2938">
        <v>530</v>
      </c>
      <c r="G358" s="2954">
        <v>1230</v>
      </c>
    </row>
    <row r="359" spans="1:7" s="2777" customFormat="1">
      <c r="A359" s="2942" t="s">
        <v>3147</v>
      </c>
      <c r="B359" s="2942" t="s">
        <v>3149</v>
      </c>
      <c r="C359" s="2942">
        <v>1850</v>
      </c>
      <c r="D359" s="2942">
        <v>1820</v>
      </c>
      <c r="E359" s="2942">
        <v>1780</v>
      </c>
      <c r="F359" s="2942">
        <v>520</v>
      </c>
      <c r="G359" s="2955">
        <v>1100</v>
      </c>
    </row>
    <row r="360" spans="1:7" s="2777" customFormat="1">
      <c r="A360" s="2942" t="s">
        <v>3147</v>
      </c>
      <c r="B360" s="2942" t="s">
        <v>3150</v>
      </c>
      <c r="C360" s="2942">
        <v>2020</v>
      </c>
      <c r="D360" s="2942">
        <v>1990</v>
      </c>
      <c r="E360" s="2942">
        <v>1950</v>
      </c>
      <c r="F360" s="2942">
        <v>500</v>
      </c>
      <c r="G360" s="2955">
        <v>1200</v>
      </c>
    </row>
    <row r="361" spans="1:7" s="2777" customFormat="1">
      <c r="A361" s="2942" t="s">
        <v>3147</v>
      </c>
      <c r="B361" s="2942" t="s">
        <v>153</v>
      </c>
      <c r="C361" s="2942">
        <v>2260</v>
      </c>
      <c r="D361" s="2942">
        <v>2220</v>
      </c>
      <c r="E361" s="2942">
        <v>2180</v>
      </c>
      <c r="F361" s="2942">
        <v>580</v>
      </c>
      <c r="G361" s="2955">
        <v>1340</v>
      </c>
    </row>
    <row r="362" spans="1:7" s="2777" customFormat="1">
      <c r="A362" s="2942" t="s">
        <v>3147</v>
      </c>
      <c r="B362" s="2942" t="s">
        <v>3151</v>
      </c>
      <c r="C362" s="2942">
        <v>2650</v>
      </c>
      <c r="D362" s="2942">
        <v>2610</v>
      </c>
      <c r="E362" s="2942">
        <v>2570</v>
      </c>
      <c r="F362" s="2942">
        <v>630</v>
      </c>
      <c r="G362" s="2955">
        <v>1570</v>
      </c>
    </row>
    <row r="363" spans="1:7" s="2777" customFormat="1">
      <c r="A363" s="2942" t="s">
        <v>3147</v>
      </c>
      <c r="B363" s="2942" t="s">
        <v>2872</v>
      </c>
      <c r="C363" s="2942">
        <v>2390</v>
      </c>
      <c r="D363" s="2942">
        <v>2360</v>
      </c>
      <c r="E363" s="2942">
        <v>2320</v>
      </c>
      <c r="F363" s="2942">
        <v>600</v>
      </c>
      <c r="G363" s="2955">
        <v>1420</v>
      </c>
    </row>
    <row r="364" spans="1:7" s="2777" customFormat="1">
      <c r="A364" s="2942" t="s">
        <v>3147</v>
      </c>
      <c r="B364" s="2942" t="s">
        <v>3152</v>
      </c>
      <c r="C364" s="2942">
        <v>2050</v>
      </c>
      <c r="D364" s="2942">
        <v>2030</v>
      </c>
      <c r="E364" s="2942">
        <v>1990</v>
      </c>
      <c r="F364" s="2942">
        <v>550</v>
      </c>
      <c r="G364" s="2955">
        <v>1220</v>
      </c>
    </row>
    <row r="365" spans="1:7" s="2777" customFormat="1">
      <c r="A365" s="2942" t="s">
        <v>3147</v>
      </c>
      <c r="B365" s="2942" t="s">
        <v>200</v>
      </c>
      <c r="C365" s="2942">
        <v>2140</v>
      </c>
      <c r="D365" s="2942">
        <v>2100</v>
      </c>
      <c r="E365" s="2942">
        <v>2060</v>
      </c>
      <c r="F365" s="2942">
        <v>540</v>
      </c>
      <c r="G365" s="2955">
        <v>1270</v>
      </c>
    </row>
    <row r="366" spans="1:7" s="2777" customFormat="1">
      <c r="A366" s="2942" t="s">
        <v>3147</v>
      </c>
      <c r="B366" s="2942" t="s">
        <v>2879</v>
      </c>
      <c r="C366" s="2942">
        <v>2410</v>
      </c>
      <c r="D366" s="2942">
        <v>2370</v>
      </c>
      <c r="E366" s="2942">
        <v>2330</v>
      </c>
      <c r="F366" s="2942">
        <v>570</v>
      </c>
      <c r="G366" s="2955">
        <v>1440</v>
      </c>
    </row>
    <row r="367" spans="1:7" s="2777" customFormat="1">
      <c r="A367" s="2942" t="s">
        <v>3147</v>
      </c>
      <c r="B367" s="2942" t="s">
        <v>3153</v>
      </c>
      <c r="C367" s="2942">
        <v>2300</v>
      </c>
      <c r="D367" s="2942">
        <v>2260</v>
      </c>
      <c r="E367" s="2942">
        <v>2220</v>
      </c>
      <c r="F367" s="2942">
        <v>560</v>
      </c>
      <c r="G367" s="2955">
        <v>1370</v>
      </c>
    </row>
    <row r="368" spans="1:7" s="2777" customFormat="1">
      <c r="A368" s="2942" t="s">
        <v>3147</v>
      </c>
      <c r="B368" s="2942" t="s">
        <v>3154</v>
      </c>
      <c r="C368" s="2942">
        <v>2430</v>
      </c>
      <c r="D368" s="2942">
        <v>2390</v>
      </c>
      <c r="E368" s="2942">
        <v>2350</v>
      </c>
      <c r="F368" s="2942">
        <v>570</v>
      </c>
      <c r="G368" s="2955">
        <v>1450</v>
      </c>
    </row>
    <row r="369" spans="1:7" s="2777" customFormat="1">
      <c r="A369" s="2942" t="s">
        <v>3147</v>
      </c>
      <c r="B369" s="2942" t="s">
        <v>214</v>
      </c>
      <c r="C369" s="2942">
        <v>2320</v>
      </c>
      <c r="D369" s="2942">
        <v>2290</v>
      </c>
      <c r="E369" s="2942">
        <v>2250</v>
      </c>
      <c r="F369" s="2942">
        <v>550</v>
      </c>
      <c r="G369" s="2955">
        <v>1380</v>
      </c>
    </row>
    <row r="370" spans="1:7" s="2777" customFormat="1">
      <c r="A370" s="2942" t="s">
        <v>3147</v>
      </c>
      <c r="B370" s="2942" t="s">
        <v>221</v>
      </c>
      <c r="C370" s="2942">
        <v>2190</v>
      </c>
      <c r="D370" s="2942">
        <v>2170</v>
      </c>
      <c r="E370" s="2942">
        <v>2130</v>
      </c>
      <c r="F370" s="2942">
        <v>530</v>
      </c>
      <c r="G370" s="2955">
        <v>1310</v>
      </c>
    </row>
    <row r="371" spans="1:7" s="2777" customFormat="1">
      <c r="A371" s="2942" t="s">
        <v>3147</v>
      </c>
      <c r="B371" s="2942" t="s">
        <v>229</v>
      </c>
      <c r="C371" s="2942">
        <v>2460</v>
      </c>
      <c r="D371" s="2942">
        <v>2420</v>
      </c>
      <c r="E371" s="2942">
        <v>2370</v>
      </c>
      <c r="F371" s="2942">
        <v>560</v>
      </c>
      <c r="G371" s="2955">
        <v>1470</v>
      </c>
    </row>
    <row r="372" spans="1:7" s="2777" customFormat="1">
      <c r="A372" s="2942" t="s">
        <v>3147</v>
      </c>
      <c r="B372" s="2942" t="s">
        <v>3155</v>
      </c>
      <c r="C372" s="2942">
        <v>2250</v>
      </c>
      <c r="D372" s="2942">
        <v>2210</v>
      </c>
      <c r="E372" s="2942">
        <v>2180</v>
      </c>
      <c r="F372" s="2942">
        <v>550</v>
      </c>
      <c r="G372" s="2955">
        <v>1340</v>
      </c>
    </row>
    <row r="373" spans="1:7" s="2777" customFormat="1">
      <c r="A373" s="2942" t="s">
        <v>3147</v>
      </c>
      <c r="B373" s="2942" t="s">
        <v>258</v>
      </c>
      <c r="C373" s="2942">
        <v>2210</v>
      </c>
      <c r="D373" s="2942">
        <v>2190</v>
      </c>
      <c r="E373" s="2942">
        <v>2150</v>
      </c>
      <c r="F373" s="2942">
        <v>530</v>
      </c>
      <c r="G373" s="2955">
        <v>1320</v>
      </c>
    </row>
    <row r="374" spans="1:7" s="2777" customFormat="1">
      <c r="A374" s="2942" t="s">
        <v>3147</v>
      </c>
      <c r="B374" s="2942" t="s">
        <v>266</v>
      </c>
      <c r="C374" s="2942">
        <v>2320</v>
      </c>
      <c r="D374" s="2942">
        <v>2280</v>
      </c>
      <c r="E374" s="2942">
        <v>2230</v>
      </c>
      <c r="F374" s="2942">
        <v>580</v>
      </c>
      <c r="G374" s="2955">
        <v>1380</v>
      </c>
    </row>
    <row r="375" spans="1:7" s="2777" customFormat="1">
      <c r="A375" s="2942" t="s">
        <v>3147</v>
      </c>
      <c r="B375" s="2942" t="s">
        <v>3156</v>
      </c>
      <c r="C375" s="2942">
        <v>2090</v>
      </c>
      <c r="D375" s="2942">
        <v>2050</v>
      </c>
      <c r="E375" s="2942">
        <v>2020</v>
      </c>
      <c r="F375" s="2942">
        <v>520</v>
      </c>
      <c r="G375" s="2955">
        <v>1240</v>
      </c>
    </row>
    <row r="376" spans="1:7" s="2777" customFormat="1">
      <c r="A376" s="2942" t="s">
        <v>3147</v>
      </c>
      <c r="B376" s="2942" t="s">
        <v>277</v>
      </c>
      <c r="C376" s="2942">
        <v>2010</v>
      </c>
      <c r="D376" s="2942">
        <v>1980</v>
      </c>
      <c r="E376" s="2942">
        <v>1940</v>
      </c>
      <c r="F376" s="2942">
        <v>540</v>
      </c>
      <c r="G376" s="2955">
        <v>1190</v>
      </c>
    </row>
    <row r="377" spans="1:7" s="2777" customFormat="1" ht="12" thickBot="1">
      <c r="A377" s="2950" t="s">
        <v>3147</v>
      </c>
      <c r="B377" s="2953" t="s">
        <v>2909</v>
      </c>
      <c r="C377" s="2953">
        <v>1930</v>
      </c>
      <c r="D377" s="2953">
        <v>1890</v>
      </c>
      <c r="E377" s="2953">
        <v>1860</v>
      </c>
      <c r="F377" s="2953">
        <v>530</v>
      </c>
      <c r="G377" s="2958">
        <v>1150</v>
      </c>
    </row>
    <row r="378" spans="1:7" s="2777" customFormat="1">
      <c r="A378" s="2959" t="s">
        <v>3157</v>
      </c>
      <c r="B378" s="2938" t="s">
        <v>3158</v>
      </c>
      <c r="C378" s="2938">
        <v>1520</v>
      </c>
      <c r="D378" s="2938">
        <v>1490</v>
      </c>
      <c r="E378" s="2938">
        <v>1460</v>
      </c>
      <c r="F378" s="2938">
        <v>460</v>
      </c>
      <c r="G378" s="2954">
        <v>940</v>
      </c>
    </row>
    <row r="379" spans="1:7" s="2777" customFormat="1">
      <c r="A379" s="2960" t="s">
        <v>3157</v>
      </c>
      <c r="B379" s="2942" t="s">
        <v>3159</v>
      </c>
      <c r="C379" s="2942">
        <v>1500</v>
      </c>
      <c r="D379" s="2942">
        <v>1470</v>
      </c>
      <c r="E379" s="2942">
        <v>1430</v>
      </c>
      <c r="F379" s="2942">
        <v>460</v>
      </c>
      <c r="G379" s="2955">
        <v>920</v>
      </c>
    </row>
    <row r="380" spans="1:7" s="2777" customFormat="1">
      <c r="A380" s="2960" t="s">
        <v>3157</v>
      </c>
      <c r="B380" s="2942" t="s">
        <v>3160</v>
      </c>
      <c r="C380" s="2942">
        <v>1620</v>
      </c>
      <c r="D380" s="2942">
        <v>1590</v>
      </c>
      <c r="E380" s="2942">
        <v>1560</v>
      </c>
      <c r="F380" s="2942">
        <v>480</v>
      </c>
      <c r="G380" s="2955">
        <v>1000</v>
      </c>
    </row>
    <row r="381" spans="1:7" s="2777" customFormat="1">
      <c r="A381" s="2960" t="s">
        <v>3157</v>
      </c>
      <c r="B381" s="2942" t="s">
        <v>3161</v>
      </c>
      <c r="C381" s="2942">
        <v>1460</v>
      </c>
      <c r="D381" s="2942">
        <v>1430</v>
      </c>
      <c r="E381" s="2942">
        <v>1390</v>
      </c>
      <c r="F381" s="2942">
        <v>450</v>
      </c>
      <c r="G381" s="2955">
        <v>900</v>
      </c>
    </row>
    <row r="382" spans="1:7" s="2777" customFormat="1">
      <c r="A382" s="2960" t="s">
        <v>3157</v>
      </c>
      <c r="B382" s="2942" t="s">
        <v>3162</v>
      </c>
      <c r="C382" s="2942">
        <v>1310</v>
      </c>
      <c r="D382" s="2942">
        <v>1280</v>
      </c>
      <c r="E382" s="2942">
        <v>1250</v>
      </c>
      <c r="F382" s="2942">
        <v>440</v>
      </c>
      <c r="G382" s="2955">
        <v>800</v>
      </c>
    </row>
    <row r="383" spans="1:7" s="2777" customFormat="1">
      <c r="A383" s="2960" t="s">
        <v>3157</v>
      </c>
      <c r="B383" s="2942" t="s">
        <v>3163</v>
      </c>
      <c r="C383" s="2942">
        <v>1260</v>
      </c>
      <c r="D383" s="2942">
        <v>1230</v>
      </c>
      <c r="E383" s="2942">
        <v>1200</v>
      </c>
      <c r="F383" s="2942">
        <v>420</v>
      </c>
      <c r="G383" s="2955">
        <v>770</v>
      </c>
    </row>
    <row r="384" spans="1:7" s="2777" customFormat="1" ht="12" thickBot="1">
      <c r="A384" s="2961" t="s">
        <v>3157</v>
      </c>
      <c r="B384" s="2949" t="s">
        <v>3164</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45873</v>
      </c>
      <c r="D1" s="1211" t="s">
        <v>603</v>
      </c>
      <c r="E1" s="1206">
        <f>'数据-取费表'!B22</f>
        <v>2</v>
      </c>
      <c r="F1" s="1211" t="s">
        <v>604</v>
      </c>
      <c r="G1" s="1207">
        <f ca="1">INDIRECT("d"&amp;$K$1)/100</f>
        <v>0.03</v>
      </c>
      <c r="H1" s="1211" t="s">
        <v>634</v>
      </c>
      <c r="I1" s="1207">
        <f ca="1">F4/100</f>
        <v>1.4999999999999999E-2</v>
      </c>
      <c r="J1" s="1212">
        <f>IF(C1&gt;C13,0,MATCH(C1,C$13:C$115,-1))+IF(SUMIF(C13:C115,C1,D13:D115)=0,13,12)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3.5</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70">
        <v>45797</v>
      </c>
      <c r="D13" s="1195">
        <v>3</v>
      </c>
      <c r="E13" s="1195">
        <v>3</v>
      </c>
      <c r="F13" s="1195">
        <f t="shared" ref="F13:F18" si="0">D13</f>
        <v>3</v>
      </c>
      <c r="G13" s="1195">
        <f t="shared" ref="G13:G18" si="1">D13</f>
        <v>3</v>
      </c>
      <c r="H13" s="1195">
        <v>3.5</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45586</v>
      </c>
      <c r="D14" s="1199">
        <v>3.1</v>
      </c>
      <c r="E14" s="1199">
        <f>D14</f>
        <v>3.1</v>
      </c>
      <c r="F14" s="1199">
        <f t="shared" si="0"/>
        <v>3.1</v>
      </c>
      <c r="G14" s="1199">
        <f t="shared" si="1"/>
        <v>3.1</v>
      </c>
      <c r="H14" s="1199">
        <v>3.6</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45495</v>
      </c>
      <c r="D15" s="1199">
        <v>3.35</v>
      </c>
      <c r="E15" s="1199">
        <f>D15</f>
        <v>3.35</v>
      </c>
      <c r="F15" s="1199">
        <f t="shared" si="0"/>
        <v>3.35</v>
      </c>
      <c r="G15" s="1199">
        <f t="shared" si="1"/>
        <v>3.35</v>
      </c>
      <c r="H15" s="1199">
        <v>3.85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45342</v>
      </c>
      <c r="D16" s="1199">
        <v>3.45</v>
      </c>
      <c r="E16" s="1199">
        <f>D16</f>
        <v>3.45</v>
      </c>
      <c r="F16" s="1199">
        <f t="shared" si="0"/>
        <v>3.45</v>
      </c>
      <c r="G16" s="1199">
        <f t="shared" si="1"/>
        <v>3.45</v>
      </c>
      <c r="H16" s="1199">
        <v>3.95</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45159</v>
      </c>
      <c r="D17" s="1199">
        <v>3.45</v>
      </c>
      <c r="E17" s="1199">
        <f>D17</f>
        <v>3.45</v>
      </c>
      <c r="F17" s="1199">
        <f t="shared" si="0"/>
        <v>3.45</v>
      </c>
      <c r="G17" s="1199">
        <f t="shared" si="1"/>
        <v>3.45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45097</v>
      </c>
      <c r="D18" s="1199">
        <v>3.55</v>
      </c>
      <c r="E18" s="1199">
        <f>D18</f>
        <v>3.55</v>
      </c>
      <c r="F18" s="1199">
        <f t="shared" si="0"/>
        <v>3.55</v>
      </c>
      <c r="G18" s="1199">
        <f t="shared" si="1"/>
        <v>3.55</v>
      </c>
      <c r="H18" s="1199">
        <v>4.2</v>
      </c>
      <c r="I18" s="1195"/>
      <c r="J18" s="1195"/>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3"/>
      <c r="B19" s="1194"/>
      <c r="C19" s="1200">
        <v>44795</v>
      </c>
      <c r="D19" s="1199">
        <v>3.65</v>
      </c>
      <c r="E19" s="1199">
        <v>3.65</v>
      </c>
      <c r="F19" s="1199">
        <v>3.65</v>
      </c>
      <c r="G19" s="1199">
        <v>3.65</v>
      </c>
      <c r="H19" s="1199">
        <v>4.3</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44701</v>
      </c>
      <c r="D20" s="1199">
        <v>3.7</v>
      </c>
      <c r="E20" s="1199">
        <f>D20</f>
        <v>3.7</v>
      </c>
      <c r="F20" s="1199">
        <f>D20</f>
        <v>3.7</v>
      </c>
      <c r="G20" s="1199">
        <f>D20</f>
        <v>3.7</v>
      </c>
      <c r="H20" s="1199">
        <v>4.45</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4"/>
      <c r="C21" s="1200">
        <v>44581</v>
      </c>
      <c r="D21" s="1199">
        <v>3.7</v>
      </c>
      <c r="E21" s="1199">
        <f>D21</f>
        <v>3.7</v>
      </c>
      <c r="F21" s="1199">
        <f>D21</f>
        <v>3.7</v>
      </c>
      <c r="G21" s="1199">
        <f>D21</f>
        <v>3.7</v>
      </c>
      <c r="H21" s="1199">
        <v>4.5999999999999996</v>
      </c>
      <c r="I21" s="1195"/>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44550</v>
      </c>
      <c r="D22" s="1199">
        <v>3.8</v>
      </c>
      <c r="E22" s="1199">
        <f>D22</f>
        <v>3.8</v>
      </c>
      <c r="F22" s="1199">
        <f>D22</f>
        <v>3.8</v>
      </c>
      <c r="G22" s="1199">
        <f>D22</f>
        <v>3.8</v>
      </c>
      <c r="H22" s="1199">
        <v>4.6500000000000004</v>
      </c>
      <c r="I22" s="1199"/>
      <c r="J22" s="1195"/>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71"/>
      <c r="B23" s="1199"/>
      <c r="C23" s="1200">
        <v>43941</v>
      </c>
      <c r="D23" s="1199">
        <v>3.85</v>
      </c>
      <c r="E23" s="1199">
        <v>3.85</v>
      </c>
      <c r="F23" s="1199">
        <v>3.85</v>
      </c>
      <c r="G23" s="1199">
        <v>3.85</v>
      </c>
      <c r="H23" s="1199">
        <v>4.6500000000000004</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43881</v>
      </c>
      <c r="D24" s="1199">
        <v>4.05</v>
      </c>
      <c r="E24" s="1199">
        <v>4.05</v>
      </c>
      <c r="F24" s="1199">
        <v>4.05</v>
      </c>
      <c r="G24" s="1199">
        <v>4.05</v>
      </c>
      <c r="H24" s="1199">
        <v>4.75</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43789</v>
      </c>
      <c r="D25" s="1199">
        <v>4.1500000000000004</v>
      </c>
      <c r="E25" s="1199">
        <v>4.1500000000000004</v>
      </c>
      <c r="F25" s="1199">
        <v>4.1500000000000004</v>
      </c>
      <c r="G25" s="1199">
        <v>4.1500000000000004</v>
      </c>
      <c r="H25" s="1199">
        <v>4.8</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43728</v>
      </c>
      <c r="D26" s="1199">
        <v>4.2</v>
      </c>
      <c r="E26" s="1199">
        <v>4.2</v>
      </c>
      <c r="F26" s="1199">
        <v>4.2</v>
      </c>
      <c r="G26" s="1199">
        <v>4.2</v>
      </c>
      <c r="H26" s="1199">
        <v>4.8499999999999996</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1194" t="s">
        <v>2293</v>
      </c>
      <c r="C27" s="1201">
        <v>43697</v>
      </c>
      <c r="D27" s="2569">
        <v>4.25</v>
      </c>
      <c r="E27" s="2569">
        <v>4.25</v>
      </c>
      <c r="F27" s="2569">
        <v>4.25</v>
      </c>
      <c r="G27" s="2569">
        <v>4.25</v>
      </c>
      <c r="H27" s="2569">
        <v>4.8499999999999996</v>
      </c>
      <c r="I27" s="2569"/>
      <c r="J27" s="2569"/>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ht="14.25">
      <c r="B28" s="2572"/>
      <c r="C28" s="2573">
        <v>42301</v>
      </c>
      <c r="D28" s="2574">
        <v>4.3499999999999996</v>
      </c>
      <c r="E28" s="2574">
        <v>4.3499999999999996</v>
      </c>
      <c r="F28" s="2574">
        <v>4.75</v>
      </c>
      <c r="G28" s="2574">
        <v>4.75</v>
      </c>
      <c r="H28" s="2574">
        <v>4.9000000000000004</v>
      </c>
      <c r="I28" s="2574"/>
      <c r="J28" s="2574"/>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42242</v>
      </c>
      <c r="D29" s="1199">
        <v>4.5999999999999996</v>
      </c>
      <c r="E29" s="1199">
        <v>4.5999999999999996</v>
      </c>
      <c r="F29" s="1199">
        <v>5</v>
      </c>
      <c r="G29" s="1199">
        <v>5</v>
      </c>
      <c r="H29" s="1199">
        <v>5.15</v>
      </c>
      <c r="I29" s="1199">
        <v>2.75</v>
      </c>
      <c r="J29" s="1199">
        <v>3.25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42183</v>
      </c>
      <c r="D30" s="1199">
        <v>4.8499999999999996</v>
      </c>
      <c r="E30" s="1199">
        <v>4.8499999999999996</v>
      </c>
      <c r="F30" s="1199">
        <v>5.25</v>
      </c>
      <c r="G30" s="1199">
        <v>5.25</v>
      </c>
      <c r="H30" s="1199">
        <v>5.4</v>
      </c>
      <c r="I30" s="1199">
        <v>3</v>
      </c>
      <c r="J30" s="1199">
        <v>3.5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42135</v>
      </c>
      <c r="D31" s="1199">
        <v>5.0999999999999996</v>
      </c>
      <c r="E31" s="1199">
        <v>5.0999999999999996</v>
      </c>
      <c r="F31" s="1199">
        <v>5.5</v>
      </c>
      <c r="G31" s="1199">
        <v>5.5</v>
      </c>
      <c r="H31" s="1199">
        <v>5.65</v>
      </c>
      <c r="I31" s="1199">
        <v>3.25</v>
      </c>
      <c r="J31" s="1199">
        <v>3.75</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42064</v>
      </c>
      <c r="D32" s="1199">
        <v>5.35</v>
      </c>
      <c r="E32" s="1199">
        <v>5.35</v>
      </c>
      <c r="F32" s="1199">
        <v>5.75</v>
      </c>
      <c r="G32" s="1199">
        <v>5.75</v>
      </c>
      <c r="H32" s="1199">
        <v>5.9</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41965</v>
      </c>
      <c r="D33" s="1199">
        <v>5.6</v>
      </c>
      <c r="E33" s="1199">
        <v>5.6</v>
      </c>
      <c r="F33" s="1199">
        <v>6</v>
      </c>
      <c r="G33" s="1199">
        <v>6</v>
      </c>
      <c r="H33" s="1199">
        <v>6.15</v>
      </c>
      <c r="I33" s="1199"/>
      <c r="J33" s="1199"/>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41096</v>
      </c>
      <c r="D34" s="1199">
        <v>5.6</v>
      </c>
      <c r="E34" s="1199">
        <v>6</v>
      </c>
      <c r="F34" s="1199">
        <v>6.15</v>
      </c>
      <c r="G34" s="1199">
        <v>6.4</v>
      </c>
      <c r="H34" s="1199">
        <v>6.55</v>
      </c>
      <c r="I34" s="1199">
        <v>4</v>
      </c>
      <c r="J34" s="1199">
        <v>4.5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41068</v>
      </c>
      <c r="D35" s="1199">
        <v>5.85</v>
      </c>
      <c r="E35" s="1199">
        <v>6.31</v>
      </c>
      <c r="F35" s="1199">
        <v>6.4</v>
      </c>
      <c r="G35" s="1199">
        <v>6.65</v>
      </c>
      <c r="H35" s="1199">
        <v>6.8</v>
      </c>
      <c r="I35" s="1199">
        <v>4.2</v>
      </c>
      <c r="J35" s="1199">
        <v>4.7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40731</v>
      </c>
      <c r="D36" s="1199">
        <v>6.1</v>
      </c>
      <c r="E36" s="1199">
        <v>6.56</v>
      </c>
      <c r="F36" s="1199">
        <v>6.65</v>
      </c>
      <c r="G36" s="1199">
        <v>6.9</v>
      </c>
      <c r="H36" s="1199">
        <v>7.05</v>
      </c>
      <c r="I36" s="1199">
        <v>4.45</v>
      </c>
      <c r="J36" s="1199">
        <v>4.9000000000000004</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40639</v>
      </c>
      <c r="D37" s="1199">
        <v>5.85</v>
      </c>
      <c r="E37" s="1199">
        <v>6.31</v>
      </c>
      <c r="F37" s="1199">
        <v>6.4</v>
      </c>
      <c r="G37" s="1199">
        <v>6.65</v>
      </c>
      <c r="H37" s="1199">
        <v>6.8</v>
      </c>
      <c r="I37" s="1199">
        <v>4.2</v>
      </c>
      <c r="J37" s="1199">
        <v>4.7</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40583</v>
      </c>
      <c r="D38" s="1199">
        <v>5.6</v>
      </c>
      <c r="E38" s="1199">
        <v>6.06</v>
      </c>
      <c r="F38" s="1199">
        <v>6.1</v>
      </c>
      <c r="G38" s="1199">
        <v>6.45</v>
      </c>
      <c r="H38" s="1199">
        <v>6.6</v>
      </c>
      <c r="I38" s="1199">
        <v>4</v>
      </c>
      <c r="J38" s="1199">
        <v>4.5</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40538</v>
      </c>
      <c r="D39" s="1199">
        <v>5.35</v>
      </c>
      <c r="E39" s="1199">
        <v>5.81</v>
      </c>
      <c r="F39" s="1199">
        <v>5.85</v>
      </c>
      <c r="G39" s="1199">
        <v>6.22</v>
      </c>
      <c r="H39" s="1199">
        <v>6.4</v>
      </c>
      <c r="I39" s="1199">
        <v>3.75</v>
      </c>
      <c r="J39" s="1199">
        <v>4.3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40471</v>
      </c>
      <c r="D40" s="1199">
        <v>5.0999999999999996</v>
      </c>
      <c r="E40" s="1199">
        <v>5.56</v>
      </c>
      <c r="F40" s="1199">
        <v>5.6</v>
      </c>
      <c r="G40" s="1199">
        <v>5.96</v>
      </c>
      <c r="H40" s="1199">
        <v>6.14</v>
      </c>
      <c r="I40" s="1199">
        <v>3.5</v>
      </c>
      <c r="J40" s="1199">
        <v>4.05</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39805</v>
      </c>
      <c r="D41" s="1199">
        <v>4.8600000000000003</v>
      </c>
      <c r="E41" s="1199">
        <v>5.31</v>
      </c>
      <c r="F41" s="1199">
        <v>5.4</v>
      </c>
      <c r="G41" s="1199">
        <v>5.76</v>
      </c>
      <c r="H41" s="1199">
        <v>5.94</v>
      </c>
      <c r="I41" s="1199">
        <v>3.33</v>
      </c>
      <c r="J41" s="1199">
        <v>3.87</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39779</v>
      </c>
      <c r="D42" s="1199">
        <v>5.04</v>
      </c>
      <c r="E42" s="1199">
        <v>5.58</v>
      </c>
      <c r="F42" s="1199">
        <v>5.67</v>
      </c>
      <c r="G42" s="1199">
        <v>5.94</v>
      </c>
      <c r="H42" s="1199">
        <v>6.12</v>
      </c>
      <c r="I42" s="1199">
        <v>3.51</v>
      </c>
      <c r="J42" s="1199">
        <v>4.05</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39751</v>
      </c>
      <c r="D43" s="1199">
        <v>6.03</v>
      </c>
      <c r="E43" s="1199">
        <v>6.66</v>
      </c>
      <c r="F43" s="1199">
        <v>6.75</v>
      </c>
      <c r="G43" s="1199">
        <v>7.02</v>
      </c>
      <c r="H43" s="1199">
        <v>7.2</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1">
        <v>39748</v>
      </c>
      <c r="D44" s="1199">
        <v>6.12</v>
      </c>
      <c r="E44" s="1199">
        <v>6.93</v>
      </c>
      <c r="F44" s="1199">
        <v>7.02</v>
      </c>
      <c r="G44" s="1199">
        <v>7.29</v>
      </c>
      <c r="H44" s="1199">
        <v>7.47</v>
      </c>
      <c r="I44" s="1199">
        <v>4.05</v>
      </c>
      <c r="J44" s="1199">
        <v>4.59</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39730</v>
      </c>
      <c r="D45" s="1199">
        <v>6.12</v>
      </c>
      <c r="E45" s="1199">
        <v>6.93</v>
      </c>
      <c r="F45" s="1199">
        <v>7.02</v>
      </c>
      <c r="G45" s="1199">
        <v>7.29</v>
      </c>
      <c r="H45" s="1199">
        <v>7.47</v>
      </c>
      <c r="I45" s="1199">
        <v>4.32</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39707</v>
      </c>
      <c r="D46" s="1199">
        <v>6.21</v>
      </c>
      <c r="E46" s="1199">
        <v>7.2</v>
      </c>
      <c r="F46" s="1199">
        <v>7.29</v>
      </c>
      <c r="G46" s="1199">
        <v>7.56</v>
      </c>
      <c r="H46" s="1199">
        <v>7.74</v>
      </c>
      <c r="I46" s="1199">
        <v>4.59</v>
      </c>
      <c r="J46" s="1199">
        <v>5.13</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39437</v>
      </c>
      <c r="D47" s="1199">
        <v>6.57</v>
      </c>
      <c r="E47" s="1199">
        <v>7.47</v>
      </c>
      <c r="F47" s="1199">
        <v>7.56</v>
      </c>
      <c r="G47" s="1199">
        <v>7.74</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39340</v>
      </c>
      <c r="D48" s="1199">
        <v>6.48</v>
      </c>
      <c r="E48" s="1199">
        <v>7.29</v>
      </c>
      <c r="F48" s="1199">
        <v>7.47</v>
      </c>
      <c r="G48" s="1199">
        <v>7.65</v>
      </c>
      <c r="H48" s="1199">
        <v>7.83</v>
      </c>
      <c r="I48" s="1199">
        <v>4.7699999999999996</v>
      </c>
      <c r="J48" s="1199">
        <v>5.22</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39316</v>
      </c>
      <c r="D49" s="1199">
        <v>6.21</v>
      </c>
      <c r="E49" s="1199">
        <v>7.02</v>
      </c>
      <c r="F49" s="1199">
        <v>7.2</v>
      </c>
      <c r="G49" s="1199">
        <v>7.38</v>
      </c>
      <c r="H49" s="1199">
        <v>7.56</v>
      </c>
      <c r="I49" s="1199">
        <v>4.59</v>
      </c>
      <c r="J49" s="1199">
        <v>5.04</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39284</v>
      </c>
      <c r="D50" s="1199">
        <v>6.03</v>
      </c>
      <c r="E50" s="1199">
        <v>6.84</v>
      </c>
      <c r="F50" s="1199">
        <v>7.02</v>
      </c>
      <c r="G50" s="1199">
        <v>7.2</v>
      </c>
      <c r="H50" s="1199">
        <v>7.38</v>
      </c>
      <c r="I50" s="1199">
        <v>4.5</v>
      </c>
      <c r="J50" s="1199">
        <v>4.95</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39221</v>
      </c>
      <c r="D51" s="1199">
        <v>5.85</v>
      </c>
      <c r="E51" s="1199">
        <v>6.57</v>
      </c>
      <c r="F51" s="1199">
        <v>6.75</v>
      </c>
      <c r="G51" s="1199">
        <v>6.93</v>
      </c>
      <c r="H51" s="1199">
        <v>7.2</v>
      </c>
      <c r="I51" s="1199">
        <v>4.41</v>
      </c>
      <c r="J51" s="1199">
        <v>4.8600000000000003</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39159</v>
      </c>
      <c r="D52" s="1199">
        <v>5.67</v>
      </c>
      <c r="E52" s="1199">
        <v>6.39</v>
      </c>
      <c r="F52" s="1199">
        <v>6.57</v>
      </c>
      <c r="G52" s="1199">
        <v>6.75</v>
      </c>
      <c r="H52" s="1199">
        <v>7.11</v>
      </c>
      <c r="I52" s="1199">
        <v>4.32</v>
      </c>
      <c r="J52" s="1199">
        <v>4.7699999999999996</v>
      </c>
      <c r="L52" s="1199"/>
      <c r="M52" s="1200"/>
      <c r="N52" s="1199"/>
      <c r="O52" s="1199"/>
      <c r="P52" s="1199"/>
      <c r="Q52" s="1199"/>
      <c r="R52" s="1199"/>
      <c r="S52" s="1199"/>
      <c r="T52" s="1199"/>
      <c r="U52" s="1199"/>
      <c r="V52" s="1199"/>
      <c r="W52" s="1199"/>
      <c r="X52" s="1199"/>
      <c r="Y52" s="1199"/>
      <c r="Z52" s="1199"/>
    </row>
    <row r="53" spans="2:26">
      <c r="B53" s="1199"/>
      <c r="C53" s="1200">
        <v>38948</v>
      </c>
      <c r="D53" s="1199">
        <v>5.58</v>
      </c>
      <c r="E53" s="1199">
        <v>6.12</v>
      </c>
      <c r="F53" s="1199">
        <v>6.3</v>
      </c>
      <c r="G53" s="1199">
        <v>6.48</v>
      </c>
      <c r="H53" s="1199">
        <v>6.84</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38835</v>
      </c>
      <c r="D54" s="1199">
        <v>5.4</v>
      </c>
      <c r="E54" s="1199">
        <v>5.85</v>
      </c>
      <c r="F54" s="1199">
        <v>6.03</v>
      </c>
      <c r="G54" s="1199">
        <v>6.12</v>
      </c>
      <c r="H54" s="1199">
        <v>6.39</v>
      </c>
      <c r="I54" s="1199">
        <v>4.1399999999999997</v>
      </c>
      <c r="J54" s="1199">
        <v>4.59</v>
      </c>
      <c r="L54" s="1199"/>
      <c r="M54" s="1200"/>
      <c r="N54" s="1199"/>
      <c r="O54" s="1199"/>
      <c r="P54" s="1199"/>
      <c r="Q54" s="1199"/>
      <c r="R54" s="1199"/>
      <c r="S54" s="1199"/>
      <c r="T54" s="1199"/>
      <c r="U54" s="1199"/>
      <c r="V54" s="1199"/>
      <c r="W54" s="1199"/>
      <c r="X54" s="1199"/>
      <c r="Y54" s="1199"/>
      <c r="Z54" s="1199"/>
    </row>
    <row r="55" spans="2:26">
      <c r="B55" s="1199"/>
      <c r="C55" s="1200">
        <v>38428</v>
      </c>
      <c r="D55" s="1199">
        <v>5.22</v>
      </c>
      <c r="E55" s="1199">
        <v>5.58</v>
      </c>
      <c r="F55" s="1199">
        <v>5.76</v>
      </c>
      <c r="G55" s="1199">
        <v>5.85</v>
      </c>
      <c r="H55" s="1199">
        <v>6.12</v>
      </c>
      <c r="I55" s="1199">
        <v>3.96</v>
      </c>
      <c r="J55" s="1199">
        <v>4.41</v>
      </c>
      <c r="L55" s="1199"/>
      <c r="M55" s="1200"/>
      <c r="N55" s="1199"/>
      <c r="O55" s="1199"/>
      <c r="P55" s="1199"/>
      <c r="Q55" s="1199"/>
      <c r="R55" s="1199"/>
      <c r="S55" s="1199"/>
      <c r="T55" s="1199"/>
      <c r="U55" s="1199"/>
      <c r="V55" s="1199"/>
      <c r="W55" s="1199"/>
      <c r="X55" s="1199"/>
      <c r="Y55" s="1199"/>
      <c r="Z55" s="1199"/>
    </row>
    <row r="56" spans="2:26">
      <c r="B56" s="1199"/>
      <c r="C56" s="1200">
        <v>38289</v>
      </c>
      <c r="D56" s="1199">
        <v>5.22</v>
      </c>
      <c r="E56" s="1199">
        <v>5.58</v>
      </c>
      <c r="F56" s="1199">
        <v>5.76</v>
      </c>
      <c r="G56" s="1199">
        <v>5.85</v>
      </c>
      <c r="H56" s="1199">
        <v>6.12</v>
      </c>
      <c r="I56" s="1199">
        <v>3.78</v>
      </c>
      <c r="J56" s="1199">
        <v>4.2300000000000004</v>
      </c>
      <c r="L56" s="1199"/>
      <c r="M56" s="1200"/>
      <c r="N56" s="1199"/>
      <c r="O56" s="1199"/>
      <c r="P56" s="1199"/>
      <c r="Q56" s="1199"/>
      <c r="R56" s="1199"/>
      <c r="S56" s="1199"/>
      <c r="T56" s="1199"/>
      <c r="U56" s="1199"/>
      <c r="V56" s="1199"/>
      <c r="W56" s="1199"/>
      <c r="X56" s="1199"/>
      <c r="Y56" s="1199"/>
      <c r="Z56" s="1199"/>
    </row>
    <row r="57" spans="2:26">
      <c r="B57" s="1199"/>
      <c r="C57" s="1200">
        <v>37308</v>
      </c>
      <c r="D57" s="1199">
        <v>5.04</v>
      </c>
      <c r="E57" s="1199">
        <v>5.31</v>
      </c>
      <c r="F57" s="1199">
        <v>5.49</v>
      </c>
      <c r="G57" s="1199">
        <v>5.58</v>
      </c>
      <c r="H57" s="1199">
        <v>5.76</v>
      </c>
      <c r="I57" s="1199">
        <v>3.6</v>
      </c>
      <c r="J57" s="1199">
        <v>4.05</v>
      </c>
      <c r="L57" s="1199"/>
      <c r="M57" s="1200"/>
      <c r="N57" s="1199"/>
      <c r="O57" s="1199"/>
      <c r="P57" s="1199"/>
      <c r="Q57" s="1199"/>
      <c r="R57" s="1199"/>
      <c r="S57" s="1199"/>
      <c r="T57" s="1199"/>
      <c r="U57" s="1199"/>
      <c r="V57" s="1199"/>
      <c r="W57" s="1199"/>
      <c r="X57" s="1199"/>
      <c r="Y57" s="1199"/>
      <c r="Z57" s="1199"/>
    </row>
    <row r="58" spans="2:26">
      <c r="B58" s="1199"/>
      <c r="C58" s="1200">
        <v>36321</v>
      </c>
      <c r="D58" s="1199">
        <v>5.58</v>
      </c>
      <c r="E58" s="1199">
        <v>5.85</v>
      </c>
      <c r="F58" s="1199">
        <v>5.94</v>
      </c>
      <c r="G58" s="1199">
        <v>6.03</v>
      </c>
      <c r="H58" s="1199">
        <v>6.21</v>
      </c>
      <c r="I58" s="1199">
        <v>4.1399999999999997</v>
      </c>
      <c r="J58" s="1199">
        <v>4.59</v>
      </c>
    </row>
    <row r="59" spans="2:26">
      <c r="B59" s="1199"/>
      <c r="C59" s="1200">
        <v>36136</v>
      </c>
      <c r="D59" s="1199">
        <v>6.12</v>
      </c>
      <c r="E59" s="1199">
        <v>6.39</v>
      </c>
      <c r="F59" s="1199">
        <v>6.66</v>
      </c>
      <c r="G59" s="1199">
        <v>7.2</v>
      </c>
      <c r="H59" s="1199">
        <v>7.56</v>
      </c>
      <c r="I59" s="1199">
        <v>0</v>
      </c>
      <c r="J59" s="1199">
        <v>0</v>
      </c>
    </row>
    <row r="60" spans="2:26">
      <c r="B60" s="1199"/>
      <c r="C60" s="1200">
        <v>35977</v>
      </c>
      <c r="D60" s="1199">
        <v>6.57</v>
      </c>
      <c r="E60" s="1199">
        <v>6.93</v>
      </c>
      <c r="F60" s="1199">
        <v>7.11</v>
      </c>
      <c r="G60" s="1199">
        <v>7.65</v>
      </c>
      <c r="H60" s="1199">
        <v>8.01</v>
      </c>
      <c r="I60" s="1199">
        <v>0</v>
      </c>
      <c r="J60" s="1199">
        <v>0</v>
      </c>
    </row>
    <row r="61" spans="2:26">
      <c r="B61" s="1199"/>
      <c r="C61" s="1200">
        <v>35879</v>
      </c>
      <c r="D61" s="1199">
        <v>7.02</v>
      </c>
      <c r="E61" s="1199">
        <v>7.92</v>
      </c>
      <c r="F61" s="1199">
        <v>9</v>
      </c>
      <c r="G61" s="1199">
        <v>9.7200000000000006</v>
      </c>
      <c r="H61" s="1199">
        <v>10.35</v>
      </c>
      <c r="I61" s="1199">
        <v>0</v>
      </c>
      <c r="J61" s="1199">
        <v>0</v>
      </c>
    </row>
    <row r="62" spans="2:26">
      <c r="B62" s="1199"/>
      <c r="C62" s="1200">
        <v>35726</v>
      </c>
      <c r="D62" s="1199">
        <v>7.65</v>
      </c>
      <c r="E62" s="1199">
        <v>8.64</v>
      </c>
      <c r="F62" s="1199">
        <v>9.36</v>
      </c>
      <c r="G62" s="1199">
        <v>9.9</v>
      </c>
      <c r="H62" s="1199">
        <v>10.53</v>
      </c>
      <c r="I62" s="1199">
        <v>0</v>
      </c>
      <c r="J62" s="1199">
        <v>0</v>
      </c>
    </row>
    <row r="63" spans="2:26">
      <c r="B63" s="1199"/>
      <c r="C63" s="1200">
        <v>35300</v>
      </c>
      <c r="D63" s="1199">
        <v>9.18</v>
      </c>
      <c r="E63" s="1199">
        <v>10.08</v>
      </c>
      <c r="F63" s="1199">
        <v>10.98</v>
      </c>
      <c r="G63" s="1199">
        <v>11.7</v>
      </c>
      <c r="H63" s="1199">
        <v>12.42</v>
      </c>
      <c r="I63" s="1199">
        <v>0</v>
      </c>
      <c r="J63" s="1199">
        <v>0</v>
      </c>
    </row>
    <row r="64" spans="2:26">
      <c r="B64" s="1199"/>
      <c r="C64" s="1200">
        <v>35186</v>
      </c>
      <c r="D64" s="1199">
        <v>9.7200000000000006</v>
      </c>
      <c r="E64" s="1199">
        <v>10.98</v>
      </c>
      <c r="F64" s="1199">
        <v>13.14</v>
      </c>
      <c r="G64" s="1199">
        <v>14.94</v>
      </c>
      <c r="H64" s="1199">
        <v>15.12</v>
      </c>
      <c r="I64" s="1199">
        <v>0</v>
      </c>
      <c r="J64" s="1199">
        <v>0</v>
      </c>
    </row>
    <row r="65" spans="2:10">
      <c r="B65" s="1199"/>
      <c r="C65" s="1200">
        <v>34881</v>
      </c>
      <c r="D65" s="1199">
        <v>10.08</v>
      </c>
      <c r="E65" s="1199">
        <v>12.06</v>
      </c>
      <c r="F65" s="1199">
        <v>13.5</v>
      </c>
      <c r="G65" s="1199">
        <v>15.12</v>
      </c>
      <c r="H65" s="1199">
        <v>15.3</v>
      </c>
      <c r="I65" s="1199">
        <v>0</v>
      </c>
      <c r="J65" s="1199">
        <v>0</v>
      </c>
    </row>
    <row r="66" spans="2:10">
      <c r="B66" s="1199"/>
      <c r="C66" s="1200">
        <v>34700</v>
      </c>
      <c r="D66" s="1199">
        <v>9</v>
      </c>
      <c r="E66" s="1199">
        <v>10.98</v>
      </c>
      <c r="F66" s="1199">
        <v>12.96</v>
      </c>
      <c r="G66" s="1199">
        <v>14.58</v>
      </c>
      <c r="H66" s="1199">
        <v>14.76</v>
      </c>
      <c r="I66" s="1199">
        <v>0</v>
      </c>
      <c r="J66" s="1199">
        <v>0</v>
      </c>
    </row>
    <row r="67" spans="2:10">
      <c r="B67" s="1199"/>
      <c r="C67" s="1200">
        <v>34161</v>
      </c>
      <c r="D67" s="1199">
        <v>9</v>
      </c>
      <c r="E67" s="1199">
        <v>10.98</v>
      </c>
      <c r="F67" s="1199">
        <v>12.24</v>
      </c>
      <c r="G67" s="1199">
        <v>13.86</v>
      </c>
      <c r="H67" s="1199">
        <v>14.04</v>
      </c>
      <c r="I67" s="1199">
        <v>0</v>
      </c>
      <c r="J67" s="1199">
        <v>0</v>
      </c>
    </row>
    <row r="68" spans="2:10">
      <c r="B68" s="1199"/>
      <c r="C68" s="1200">
        <v>34104</v>
      </c>
      <c r="D68" s="1199">
        <v>8.82</v>
      </c>
      <c r="E68" s="1199">
        <v>9.36</v>
      </c>
      <c r="F68" s="1199">
        <v>10.8</v>
      </c>
      <c r="G68" s="1199">
        <v>12.06</v>
      </c>
      <c r="H68" s="1199">
        <v>12.24</v>
      </c>
      <c r="I68" s="1199">
        <v>0</v>
      </c>
      <c r="J68" s="1199">
        <v>0</v>
      </c>
    </row>
    <row r="69" spans="2:10">
      <c r="B69" s="1199"/>
      <c r="C69" s="1200">
        <v>33349</v>
      </c>
      <c r="D69" s="1199">
        <v>8.1</v>
      </c>
      <c r="E69" s="1199">
        <v>8.64</v>
      </c>
      <c r="F69" s="1199">
        <v>9</v>
      </c>
      <c r="G69" s="1199">
        <v>9.5399999999999991</v>
      </c>
      <c r="H69" s="1199">
        <v>9.7200000000000006</v>
      </c>
      <c r="I69" s="1199">
        <v>0</v>
      </c>
      <c r="J69" s="1199">
        <v>0</v>
      </c>
    </row>
    <row r="70" spans="2:10">
      <c r="B70" s="1199"/>
      <c r="C70" s="1200">
        <v>33318</v>
      </c>
      <c r="D70" s="1199">
        <v>9</v>
      </c>
      <c r="E70" s="1199">
        <v>10.08</v>
      </c>
      <c r="F70" s="1199">
        <v>10.8</v>
      </c>
      <c r="G70" s="1199">
        <v>11.52</v>
      </c>
      <c r="H70" s="1199">
        <v>11.88</v>
      </c>
      <c r="I70" s="1199" t="s">
        <v>633</v>
      </c>
      <c r="J70" s="1199" t="s">
        <v>633</v>
      </c>
    </row>
    <row r="71" spans="2:10">
      <c r="B71" s="1199"/>
      <c r="C71" s="1200">
        <v>33106</v>
      </c>
      <c r="D71" s="1199">
        <v>8.64</v>
      </c>
      <c r="E71" s="1199">
        <v>9.36</v>
      </c>
      <c r="F71" s="1199">
        <v>10.08</v>
      </c>
      <c r="G71" s="1199">
        <v>10.8</v>
      </c>
      <c r="H71" s="1199">
        <v>11.16</v>
      </c>
      <c r="I71" s="1199">
        <v>0</v>
      </c>
      <c r="J71" s="1199">
        <v>0</v>
      </c>
    </row>
    <row r="72" spans="2:10">
      <c r="B72" s="1199"/>
      <c r="C72" s="1200">
        <v>32540</v>
      </c>
      <c r="D72" s="1199">
        <v>11.34</v>
      </c>
      <c r="E72" s="1199">
        <v>11.34</v>
      </c>
      <c r="F72" s="1199">
        <v>12.78</v>
      </c>
      <c r="G72" s="1199">
        <v>14.4</v>
      </c>
      <c r="H72" s="1199">
        <v>19.260000000000002</v>
      </c>
      <c r="I72" s="1199">
        <v>0</v>
      </c>
      <c r="J72" s="1199">
        <v>0</v>
      </c>
    </row>
    <row r="73" spans="2:10">
      <c r="B73" s="1199"/>
      <c r="C73" s="1200"/>
      <c r="D73" s="1199"/>
      <c r="E73" s="1199"/>
      <c r="F73" s="1199"/>
      <c r="G73" s="1199"/>
      <c r="H73" s="1199"/>
      <c r="I73" s="1199"/>
      <c r="J73" s="1199"/>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202"/>
      <c r="C76" s="1203"/>
      <c r="D76" s="1202"/>
      <c r="E76" s="1202"/>
      <c r="F76" s="1202"/>
      <c r="G76" s="1202"/>
      <c r="H76" s="1202"/>
      <c r="I76" s="1202"/>
      <c r="J76" s="1202"/>
    </row>
    <row r="77" spans="2:10">
      <c r="B77" s="1153"/>
      <c r="C77" s="1153"/>
      <c r="D77" s="1153"/>
      <c r="E77" s="1153"/>
      <c r="F77" s="1153"/>
      <c r="G77" s="1153"/>
      <c r="H77" s="1153"/>
      <c r="I77" s="1153"/>
      <c r="J77" s="1153"/>
    </row>
    <row r="78" spans="2:10">
      <c r="B78" s="1153"/>
      <c r="C78" s="1153"/>
      <c r="D78" s="1153"/>
      <c r="E78" s="1153"/>
      <c r="F78" s="1153"/>
      <c r="G78" s="1153"/>
      <c r="H78" s="1153"/>
      <c r="I78" s="1153"/>
      <c r="J78" s="115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3" t="s">
        <v>945</v>
      </c>
      <c r="B1" s="3283"/>
      <c r="C1" s="3283"/>
      <c r="D1" s="3283"/>
    </row>
    <row r="2" spans="1:4" ht="18">
      <c r="A2" s="3284" t="s">
        <v>929</v>
      </c>
      <c r="B2" s="3284"/>
      <c r="C2" s="3284"/>
      <c r="D2" s="3284"/>
    </row>
    <row r="3" spans="1:4" ht="18.75">
      <c r="A3" s="1401" t="s">
        <v>930</v>
      </c>
      <c r="B3" s="1401" t="s">
        <v>931</v>
      </c>
      <c r="C3" s="1401" t="s">
        <v>932</v>
      </c>
      <c r="D3" s="1401" t="s">
        <v>933</v>
      </c>
    </row>
    <row r="4" spans="1:4" ht="56.25" customHeight="1">
      <c r="A4" s="1402">
        <f>项目基本情况!B4</f>
        <v>0</v>
      </c>
      <c r="B4" s="1403">
        <f>项目基本情况!C4</f>
        <v>0</v>
      </c>
      <c r="C4" s="1404"/>
      <c r="D4" s="1405" t="s">
        <v>934</v>
      </c>
    </row>
    <row r="5" spans="1:4" ht="56.25" customHeight="1">
      <c r="A5" s="1402">
        <f>项目基本情况!D4</f>
        <v>0</v>
      </c>
      <c r="B5" s="1403">
        <f>项目基本情况!E4</f>
        <v>0</v>
      </c>
      <c r="C5" s="1406"/>
      <c r="D5" s="1405" t="s">
        <v>934</v>
      </c>
    </row>
    <row r="6" spans="1:4" ht="18">
      <c r="A6" s="3284" t="s">
        <v>935</v>
      </c>
      <c r="B6" s="3284"/>
      <c r="C6" s="3284"/>
      <c r="D6" s="3284"/>
    </row>
    <row r="7" spans="1:4" ht="18.75">
      <c r="A7" s="1401" t="s">
        <v>930</v>
      </c>
      <c r="B7" s="1403" t="s">
        <v>936</v>
      </c>
      <c r="C7" s="1401" t="s">
        <v>932</v>
      </c>
      <c r="D7" s="1401" t="s">
        <v>933</v>
      </c>
    </row>
    <row r="8" spans="1:4" ht="56.25" customHeight="1">
      <c r="A8" s="1407" t="s">
        <v>390</v>
      </c>
      <c r="B8" s="1407" t="s">
        <v>0</v>
      </c>
      <c r="C8" s="1404"/>
      <c r="D8" s="1405" t="s">
        <v>934</v>
      </c>
    </row>
    <row r="10" spans="1:4" ht="18.75">
      <c r="A10" s="1408" t="s">
        <v>937</v>
      </c>
    </row>
    <row r="11" spans="1:4" ht="30" customHeight="1">
      <c r="A11" s="3285" t="s">
        <v>938</v>
      </c>
      <c r="B11" s="3277"/>
      <c r="C11" s="3277"/>
      <c r="D11" s="3277"/>
    </row>
    <row r="12" spans="1:4" ht="15.75">
      <c r="A12" s="32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2"/>
      <c r="C12" s="3282"/>
      <c r="D12" s="3282"/>
    </row>
    <row r="13" spans="1:4" ht="30" customHeight="1">
      <c r="A13" s="32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2"/>
      <c r="C13" s="3282"/>
      <c r="D13" s="3282"/>
    </row>
    <row r="14" spans="1:4" ht="15.75" customHeight="1">
      <c r="A14" s="3277" t="str">
        <f>IF(项目基本情况!B8="抵押","4.本次评估估价师所知悉的法定优先受偿款情况说明如下：","——")</f>
        <v>4.本次评估估价师所知悉的法定优先受偿款情况说明如下：</v>
      </c>
      <c r="B14" s="3282"/>
      <c r="C14" s="3282"/>
      <c r="D14" s="3282"/>
    </row>
    <row r="15" spans="1:4" ht="42" customHeight="1">
      <c r="A15" s="32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7"/>
      <c r="C15" s="3277"/>
      <c r="D15" s="3277"/>
    </row>
    <row r="16" spans="1:4" ht="30" customHeight="1">
      <c r="A16" s="3279" t="s">
        <v>939</v>
      </c>
      <c r="B16" s="3279"/>
      <c r="C16" s="3279"/>
      <c r="D16" s="3279"/>
    </row>
    <row r="17" spans="1:4" ht="144" customHeight="1">
      <c r="A17" s="3279" t="s">
        <v>940</v>
      </c>
      <c r="B17" s="3279"/>
      <c r="C17" s="3279"/>
      <c r="D17" s="3279"/>
    </row>
    <row r="18" spans="1:4" ht="15.75" customHeight="1">
      <c r="A18" s="3277" t="str">
        <f>IF(项目基本情况!B8="抵押",'结果表-203'!K120,"——")</f>
        <v>故，本次评估不存在估价师知悉的法定优先受偿款</v>
      </c>
      <c r="B18" s="3277"/>
      <c r="C18" s="3277"/>
      <c r="D18" s="3277"/>
    </row>
    <row r="19" spans="1:4" ht="46.5" customHeight="1">
      <c r="A19" s="32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57.75" customHeight="1">
      <c r="A20" s="3277" t="str">
        <f>IF('结果表-203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7"/>
      <c r="C20" s="3277"/>
      <c r="D20" s="3277"/>
    </row>
    <row r="21" spans="1:4" ht="57.75" customHeight="1">
      <c r="A21" s="3280" t="str">
        <f>IF('结果表-203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0"/>
      <c r="C21" s="3280"/>
      <c r="D21" s="3280"/>
    </row>
    <row r="22" spans="1:4" ht="18.75" customHeight="1">
      <c r="A22" s="3281" t="s">
        <v>941</v>
      </c>
      <c r="B22" s="3281"/>
      <c r="C22" s="3281"/>
      <c r="D22" s="3281"/>
    </row>
    <row r="23" spans="1:4">
      <c r="A23" s="1409"/>
      <c r="B23" s="459"/>
      <c r="C23" s="459"/>
      <c r="D23" s="459"/>
    </row>
    <row r="24" spans="1:4">
      <c r="A24" s="1409"/>
      <c r="B24" s="459"/>
      <c r="C24" s="459"/>
      <c r="D24" s="459"/>
    </row>
    <row r="25" spans="1:4" ht="18.75">
      <c r="A25" s="1410" t="s">
        <v>942</v>
      </c>
    </row>
    <row r="26" spans="1:4" ht="18">
      <c r="A26" s="1381"/>
    </row>
    <row r="27" spans="1:4" ht="18.75">
      <c r="A27" s="1381" t="s">
        <v>943</v>
      </c>
    </row>
    <row r="30" spans="1:4" ht="18.75">
      <c r="D30" s="1410" t="s">
        <v>944</v>
      </c>
    </row>
    <row r="31" spans="1:4" ht="13.5" customHeight="1">
      <c r="C31" s="3278">
        <v>42551</v>
      </c>
      <c r="D31" s="32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16" customWidth="1"/>
    <col min="2" max="16384" width="14.5" style="1399"/>
  </cols>
  <sheetData>
    <row r="1" spans="1:7" s="1413" customFormat="1" ht="18.75">
      <c r="A1" s="1412" t="s">
        <v>946</v>
      </c>
    </row>
    <row r="3" spans="1:7">
      <c r="A3" s="1414" t="s">
        <v>55</v>
      </c>
      <c r="B3" s="1399" t="s">
        <v>947</v>
      </c>
      <c r="G3" s="1415"/>
    </row>
    <row r="4" spans="1:7">
      <c r="G4" s="1415"/>
    </row>
    <row r="5" spans="1:7">
      <c r="A5" s="1417" t="s">
        <v>46</v>
      </c>
      <c r="B5" s="1399" t="s">
        <v>948</v>
      </c>
      <c r="G5" s="1415"/>
    </row>
    <row r="6" spans="1:7">
      <c r="G6" s="1415"/>
    </row>
    <row r="7" spans="1:7">
      <c r="A7" s="1418" t="s">
        <v>108</v>
      </c>
      <c r="B7" s="1399" t="s">
        <v>949</v>
      </c>
      <c r="G7" s="1415"/>
    </row>
    <row r="8" spans="1:7">
      <c r="G8" s="1415"/>
    </row>
    <row r="9" spans="1:7">
      <c r="A9" s="1419" t="s">
        <v>47</v>
      </c>
      <c r="B9" s="1399" t="s">
        <v>950</v>
      </c>
    </row>
    <row r="11" spans="1:7">
      <c r="A11" s="1420" t="s">
        <v>48</v>
      </c>
      <c r="B11" s="1421" t="s">
        <v>45</v>
      </c>
    </row>
    <row r="13" spans="1:7">
      <c r="A13" s="1422" t="s">
        <v>951</v>
      </c>
    </row>
    <row r="15" spans="1:7" ht="13.5">
      <c r="A15" s="3291" t="s">
        <v>952</v>
      </c>
      <c r="B15" s="3286" t="s">
        <v>109</v>
      </c>
      <c r="C15" s="3287"/>
    </row>
    <row r="16" spans="1:7" ht="13.5">
      <c r="A16" s="3292"/>
      <c r="B16" s="3286" t="s">
        <v>42</v>
      </c>
      <c r="C16" s="3287"/>
    </row>
    <row r="17" spans="1:3" ht="13.5">
      <c r="A17" s="3292"/>
      <c r="B17" s="3289" t="s">
        <v>953</v>
      </c>
      <c r="C17" s="1423" t="s">
        <v>952</v>
      </c>
    </row>
    <row r="18" spans="1:3" ht="13.5">
      <c r="A18" s="3292"/>
      <c r="B18" s="3289"/>
      <c r="C18" s="1423" t="s">
        <v>954</v>
      </c>
    </row>
    <row r="19" spans="1:3" ht="13.5">
      <c r="A19" s="3292"/>
      <c r="B19" s="3289"/>
      <c r="C19" s="1423" t="s">
        <v>955</v>
      </c>
    </row>
    <row r="20" spans="1:3" ht="13.5">
      <c r="A20" s="3293"/>
      <c r="B20" s="3288" t="s">
        <v>956</v>
      </c>
      <c r="C20" s="3287"/>
    </row>
    <row r="21" spans="1:3" ht="13.5">
      <c r="A21" s="1424" t="s">
        <v>957</v>
      </c>
      <c r="B21" s="1425"/>
      <c r="C21" s="1426"/>
    </row>
    <row r="22" spans="1:3" ht="13.5">
      <c r="A22" s="3290" t="s">
        <v>958</v>
      </c>
      <c r="B22" s="3288" t="s">
        <v>959</v>
      </c>
      <c r="C22" s="3287"/>
    </row>
    <row r="23" spans="1:3" ht="13.5">
      <c r="A23" s="3290"/>
      <c r="B23" s="3288" t="s">
        <v>960</v>
      </c>
      <c r="C23" s="3287"/>
    </row>
    <row r="24" spans="1:3" ht="13.5">
      <c r="A24" s="3290"/>
      <c r="B24" s="3288" t="s">
        <v>961</v>
      </c>
      <c r="C24" s="3287"/>
    </row>
    <row r="25" spans="1:3" ht="13.5">
      <c r="A25" s="3290"/>
      <c r="B25" s="3289" t="s">
        <v>962</v>
      </c>
      <c r="C25" s="1423" t="s">
        <v>963</v>
      </c>
    </row>
    <row r="26" spans="1:3" ht="13.5">
      <c r="A26" s="3290"/>
      <c r="B26" s="3289"/>
      <c r="C26" s="1423" t="s">
        <v>964</v>
      </c>
    </row>
    <row r="27" spans="1:3" ht="13.5">
      <c r="A27" s="3290"/>
      <c r="B27" s="3289"/>
      <c r="C27" s="1423" t="s">
        <v>965</v>
      </c>
    </row>
    <row r="28" spans="1:3" ht="13.5">
      <c r="A28" s="3290"/>
      <c r="B28" s="3289"/>
      <c r="C28" s="1423" t="s">
        <v>966</v>
      </c>
    </row>
    <row r="29" spans="1:3" ht="13.5">
      <c r="A29" s="3290"/>
      <c r="B29" s="3289"/>
      <c r="C29" s="1423" t="s">
        <v>967</v>
      </c>
    </row>
    <row r="30" spans="1:3" ht="13.5">
      <c r="A30" s="3290"/>
      <c r="B30" s="3289"/>
      <c r="C30" s="1423" t="s">
        <v>968</v>
      </c>
    </row>
    <row r="31" spans="1:3" ht="13.5">
      <c r="A31" s="3290"/>
      <c r="B31" s="3289"/>
      <c r="C31" s="1423" t="s">
        <v>969</v>
      </c>
    </row>
    <row r="32" spans="1:3" ht="13.5">
      <c r="A32" s="3290"/>
      <c r="B32" s="3289"/>
      <c r="C32" s="1423" t="s">
        <v>970</v>
      </c>
    </row>
    <row r="33" spans="1:3" ht="13.5">
      <c r="A33" s="3290"/>
      <c r="B33" s="3289"/>
      <c r="C33" s="1423" t="s">
        <v>971</v>
      </c>
    </row>
    <row r="34" spans="1:3">
      <c r="A34" s="1427" t="s">
        <v>49</v>
      </c>
    </row>
    <row r="37" spans="1:3">
      <c r="A37" s="1427" t="s">
        <v>972</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2132</v>
      </c>
      <c r="B2" s="2151">
        <f ca="1">TODAY()</f>
        <v>45870</v>
      </c>
      <c r="C2" s="2152" t="s">
        <v>2133</v>
      </c>
      <c r="D2" s="2152"/>
      <c r="E2" s="2152"/>
      <c r="F2" s="2148"/>
      <c r="G2" s="2148"/>
      <c r="H2" s="2148"/>
    </row>
    <row r="3" spans="1:8" ht="24" customHeight="1">
      <c r="A3" s="2153" t="s">
        <v>2134</v>
      </c>
      <c r="B3" s="1213" t="s">
        <v>2135</v>
      </c>
      <c r="C3" s="1213" t="s">
        <v>2136</v>
      </c>
      <c r="D3" s="2154" t="s">
        <v>2137</v>
      </c>
      <c r="E3" s="2155" t="s">
        <v>2138</v>
      </c>
      <c r="F3" s="1213" t="s">
        <v>2139</v>
      </c>
      <c r="G3" s="1213" t="s">
        <v>2136</v>
      </c>
      <c r="H3" s="2154" t="s">
        <v>2140</v>
      </c>
    </row>
    <row r="4" spans="1:8" ht="24" customHeight="1">
      <c r="A4" s="1213" t="s">
        <v>2141</v>
      </c>
      <c r="B4" s="1213">
        <f ca="1">IF(C4&lt;B2,"已过期",1119970066)</f>
        <v>1119970066</v>
      </c>
      <c r="C4" s="2156">
        <v>45937</v>
      </c>
      <c r="D4" s="2157" t="str">
        <f ca="1">A4&amp;"（注册号："&amp;B4&amp;"）"</f>
        <v>梁津（注册号：1119970066）</v>
      </c>
      <c r="E4" s="2158" t="s">
        <v>2141</v>
      </c>
      <c r="F4" s="1213">
        <f ca="1">IF(G4&lt;B2,"已过期",96010014)</f>
        <v>96010014</v>
      </c>
      <c r="G4" s="2159">
        <v>47118</v>
      </c>
      <c r="H4" s="2160" t="str">
        <f ca="1">E4&amp;"（注册号："&amp;F4&amp;"）"</f>
        <v>梁津（注册号：96010014）</v>
      </c>
    </row>
    <row r="5" spans="1:8" ht="24" customHeight="1">
      <c r="A5" s="1213" t="s">
        <v>2142</v>
      </c>
      <c r="B5" s="1213">
        <f ca="1">IF(C5&lt;B2,"已过期",1119970111)</f>
        <v>1119970111</v>
      </c>
      <c r="C5" s="2156">
        <v>45937</v>
      </c>
      <c r="D5" s="2157" t="str">
        <f t="shared" ref="D5:D15" ca="1" si="0">A5&amp;"（注册号："&amp;B5&amp;"）"</f>
        <v>叶凌（注册号：1119970111）</v>
      </c>
      <c r="E5" s="2158" t="s">
        <v>2142</v>
      </c>
      <c r="F5" s="1213">
        <f ca="1">IF(G5&lt;B2,"已过期",94010078)</f>
        <v>94010078</v>
      </c>
      <c r="G5" s="2159">
        <v>46387</v>
      </c>
      <c r="H5" s="2160" t="str">
        <f t="shared" ref="H5:H16" ca="1" si="1">E5&amp;"（注册号："&amp;F5&amp;"）"</f>
        <v>叶凌（注册号：94010078）</v>
      </c>
    </row>
    <row r="6" spans="1:8" ht="24" customHeight="1">
      <c r="A6" s="1213" t="s">
        <v>2143</v>
      </c>
      <c r="B6" s="1213" t="str">
        <f ca="1">IF(C6&lt;B2,"已过期",1120050019)</f>
        <v>已过期</v>
      </c>
      <c r="C6" s="2156">
        <v>45410</v>
      </c>
      <c r="D6" s="2157" t="str">
        <f t="shared" ca="1" si="0"/>
        <v>王鹏（注册号：已过期）</v>
      </c>
      <c r="E6" s="2158" t="s">
        <v>2143</v>
      </c>
      <c r="F6" s="1213">
        <f ca="1">IF(G6&lt;B2,"已过期",2002110030)</f>
        <v>2002110030</v>
      </c>
      <c r="G6" s="2159">
        <v>46387</v>
      </c>
      <c r="H6" s="2160" t="str">
        <f t="shared" ca="1" si="1"/>
        <v>王鹏（注册号：2002110030）</v>
      </c>
    </row>
    <row r="7" spans="1:8" ht="24" customHeight="1">
      <c r="A7" s="1213" t="s">
        <v>2144</v>
      </c>
      <c r="B7" s="1213">
        <f ca="1">IF(C7&lt;B2,"已过期",1120000080)</f>
        <v>1120000080</v>
      </c>
      <c r="C7" s="2156">
        <v>45937</v>
      </c>
      <c r="D7" s="2157" t="str">
        <f t="shared" ca="1" si="0"/>
        <v>欧红伟（注册号：1120000080）</v>
      </c>
      <c r="E7" s="2158" t="s">
        <v>2144</v>
      </c>
      <c r="F7" s="1213">
        <f ca="1">IF(G7&lt;B2,"已过期",2000110082)</f>
        <v>2000110082</v>
      </c>
      <c r="G7" s="2159">
        <v>46387</v>
      </c>
      <c r="H7" s="2160" t="str">
        <f t="shared" ca="1" si="1"/>
        <v>欧红伟（注册号：2000110082）</v>
      </c>
    </row>
    <row r="8" spans="1:8" ht="24" customHeight="1">
      <c r="A8" s="1213" t="s">
        <v>2145</v>
      </c>
      <c r="B8" s="1213">
        <f ca="1">IF(C8&lt;B2,"已过期",1419970001)</f>
        <v>1419970001</v>
      </c>
      <c r="C8" s="2156">
        <v>45937</v>
      </c>
      <c r="D8" s="2157" t="str">
        <f t="shared" ca="1" si="0"/>
        <v>吴薇（注册号：1419970001）</v>
      </c>
      <c r="E8" s="2158" t="s">
        <v>2145</v>
      </c>
      <c r="F8" s="1213">
        <f ca="1">IF(G8&lt;B2,"已过期",2002110125)</f>
        <v>2002110125</v>
      </c>
      <c r="G8" s="2159">
        <v>47118</v>
      </c>
      <c r="H8" s="2160" t="str">
        <f t="shared" ca="1" si="1"/>
        <v>吴薇（注册号：2002110125）</v>
      </c>
    </row>
    <row r="9" spans="1:8" ht="24" customHeight="1">
      <c r="A9" s="1213" t="s">
        <v>2146</v>
      </c>
      <c r="B9" s="1213" t="str">
        <f ca="1">IF(C9&lt;B2,"已过期",1120060040)</f>
        <v>已过期</v>
      </c>
      <c r="C9" s="2161">
        <v>45592</v>
      </c>
      <c r="D9" s="2157" t="str">
        <f t="shared" ca="1" si="0"/>
        <v>陈颖（注册号：已过期）</v>
      </c>
      <c r="E9" s="2158" t="s">
        <v>2146</v>
      </c>
      <c r="F9" s="1213">
        <f ca="1">IF(G9&lt;B2,"已过期",2004110096)</f>
        <v>2004110096</v>
      </c>
      <c r="G9" s="2159">
        <v>47118</v>
      </c>
      <c r="H9" s="2160" t="str">
        <f t="shared" ca="1" si="1"/>
        <v>陈颖（注册号：2004110096）</v>
      </c>
    </row>
    <row r="10" spans="1:8" ht="24" customHeight="1">
      <c r="A10" s="1213" t="s">
        <v>2147</v>
      </c>
      <c r="B10" s="1213" t="str">
        <f ca="1">IF(C10&lt;B2,"已过期",1120100036)</f>
        <v>已过期</v>
      </c>
      <c r="C10" s="2161">
        <v>45752</v>
      </c>
      <c r="D10" s="2157" t="str">
        <f t="shared" ca="1" si="0"/>
        <v>崔锴（注册号：已过期）</v>
      </c>
      <c r="E10" s="2158" t="s">
        <v>2147</v>
      </c>
      <c r="F10" s="1213">
        <f ca="1">IF(G10&lt;B2,"已过期",2010110070)</f>
        <v>2010110070</v>
      </c>
      <c r="G10" s="2159">
        <v>47907</v>
      </c>
      <c r="H10" s="2160" t="str">
        <f t="shared" ca="1" si="1"/>
        <v>崔锴（注册号：2010110070）</v>
      </c>
    </row>
    <row r="11" spans="1:8" ht="24" customHeight="1">
      <c r="A11" s="1213" t="s">
        <v>2148</v>
      </c>
      <c r="B11" s="1213">
        <f ca="1">IF(C11&lt;B2,"已过期",1120070131)</f>
        <v>1120070131</v>
      </c>
      <c r="C11" s="2156">
        <v>45937</v>
      </c>
      <c r="D11" s="2157" t="str">
        <f t="shared" ca="1" si="0"/>
        <v>郑燚（注册号：1120070131）</v>
      </c>
      <c r="E11" s="2158" t="s">
        <v>2148</v>
      </c>
      <c r="F11" s="1213">
        <f ca="1">IF(G11&lt;B2,"已过期",2014110011)</f>
        <v>2014110011</v>
      </c>
      <c r="G11" s="2159">
        <v>49302</v>
      </c>
      <c r="H11" s="2160" t="str">
        <f t="shared" ca="1" si="1"/>
        <v>郑燚（注册号：2014110011）</v>
      </c>
    </row>
    <row r="12" spans="1:8" ht="24" customHeight="1">
      <c r="A12" s="1213" t="s">
        <v>2149</v>
      </c>
      <c r="B12" s="1213">
        <f ca="1">IF(C12&lt;B2,"已过期",1120040230)</f>
        <v>1120040230</v>
      </c>
      <c r="C12" s="2161">
        <v>45937</v>
      </c>
      <c r="D12" s="2157" t="str">
        <f t="shared" ca="1" si="0"/>
        <v>苏海（注册号：1120040230）</v>
      </c>
      <c r="E12" s="2158" t="s">
        <v>2149</v>
      </c>
      <c r="F12" s="1213">
        <f ca="1">IF(G12&lt;B2,"已过期",98030020)</f>
        <v>98030020</v>
      </c>
      <c r="G12" s="2159">
        <v>47118</v>
      </c>
      <c r="H12" s="2160" t="str">
        <f t="shared" ca="1" si="1"/>
        <v>苏海（注册号：98030020）</v>
      </c>
    </row>
    <row r="13" spans="1:8" ht="24" customHeight="1">
      <c r="A13" s="1213" t="s">
        <v>2150</v>
      </c>
      <c r="B13" s="1213" t="str">
        <f ca="1">IF(C13&lt;B2,"已过期",1120020033)</f>
        <v>已过期</v>
      </c>
      <c r="C13" s="2156">
        <v>45375</v>
      </c>
      <c r="D13" s="2157" t="str">
        <f t="shared" ca="1" si="0"/>
        <v>刘敬东（注册号：已过期）</v>
      </c>
      <c r="E13" s="2158" t="s">
        <v>2150</v>
      </c>
      <c r="F13" s="1213">
        <f ca="1">IF(G13&lt;B2,"已过期",2000110137)</f>
        <v>2000110137</v>
      </c>
      <c r="G13" s="2159">
        <v>46387</v>
      </c>
      <c r="H13" s="2160" t="str">
        <f t="shared" ca="1" si="1"/>
        <v>刘敬东（注册号：2000110137）</v>
      </c>
    </row>
    <row r="14" spans="1:8" ht="24" customHeight="1">
      <c r="A14" s="1213" t="s">
        <v>2151</v>
      </c>
      <c r="B14" s="1213" t="str">
        <f ca="1">IF(C14&lt;B2,"已过期",1119980106)</f>
        <v>已过期</v>
      </c>
      <c r="C14" s="2161">
        <v>44969</v>
      </c>
      <c r="D14" s="2157" t="str">
        <f t="shared" ca="1" si="0"/>
        <v>刘俊财（注册号：已过期）</v>
      </c>
      <c r="E14" s="2158" t="s">
        <v>2151</v>
      </c>
      <c r="F14" s="1213">
        <f ca="1">IF(G14&lt;B2,"已过期",96010063)</f>
        <v>96010063</v>
      </c>
      <c r="G14" s="2159">
        <v>47483</v>
      </c>
      <c r="H14" s="2160" t="str">
        <f t="shared" ca="1" si="1"/>
        <v>刘俊财（注册号：96010063）</v>
      </c>
    </row>
    <row r="15" spans="1:8" ht="24" customHeight="1">
      <c r="A15" s="1213" t="s">
        <v>2421</v>
      </c>
      <c r="B15" s="1213">
        <v>1120210056</v>
      </c>
      <c r="C15" s="2161">
        <v>45410</v>
      </c>
      <c r="D15" s="2157" t="str">
        <f t="shared" si="0"/>
        <v>宁小鳗（注册号：1120210056）</v>
      </c>
      <c r="E15" s="2158" t="s">
        <v>2152</v>
      </c>
      <c r="F15" s="1213">
        <f ca="1">IF(G15&lt;B2,"已过期",2011110090)</f>
        <v>2011110090</v>
      </c>
      <c r="G15" s="2159">
        <v>48302</v>
      </c>
      <c r="H15" s="2160" t="str">
        <f t="shared" ca="1" si="1"/>
        <v>赵雯（注册号：2011110090）</v>
      </c>
    </row>
    <row r="16" spans="1:8" ht="24" customHeight="1">
      <c r="A16" s="1213"/>
      <c r="B16" s="1213"/>
      <c r="C16" s="1213"/>
      <c r="D16" s="2157" t="str">
        <f>A16&amp;"（注册号："&amp;B16&amp;"）"</f>
        <v>（注册号：）</v>
      </c>
      <c r="E16" s="2158"/>
      <c r="F16" s="1213"/>
      <c r="G16" s="1213"/>
      <c r="H16" s="2162" t="str">
        <f t="shared" si="1"/>
        <v>（注册号：）</v>
      </c>
    </row>
    <row r="17" spans="1:8" ht="24" customHeight="1">
      <c r="A17" s="3294" t="s">
        <v>2153</v>
      </c>
      <c r="B17" s="3294"/>
      <c r="C17" s="3294"/>
      <c r="D17" s="3294"/>
      <c r="E17" s="3294"/>
      <c r="F17" s="3294"/>
      <c r="G17" s="3294"/>
      <c r="H17" s="3294"/>
    </row>
    <row r="18" spans="1:8" ht="24" customHeight="1">
      <c r="A18" s="3295" t="s">
        <v>2154</v>
      </c>
      <c r="B18" s="3295"/>
      <c r="C18" s="3295"/>
      <c r="D18" s="2154"/>
      <c r="E18" s="3296" t="s">
        <v>2155</v>
      </c>
      <c r="F18" s="3295"/>
      <c r="G18" s="3295"/>
    </row>
    <row r="19" spans="1:8" s="2164" customFormat="1" ht="24" customHeight="1">
      <c r="A19" s="2163" t="s">
        <v>2156</v>
      </c>
      <c r="B19" s="1213" t="s">
        <v>2157</v>
      </c>
      <c r="C19" s="1213" t="s">
        <v>2136</v>
      </c>
      <c r="D19" s="2154"/>
      <c r="E19" s="2158" t="s">
        <v>2156</v>
      </c>
      <c r="F19" s="1213" t="s">
        <v>2157</v>
      </c>
      <c r="G19" s="1213" t="s">
        <v>2136</v>
      </c>
    </row>
    <row r="20" spans="1:8" s="2164" customFormat="1" ht="24" customHeight="1">
      <c r="A20" s="2165" t="s">
        <v>2158</v>
      </c>
      <c r="B20" s="2165" t="s">
        <v>2159</v>
      </c>
      <c r="C20" s="2159">
        <v>45898</v>
      </c>
      <c r="D20" s="2166"/>
      <c r="E20" s="2167" t="s">
        <v>2160</v>
      </c>
      <c r="F20" s="2170" t="s">
        <v>2422</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165</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结果表-203</vt:lpstr>
      <vt:lpstr>成本法</vt:lpstr>
      <vt:lpstr>成本法-203</vt:lpstr>
      <vt:lpstr>假设开发法</vt:lpstr>
      <vt:lpstr>收益法</vt:lpstr>
      <vt:lpstr>基准地价修正</vt:lpstr>
      <vt:lpstr>收益法-203</vt:lpstr>
      <vt:lpstr>结果表-303</vt:lpstr>
      <vt:lpstr>成本法-303</vt:lpstr>
      <vt:lpstr>收益法-303</vt:lpstr>
      <vt:lpstr>结果表-39-4</vt:lpstr>
      <vt:lpstr>成本法-39-4</vt:lpstr>
      <vt:lpstr>比较法-商业</vt:lpstr>
      <vt:lpstr>收益法-39-4</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典型户型修正</vt:lpstr>
      <vt:lpstr>租赁清单</vt:lpstr>
      <vt:lpstr>案例</vt:lpstr>
      <vt:lpstr>结果表-39-14</vt:lpstr>
      <vt:lpstr>比较法-住宅</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'成本法-203'!Print_Area</vt:lpstr>
      <vt:lpstr>'成本法-303'!Print_Area</vt:lpstr>
      <vt:lpstr>'成本法-39-4'!Print_Area</vt:lpstr>
      <vt:lpstr>估价对象房地状况!Print_Area</vt:lpstr>
      <vt:lpstr>估价师及机构信息!Print_Area</vt:lpstr>
      <vt:lpstr>'基准地价（汇总）'!Print_Area</vt:lpstr>
      <vt:lpstr>基准地价修正!Print_Area</vt:lpstr>
      <vt:lpstr>假设开发法!Print_Area</vt:lpstr>
      <vt:lpstr>'结果表-203'!Print_Area</vt:lpstr>
      <vt:lpstr>'结果表-303'!Print_Area</vt:lpstr>
      <vt:lpstr>'结果表-39-14'!Print_Area</vt:lpstr>
      <vt:lpstr>'结果表-39-4'!Print_Area</vt:lpstr>
      <vt:lpstr>收益法!Print_Area</vt:lpstr>
      <vt:lpstr>'收益法（汇总）'!Print_Area</vt:lpstr>
      <vt:lpstr>'收益法-203'!Print_Area</vt:lpstr>
      <vt:lpstr>'收益法-303'!Print_Area</vt:lpstr>
      <vt:lpstr>'收益法-39-4'!Print_Area</vt:lpstr>
      <vt:lpstr>'数据-汇总表'!Print_Area</vt:lpstr>
      <vt:lpstr>'土地比较法-工业'!Print_Area</vt:lpstr>
      <vt:lpstr>'土地比较法-住宅、综合'!Print_Area</vt:lpstr>
      <vt:lpstr>系统读取表!Print_Area</vt:lpstr>
      <vt:lpstr>项目基本情况!Print_Area</vt:lpstr>
      <vt:lpstr>租赁清单!Print_Area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2025-08-01T02:49:34Z</dcterms:modified>
</cp:coreProperties>
</file>