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605" windowHeight="117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收益法 (元)" sheetId="67" r:id="rId21"/>
    <sheet name="成本法 (元)" sheetId="69" r:id="rId22"/>
    <sheet name="基准地价修正" sheetId="43"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19"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19">'比较法-车位'!$A$1:$K$44,'比较法-车位'!$A$47:$M$102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1" i="35" l="1"/>
  <c r="AA48" i="35"/>
  <c r="P48" i="35"/>
  <c r="Q48" i="35" s="1"/>
  <c r="R48" i="35" s="1"/>
  <c r="S48" i="35" s="1"/>
  <c r="T48" i="35" s="1"/>
  <c r="U48" i="35" s="1"/>
  <c r="V48" i="35" s="1"/>
  <c r="W48" i="35" s="1"/>
  <c r="X48" i="35" s="1"/>
  <c r="Y48" i="35" s="1"/>
  <c r="Z48" i="35" s="1"/>
  <c r="Q26" i="80"/>
  <c r="Q25" i="80"/>
  <c r="B14" i="74" l="1"/>
  <c r="D14" i="9"/>
  <c r="G44" i="43"/>
  <c r="L14" i="4"/>
  <c r="D42" i="43"/>
  <c r="Y6" i="1"/>
  <c r="N18" i="1"/>
  <c r="G19" i="6"/>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6" i="79"/>
  <c r="W6" i="79" s="1"/>
  <c r="T7" i="79"/>
  <c r="W7" i="79" s="1"/>
  <c r="V9" i="79"/>
  <c r="V8" i="79"/>
  <c r="V6" i="79"/>
  <c r="V7" i="79"/>
  <c r="T28" i="79"/>
  <c r="W28" i="79" s="1"/>
  <c r="T27" i="79"/>
  <c r="W27" i="79" s="1"/>
  <c r="T26" i="79"/>
  <c r="W26" i="79" s="1"/>
  <c r="P5" i="79"/>
  <c r="S9" i="79"/>
  <c r="S8" i="79"/>
  <c r="S7" i="79"/>
  <c r="S6" i="79"/>
  <c r="U9" i="79"/>
  <c r="U8" i="79"/>
  <c r="U7" i="79"/>
  <c r="U6" i="79"/>
  <c r="M23" i="79"/>
  <c r="P23" i="79" s="1"/>
  <c r="T23" i="79"/>
  <c r="W23" i="79" s="1"/>
  <c r="T25" i="79"/>
  <c r="W25" i="79" s="1"/>
  <c r="S28" i="79"/>
  <c r="S27"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AC18" i="35" s="1"/>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C40" i="68"/>
  <c r="Q72" i="67"/>
  <c r="Q59" i="67"/>
  <c r="Q58"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F5" i="3" s="1"/>
  <c r="BG493" i="3"/>
  <c r="BH493" i="3"/>
  <c r="BI493" i="3"/>
  <c r="BJ493" i="3"/>
  <c r="BK493" i="3"/>
  <c r="BM493" i="3"/>
  <c r="BN493" i="3"/>
  <c r="BO493" i="3"/>
  <c r="BO5" i="3" s="1"/>
  <c r="BP493" i="3"/>
  <c r="BR493" i="3"/>
  <c r="BS493" i="3"/>
  <c r="BT493" i="3"/>
  <c r="H494" i="3"/>
  <c r="AC494" i="3"/>
  <c r="G494" i="3" s="1"/>
  <c r="BB494" i="3"/>
  <c r="BC494" i="3"/>
  <c r="BA494" i="3" s="1"/>
  <c r="AZ494" i="3" s="1"/>
  <c r="BD494" i="3"/>
  <c r="BE494" i="3"/>
  <c r="BF494" i="3"/>
  <c r="BG494" i="3"/>
  <c r="BG5" i="3" s="1"/>
  <c r="BH494" i="3"/>
  <c r="BI494" i="3"/>
  <c r="BJ494" i="3"/>
  <c r="BK494" i="3"/>
  <c r="BM494" i="3"/>
  <c r="BN494" i="3"/>
  <c r="BN5" i="3" s="1"/>
  <c r="BO494" i="3"/>
  <c r="BP494" i="3"/>
  <c r="BQ494" i="3"/>
  <c r="BR494" i="3"/>
  <c r="BS494" i="3"/>
  <c r="BT494" i="3"/>
  <c r="H495" i="3"/>
  <c r="AC495" i="3"/>
  <c r="G495" i="3" s="1"/>
  <c r="BB495" i="3"/>
  <c r="BC495" i="3"/>
  <c r="BA495" i="3" s="1"/>
  <c r="BD495" i="3"/>
  <c r="BE495" i="3"/>
  <c r="BF495" i="3"/>
  <c r="BG495" i="3"/>
  <c r="BH495" i="3"/>
  <c r="BI495" i="3"/>
  <c r="BJ495" i="3"/>
  <c r="BK495" i="3"/>
  <c r="BM495" i="3"/>
  <c r="BN495" i="3"/>
  <c r="BL495" i="3" s="1"/>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S31" i="35" s="1"/>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s="1"/>
  <c r="G64" i="35" s="1"/>
  <c r="J14" i="35"/>
  <c r="W14"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17" i="20"/>
  <c r="B61" i="43" s="1"/>
  <c r="C16" i="20"/>
  <c r="C17" i="39" s="1"/>
  <c r="C15" i="20"/>
  <c r="E54" i="21"/>
  <c r="F54" i="21" s="1"/>
  <c r="I54" i="21"/>
  <c r="J54" i="21" s="1"/>
  <c r="G54" i="21"/>
  <c r="H54" i="21" s="1"/>
  <c r="D125" i="21"/>
  <c r="E125" i="21"/>
  <c r="F125" i="21" s="1"/>
  <c r="G125" i="21" s="1"/>
  <c r="D123" i="21"/>
  <c r="E123" i="21"/>
  <c r="F123" i="21" s="1"/>
  <c r="F42" i="2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J44" i="21" s="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H12" i="21"/>
  <c r="J26" i="21"/>
  <c r="W26" i="21"/>
  <c r="F26" i="21"/>
  <c r="S26" i="21"/>
  <c r="S41" i="21"/>
  <c r="AA41" i="21"/>
  <c r="F45" i="39"/>
  <c r="S45" i="39" s="1"/>
  <c r="J45" i="39"/>
  <c r="J44" i="39"/>
  <c r="AC44" i="39" s="1"/>
  <c r="F36" i="39"/>
  <c r="S36" i="39" s="1"/>
  <c r="H36" i="39"/>
  <c r="J35" i="39"/>
  <c r="AC35" i="39" s="1"/>
  <c r="F35" i="39"/>
  <c r="AA35" i="39" s="1"/>
  <c r="J36" i="39"/>
  <c r="U9" i="39"/>
  <c r="U30" i="37"/>
  <c r="W31" i="37"/>
  <c r="F39" i="37"/>
  <c r="U14" i="37"/>
  <c r="F29" i="36"/>
  <c r="AA29" i="36" s="1"/>
  <c r="F16" i="36"/>
  <c r="AA16" i="36" s="1"/>
  <c r="U9" i="36"/>
  <c r="W28" i="36"/>
  <c r="U31" i="36"/>
  <c r="J33" i="36"/>
  <c r="AC33" i="36" s="1"/>
  <c r="H22" i="35"/>
  <c r="AB22" i="35" s="1"/>
  <c r="S34" i="35"/>
  <c r="W34" i="35"/>
  <c r="W22" i="35"/>
  <c r="U34" i="35"/>
  <c r="F36" i="34"/>
  <c r="J35" i="34"/>
  <c r="W9" i="34"/>
  <c r="H39" i="33"/>
  <c r="AB39" i="33"/>
  <c r="F26" i="33"/>
  <c r="AA26" i="33"/>
  <c r="U35"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H11" i="39"/>
  <c r="S40" i="39"/>
  <c r="H32" i="33"/>
  <c r="H11" i="21"/>
  <c r="U11" i="21" s="1"/>
  <c r="J11" i="21"/>
  <c r="W11" i="21" s="1"/>
  <c r="H37" i="40"/>
  <c r="U37" i="40" s="1"/>
  <c r="H36" i="40"/>
  <c r="AB36" i="40" s="1"/>
  <c r="F35" i="40"/>
  <c r="AA35" i="40" s="1"/>
  <c r="H23" i="40"/>
  <c r="H17" i="40"/>
  <c r="U17" i="40" s="1"/>
  <c r="J15" i="40"/>
  <c r="W15" i="40" s="1"/>
  <c r="J11" i="40"/>
  <c r="AB8" i="39"/>
  <c r="AC12" i="34"/>
  <c r="AA12" i="34"/>
  <c r="AB12" i="35"/>
  <c r="F37" i="39"/>
  <c r="AA37" i="39" s="1"/>
  <c r="J34" i="36"/>
  <c r="W34" i="36" s="1"/>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c r="AA42" i="34"/>
  <c r="AC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W13" i="33" s="1"/>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W32" i="34" s="1"/>
  <c r="H46" i="34"/>
  <c r="U46" i="34" s="1"/>
  <c r="F46" i="34"/>
  <c r="AA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J28" i="37"/>
  <c r="AC28" i="37" s="1"/>
  <c r="H38" i="37"/>
  <c r="AB38" i="37" s="1"/>
  <c r="F38" i="37"/>
  <c r="S38" i="37" s="1"/>
  <c r="F43" i="39"/>
  <c r="AA43" i="39" s="1"/>
  <c r="H43" i="39"/>
  <c r="AB43" i="39" s="1"/>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F14" i="40"/>
  <c r="AA14" i="40" s="1"/>
  <c r="J14" i="37"/>
  <c r="J27" i="37"/>
  <c r="AC27" i="37" s="1"/>
  <c r="U31" i="34"/>
  <c r="J36" i="37"/>
  <c r="AC36" i="37"/>
  <c r="J10" i="36"/>
  <c r="AC10" i="36" s="1"/>
  <c r="AB26" i="33"/>
  <c r="AB30" i="21"/>
  <c r="AA14" i="37"/>
  <c r="W31" i="34"/>
  <c r="S11" i="36"/>
  <c r="AB46" i="34"/>
  <c r="AA14" i="34"/>
  <c r="AB45" i="33"/>
  <c r="U31" i="33"/>
  <c r="AC28" i="21"/>
  <c r="BA586" i="3"/>
  <c r="F17" i="21"/>
  <c r="AA17" i="21" s="1"/>
  <c r="H17" i="21"/>
  <c r="AB17" i="21" s="1"/>
  <c r="F15" i="21"/>
  <c r="S15" i="21" s="1"/>
  <c r="J41" i="39"/>
  <c r="W41" i="39" s="1"/>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18" i="3"/>
  <c r="BA514" i="3"/>
  <c r="BA581" i="3"/>
  <c r="BA579" i="3"/>
  <c r="BA577" i="3"/>
  <c r="BA575" i="3"/>
  <c r="BA573" i="3"/>
  <c r="BA571" i="3"/>
  <c r="BA567" i="3"/>
  <c r="BA563" i="3"/>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G513" i="3"/>
  <c r="BQ519" i="3"/>
  <c r="BQ517" i="3"/>
  <c r="BL517" i="3"/>
  <c r="BQ515" i="3"/>
  <c r="BQ513" i="3"/>
  <c r="BL513" i="3"/>
  <c r="BQ511" i="3"/>
  <c r="AC509" i="3"/>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H43" i="33"/>
  <c r="H17" i="37"/>
  <c r="U17" i="37" s="1"/>
  <c r="AB27" i="37"/>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c r="I123" i="33" s="1"/>
  <c r="J123" i="33" s="1"/>
  <c r="K123" i="33" s="1"/>
  <c r="L123" i="33" s="1"/>
  <c r="M123" i="33" s="1"/>
  <c r="H42" i="33"/>
  <c r="AB42" i="33" s="1"/>
  <c r="J43" i="33"/>
  <c r="AC43" i="33"/>
  <c r="S28" i="31"/>
  <c r="S27" i="31"/>
  <c r="S26" i="31"/>
  <c r="U35" i="35"/>
  <c r="AA12" i="35"/>
  <c r="U39" i="37"/>
  <c r="AB13" i="34"/>
  <c r="AC45" i="33"/>
  <c r="U11" i="33"/>
  <c r="U19" i="21"/>
  <c r="AC46" i="21"/>
  <c r="AB38" i="21"/>
  <c r="F43" i="33"/>
  <c r="AA43" i="33"/>
  <c r="W15" i="34"/>
  <c r="AC15" i="34"/>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7" i="34"/>
  <c r="C7" i="36"/>
  <c r="C46" i="36" s="1"/>
  <c r="D46" i="36" s="1"/>
  <c r="E46" i="36" s="1"/>
  <c r="F46" i="36" s="1"/>
  <c r="G46" i="36" s="1"/>
  <c r="H46" i="36" s="1"/>
  <c r="I46" i="36" s="1"/>
  <c r="W35" i="40"/>
  <c r="A118" i="9"/>
  <c r="J11" i="39"/>
  <c r="W11" i="39"/>
  <c r="F11" i="39"/>
  <c r="AA11" i="39"/>
  <c r="S11" i="39"/>
  <c r="G4" i="4"/>
  <c r="I4" i="4"/>
  <c r="F61" i="43"/>
  <c r="H64" i="43" s="1"/>
  <c r="AZ20" i="3"/>
  <c r="AZ24" i="3"/>
  <c r="AZ28" i="3"/>
  <c r="AZ32" i="3"/>
  <c r="AZ530"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12"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AZ309" i="3"/>
  <c r="AZ317" i="3"/>
  <c r="AZ325" i="3"/>
  <c r="AZ333" i="3"/>
  <c r="AZ341" i="3"/>
  <c r="G548" i="3"/>
  <c r="G538" i="3"/>
  <c r="BS5" i="3"/>
  <c r="F28" i="6" s="1"/>
  <c r="BK5" i="3"/>
  <c r="BE5" i="3"/>
  <c r="G17" i="3"/>
  <c r="BA17" i="3"/>
  <c r="BT5" i="3"/>
  <c r="AZ350" i="3"/>
  <c r="AZ352" i="3"/>
  <c r="AZ360" i="3"/>
  <c r="AZ368" i="3"/>
  <c r="BA15" i="3"/>
  <c r="AZ15" i="3"/>
  <c r="BR5" i="3"/>
  <c r="AZ384" i="3"/>
  <c r="AZ392" i="3"/>
  <c r="AZ396" i="3"/>
  <c r="AZ394" i="3"/>
  <c r="BL493" i="3"/>
  <c r="AZ491" i="3"/>
  <c r="AZ376" i="3"/>
  <c r="AZ390" i="3"/>
  <c r="AZ382" i="3"/>
  <c r="U36" i="40"/>
  <c r="F83" i="43"/>
  <c r="H85" i="43" s="1"/>
  <c r="F50" i="43"/>
  <c r="H54" i="43" s="1"/>
  <c r="F72" i="43"/>
  <c r="H75" i="43" s="1"/>
  <c r="U17" i="39"/>
  <c r="U43" i="21"/>
  <c r="U35" i="21"/>
  <c r="AC35" i="21"/>
  <c r="G10" i="1"/>
  <c r="AC11" i="39"/>
  <c r="AZ563" i="3"/>
  <c r="W37" i="37"/>
  <c r="W44" i="34"/>
  <c r="AC44" i="34"/>
  <c r="S15" i="37"/>
  <c r="U13" i="37"/>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W29" i="35"/>
  <c r="H35" i="37"/>
  <c r="U35" i="37" s="1"/>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W27" i="34"/>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U30" i="33"/>
  <c r="AC13" i="34"/>
  <c r="AA47" i="34"/>
  <c r="W28" i="37"/>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S17" i="40"/>
  <c r="S23" i="40"/>
  <c r="AC17"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2" i="39"/>
  <c r="S23" i="36"/>
  <c r="U13" i="36"/>
  <c r="U26" i="36"/>
  <c r="S33" i="36"/>
  <c r="AA26" i="36"/>
  <c r="AA34" i="36"/>
  <c r="AA22" i="36"/>
  <c r="W14" i="36"/>
  <c r="AB14" i="36"/>
  <c r="U22" i="36"/>
  <c r="S16" i="36"/>
  <c r="AA25" i="36"/>
  <c r="S24" i="36"/>
  <c r="U23" i="36"/>
  <c r="U16" i="36"/>
  <c r="S14" i="36"/>
  <c r="AA25" i="35"/>
  <c r="S23" i="35"/>
  <c r="W24" i="35"/>
  <c r="AB13" i="35"/>
  <c r="U29" i="35"/>
  <c r="U36" i="35"/>
  <c r="U32" i="35"/>
  <c r="AA33" i="35"/>
  <c r="AC30" i="35"/>
  <c r="S32" i="35"/>
  <c r="AA36" i="35"/>
  <c r="S28" i="35"/>
  <c r="AB16" i="35"/>
  <c r="U22" i="35"/>
  <c r="AC20" i="35"/>
  <c r="S22" i="35"/>
  <c r="AA11" i="35"/>
  <c r="AC9" i="35"/>
  <c r="W9" i="35"/>
  <c r="AC12" i="35"/>
  <c r="W13" i="35"/>
  <c r="F9" i="35"/>
  <c r="S9" i="35" s="1"/>
  <c r="H9" i="35"/>
  <c r="U9" i="35" s="1"/>
  <c r="AB40" i="37"/>
  <c r="U29" i="37"/>
  <c r="S32" i="37"/>
  <c r="AB31" i="37"/>
  <c r="W30" i="37"/>
  <c r="S36" i="37"/>
  <c r="U32" i="37"/>
  <c r="AC35" i="37"/>
  <c r="W39" i="37"/>
  <c r="S30" i="37"/>
  <c r="S37" i="37"/>
  <c r="AC15" i="37"/>
  <c r="J17" i="37"/>
  <c r="W17" i="37"/>
  <c r="G73" i="37"/>
  <c r="F17" i="37"/>
  <c r="AA17" i="37" s="1"/>
  <c r="AB17" i="37"/>
  <c r="F75" i="37"/>
  <c r="F19" i="37"/>
  <c r="AA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AA29"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H67" i="43"/>
  <c r="L20" i="6"/>
  <c r="B6" i="1"/>
  <c r="E6" i="1" s="1"/>
  <c r="K11" i="1"/>
  <c r="M11" i="1" s="1"/>
  <c r="O11" i="1" s="1"/>
  <c r="B9" i="1"/>
  <c r="E9" i="1" s="1"/>
  <c r="K7" i="1"/>
  <c r="M7" i="1" s="1"/>
  <c r="O7" i="1" s="1"/>
  <c r="P7" i="1" s="1"/>
  <c r="G1" i="15"/>
  <c r="G1" i="69"/>
  <c r="G1" i="67"/>
  <c r="W23" i="40"/>
  <c r="AB31" i="40"/>
  <c r="S37" i="40"/>
  <c r="AB28" i="40"/>
  <c r="W28" i="40"/>
  <c r="W34" i="40"/>
  <c r="W19" i="40"/>
  <c r="W27" i="40"/>
  <c r="S36" i="40"/>
  <c r="W37" i="40"/>
  <c r="S13" i="40"/>
  <c r="S33" i="40"/>
  <c r="AA15" i="40"/>
  <c r="U11" i="40"/>
  <c r="S31" i="40"/>
  <c r="AB13" i="40"/>
  <c r="U15" i="40"/>
  <c r="AB17" i="40"/>
  <c r="U8" i="40"/>
  <c r="S8" i="40"/>
  <c r="AA39" i="39"/>
  <c r="U42" i="39"/>
  <c r="W25" i="39"/>
  <c r="AC25" i="39"/>
  <c r="U13" i="39"/>
  <c r="AB13" i="39"/>
  <c r="AA13" i="39"/>
  <c r="S13" i="39"/>
  <c r="S14" i="39"/>
  <c r="AA14" i="39"/>
  <c r="U43" i="39"/>
  <c r="AB11" i="39"/>
  <c r="U11" i="39"/>
  <c r="AA27" i="39"/>
  <c r="S27" i="39"/>
  <c r="W17" i="39"/>
  <c r="AC17" i="39"/>
  <c r="W31" i="39"/>
  <c r="S23" i="39"/>
  <c r="AA45" i="39"/>
  <c r="AB39" i="39"/>
  <c r="U38" i="39"/>
  <c r="S8" i="39"/>
  <c r="S20" i="36"/>
  <c r="U32" i="36"/>
  <c r="W29" i="36"/>
  <c r="AC20" i="36"/>
  <c r="AB28" i="36"/>
  <c r="AA13" i="36"/>
  <c r="W9" i="36"/>
  <c r="W22" i="36"/>
  <c r="W23" i="36"/>
  <c r="S9" i="36"/>
  <c r="AB20" i="35"/>
  <c r="U25" i="35"/>
  <c r="S24" i="35"/>
  <c r="U24" i="35"/>
  <c r="W35" i="35"/>
  <c r="AA35" i="37"/>
  <c r="W36" i="37"/>
  <c r="S27" i="37"/>
  <c r="W32" i="37"/>
  <c r="U36" i="37"/>
  <c r="S40" i="37"/>
  <c r="AB37" i="37"/>
  <c r="AC34" i="37"/>
  <c r="AB35" i="37"/>
  <c r="U19" i="37"/>
  <c r="AA29" i="37"/>
  <c r="U8" i="37"/>
  <c r="AB40" i="34"/>
  <c r="W19" i="34"/>
  <c r="AB33" i="34"/>
  <c r="AC45"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S46" i="34"/>
  <c r="U32" i="34"/>
  <c r="U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AC13" i="33"/>
  <c r="S11" i="33"/>
  <c r="U37" i="33"/>
  <c r="W9" i="33"/>
  <c r="W8" i="33"/>
  <c r="AB42" i="21"/>
  <c r="U28" i="2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W30" i="21"/>
  <c r="H45" i="21"/>
  <c r="U45" i="21" s="1"/>
  <c r="F29" i="21"/>
  <c r="S29" i="21" s="1"/>
  <c r="F13" i="21"/>
  <c r="AA13" i="21" s="1"/>
  <c r="AC38" i="21"/>
  <c r="H32" i="21"/>
  <c r="H9" i="21"/>
  <c r="U9" i="21" s="1"/>
  <c r="J9" i="21"/>
  <c r="J32" i="21"/>
  <c r="W32" i="21" s="1"/>
  <c r="F32" i="21"/>
  <c r="AA31" i="21"/>
  <c r="W29" i="21"/>
  <c r="S19" i="21"/>
  <c r="S9" i="21"/>
  <c r="AA9" i="21"/>
  <c r="K141" i="21"/>
  <c r="K144" i="21"/>
  <c r="K143" i="21"/>
  <c r="U27" i="21"/>
  <c r="AB25" i="21"/>
  <c r="AA30" i="21"/>
  <c r="W42" i="21"/>
  <c r="AC45" i="21"/>
  <c r="F10" i="21"/>
  <c r="AA10" i="21" s="1"/>
  <c r="K145" i="21"/>
  <c r="W17" i="21"/>
  <c r="AA29" i="21"/>
  <c r="S27" i="21"/>
  <c r="S17" i="21"/>
  <c r="AA15" i="21"/>
  <c r="AC27" i="21"/>
  <c r="AC26" i="21"/>
  <c r="S28" i="21"/>
  <c r="AC34" i="21"/>
  <c r="AB36" i="21"/>
  <c r="W30" i="40"/>
  <c r="C19" i="39"/>
  <c r="C15" i="40"/>
  <c r="C17" i="40"/>
  <c r="C23" i="40"/>
  <c r="C21" i="40"/>
  <c r="U30" i="40"/>
  <c r="B56" i="43"/>
  <c r="B67" i="43"/>
  <c r="B51" i="43"/>
  <c r="B54"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S37" i="21"/>
  <c r="AA23" i="21"/>
  <c r="AB15" i="21"/>
  <c r="J23" i="21"/>
  <c r="F85" i="21"/>
  <c r="G85" i="21" s="1"/>
  <c r="H23" i="21"/>
  <c r="U23" i="21" s="1"/>
  <c r="D6" i="52"/>
  <c r="AP7" i="1"/>
  <c r="AB9" i="21"/>
  <c r="AA32" i="21"/>
  <c r="S32" i="21"/>
  <c r="W9" i="21"/>
  <c r="AC9" i="21"/>
  <c r="AB32" i="21"/>
  <c r="U32" i="21"/>
  <c r="A18" i="62"/>
  <c r="B64" i="72" s="1"/>
  <c r="U32" i="39"/>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2" i="15"/>
  <c r="F7" i="73"/>
  <c r="D6" i="73"/>
  <c r="E12" i="76"/>
  <c r="E13" i="76"/>
  <c r="B8" i="76"/>
  <c r="F9" i="15"/>
  <c r="F38" i="67"/>
  <c r="F16" i="15"/>
  <c r="F37" i="15"/>
  <c r="M6" i="15"/>
  <c r="F9" i="67"/>
  <c r="F13" i="67"/>
  <c r="M29" i="15"/>
  <c r="F8" i="67"/>
  <c r="M28" i="67"/>
  <c r="E9" i="76"/>
  <c r="D7" i="73"/>
  <c r="F36" i="67"/>
  <c r="M22" i="67"/>
  <c r="F26" i="67"/>
  <c r="B10" i="76"/>
  <c r="F36" i="15"/>
  <c r="E10" i="76"/>
  <c r="M9" i="15"/>
  <c r="M24" i="15"/>
  <c r="F7" i="15"/>
  <c r="M24" i="67"/>
  <c r="E11" i="76"/>
  <c r="F20" i="31"/>
  <c r="AO13" i="1"/>
  <c r="M9" i="67"/>
  <c r="B7" i="76"/>
  <c r="E8" i="76"/>
  <c r="L48" i="67"/>
  <c r="F43" i="67"/>
  <c r="M22" i="15"/>
  <c r="B9" i="76"/>
  <c r="J15" i="67"/>
  <c r="B12" i="76"/>
  <c r="D34" i="9"/>
  <c r="M6" i="67"/>
  <c r="M23" i="15"/>
  <c r="M28" i="15"/>
  <c r="F4" i="73"/>
  <c r="F3" i="73"/>
  <c r="L47" i="15"/>
  <c r="C76" i="15"/>
  <c r="F8" i="15"/>
  <c r="F13" i="15"/>
  <c r="B11" i="76"/>
  <c r="F43" i="15"/>
  <c r="F5" i="73"/>
  <c r="L48" i="15"/>
  <c r="F6" i="15"/>
  <c r="M8" i="15"/>
  <c r="F37" i="67"/>
  <c r="F42" i="67"/>
  <c r="D35" i="9"/>
  <c r="F6" i="73"/>
  <c r="M23" i="67"/>
  <c r="E2" i="69"/>
  <c r="L47" i="67"/>
  <c r="E7" i="76"/>
  <c r="F16" i="67"/>
  <c r="F26" i="15"/>
  <c r="M29" i="67"/>
  <c r="F6" i="67"/>
  <c r="B13" i="76"/>
  <c r="D3" i="73"/>
  <c r="J15" i="15"/>
  <c r="M26" i="15"/>
  <c r="M26" i="67"/>
  <c r="F38" i="15"/>
  <c r="F7" i="67"/>
  <c r="E2" i="68"/>
  <c r="F40" i="15"/>
  <c r="F40" i="67"/>
  <c r="C76" i="67"/>
  <c r="M8" i="67"/>
  <c r="J52" i="67" l="1"/>
  <c r="Q51" i="67" s="1"/>
  <c r="U28" i="35"/>
  <c r="W28" i="35"/>
  <c r="AB27" i="35"/>
  <c r="AC27" i="35"/>
  <c r="S20" i="35"/>
  <c r="W18" i="35"/>
  <c r="AA16" i="35"/>
  <c r="W16" i="35"/>
  <c r="U14" i="35"/>
  <c r="AC14" i="35"/>
  <c r="AC31" i="35"/>
  <c r="U31" i="35"/>
  <c r="B58" i="43"/>
  <c r="F30" i="69"/>
  <c r="F48" i="69" s="1"/>
  <c r="F31" i="12"/>
  <c r="F54" i="9"/>
  <c r="M18" i="15"/>
  <c r="M18" i="67"/>
  <c r="F30" i="11"/>
  <c r="C48" i="11" s="1"/>
  <c r="D68" i="9"/>
  <c r="F28" i="15"/>
  <c r="F32" i="15"/>
  <c r="F60" i="15" s="1"/>
  <c r="F32" i="67"/>
  <c r="F60" i="67" s="1"/>
  <c r="F52" i="9"/>
  <c r="F28" i="67"/>
  <c r="F30" i="68"/>
  <c r="F48" i="68" s="1"/>
  <c r="C21" i="68"/>
  <c r="C40" i="69"/>
  <c r="A2" i="9"/>
  <c r="A4" i="52"/>
  <c r="B41" i="72" s="1"/>
  <c r="AZ507" i="3"/>
  <c r="AA28" i="37"/>
  <c r="S28" i="37"/>
  <c r="AC38" i="37"/>
  <c r="W38" i="37"/>
  <c r="W14" i="40"/>
  <c r="AC14" i="40"/>
  <c r="AZ522" i="3"/>
  <c r="AZ500" i="3"/>
  <c r="AZ495" i="3"/>
  <c r="AZ499" i="3"/>
  <c r="AC44" i="21"/>
  <c r="W44" i="21"/>
  <c r="E15" i="71"/>
  <c r="E14" i="71" s="1"/>
  <c r="E13" i="71" s="1"/>
  <c r="E12" i="71" s="1"/>
  <c r="V16" i="71"/>
  <c r="AZ343" i="3"/>
  <c r="S41" i="34"/>
  <c r="AA41" i="34"/>
  <c r="AZ557" i="3"/>
  <c r="AZ517" i="3"/>
  <c r="AZ571" i="3"/>
  <c r="AZ575" i="3"/>
  <c r="AZ579" i="3"/>
  <c r="AZ518" i="3"/>
  <c r="AB14" i="40"/>
  <c r="U14" i="40"/>
  <c r="AC47" i="34"/>
  <c r="W47" i="34"/>
  <c r="AA44" i="34"/>
  <c r="S44" i="34"/>
  <c r="U23" i="34"/>
  <c r="AB23" i="34"/>
  <c r="AB33" i="35"/>
  <c r="U33" i="35"/>
  <c r="AB23" i="40"/>
  <c r="U23" i="40"/>
  <c r="AB32" i="33"/>
  <c r="U32" i="33"/>
  <c r="AB40" i="39"/>
  <c r="U40" i="39"/>
  <c r="AC36" i="39"/>
  <c r="W36" i="39"/>
  <c r="W45" i="39"/>
  <c r="AC45" i="39"/>
  <c r="AB12" i="21"/>
  <c r="U12" i="21"/>
  <c r="AB26" i="21"/>
  <c r="U26" i="21"/>
  <c r="AA34" i="21"/>
  <c r="S34" i="21"/>
  <c r="BA585" i="3"/>
  <c r="AZ585" i="3" s="1"/>
  <c r="AA42" i="21"/>
  <c r="S42" i="21"/>
  <c r="B94" i="43"/>
  <c r="B73" i="43"/>
  <c r="B99" i="43"/>
  <c r="B76" i="43"/>
  <c r="C27" i="39"/>
  <c r="U12" i="33"/>
  <c r="AB12" i="33"/>
  <c r="AB33" i="33"/>
  <c r="U33" i="33"/>
  <c r="J12" i="40"/>
  <c r="F12" i="40"/>
  <c r="H12" i="40"/>
  <c r="F38" i="40"/>
  <c r="J38" i="40"/>
  <c r="H38" i="40"/>
  <c r="U41" i="21"/>
  <c r="AB41" i="21"/>
  <c r="BA525" i="3"/>
  <c r="AZ525" i="3" s="1"/>
  <c r="BL524" i="3"/>
  <c r="AZ524" i="3" s="1"/>
  <c r="BL523" i="3"/>
  <c r="AZ523" i="3" s="1"/>
  <c r="BA521" i="3"/>
  <c r="AZ521" i="3" s="1"/>
  <c r="BL520" i="3"/>
  <c r="BA520" i="3"/>
  <c r="BL519" i="3"/>
  <c r="BA519" i="3"/>
  <c r="BL516" i="3"/>
  <c r="AZ516" i="3" s="1"/>
  <c r="BL515" i="3"/>
  <c r="BA515" i="3"/>
  <c r="AZ515" i="3" s="1"/>
  <c r="BL514" i="3"/>
  <c r="AZ514" i="3" s="1"/>
  <c r="BA512" i="3"/>
  <c r="AZ512" i="3" s="1"/>
  <c r="BL511" i="3"/>
  <c r="BA511" i="3"/>
  <c r="AZ511" i="3" s="1"/>
  <c r="BA510" i="3"/>
  <c r="AZ510" i="3" s="1"/>
  <c r="BA509" i="3"/>
  <c r="AZ509" i="3" s="1"/>
  <c r="BL508" i="3"/>
  <c r="BA508" i="3"/>
  <c r="AZ508" i="3" s="1"/>
  <c r="BL507" i="3"/>
  <c r="BL506" i="3"/>
  <c r="AZ506" i="3" s="1"/>
  <c r="BA505" i="3"/>
  <c r="AZ505" i="3" s="1"/>
  <c r="BL504" i="3"/>
  <c r="BA504" i="3"/>
  <c r="BL503" i="3"/>
  <c r="AZ503" i="3" s="1"/>
  <c r="BA502" i="3"/>
  <c r="AZ502" i="3" s="1"/>
  <c r="BA501" i="3"/>
  <c r="AZ501" i="3" s="1"/>
  <c r="BL498" i="3"/>
  <c r="BA498" i="3"/>
  <c r="AZ498" i="3" s="1"/>
  <c r="BA497" i="3"/>
  <c r="AZ497" i="3" s="1"/>
  <c r="BL496" i="3"/>
  <c r="BL5" i="3" s="1"/>
  <c r="BA496" i="3"/>
  <c r="BP5" i="3"/>
  <c r="BI5" i="3"/>
  <c r="BM5" i="3"/>
  <c r="F29" i="6" s="1"/>
  <c r="F30" i="6" s="1"/>
  <c r="BH5" i="3"/>
  <c r="BD5" i="3"/>
  <c r="BA493" i="3"/>
  <c r="AZ493" i="3" s="1"/>
  <c r="D17" i="71"/>
  <c r="C16" i="71"/>
  <c r="G28" i="6"/>
  <c r="E28" i="6" s="1"/>
  <c r="K14" i="1" s="1"/>
  <c r="AB43" i="33"/>
  <c r="U43" i="33"/>
  <c r="W31" i="33"/>
  <c r="AC31" i="33"/>
  <c r="W36" i="34"/>
  <c r="AC36" i="34"/>
  <c r="D20" i="71"/>
  <c r="U20" i="71" s="1"/>
  <c r="T20" i="71"/>
  <c r="V20" i="71"/>
  <c r="AB45" i="21"/>
  <c r="S13" i="21"/>
  <c r="S36" i="33"/>
  <c r="S17" i="37"/>
  <c r="C28" i="67"/>
  <c r="W31" i="21"/>
  <c r="W25" i="21"/>
  <c r="W13" i="21"/>
  <c r="AB44" i="21"/>
  <c r="U17" i="21"/>
  <c r="S46" i="21"/>
  <c r="AC14" i="21"/>
  <c r="AB14" i="21"/>
  <c r="S45" i="21"/>
  <c r="U15" i="33"/>
  <c r="AC32" i="34"/>
  <c r="W33" i="34"/>
  <c r="AA31" i="34"/>
  <c r="U19" i="34"/>
  <c r="AA40" i="34"/>
  <c r="AA31" i="37"/>
  <c r="U38" i="37"/>
  <c r="S35" i="35"/>
  <c r="AC25" i="35"/>
  <c r="U25" i="36"/>
  <c r="AC25" i="36"/>
  <c r="W34" i="39"/>
  <c r="U41" i="39"/>
  <c r="AC41" i="39"/>
  <c r="G5" i="3"/>
  <c r="B3" i="3" s="1"/>
  <c r="AA36" i="21"/>
  <c r="AB29" i="33"/>
  <c r="AA35" i="33"/>
  <c r="U15" i="34"/>
  <c r="U27" i="34"/>
  <c r="S17" i="34"/>
  <c r="AC39" i="34"/>
  <c r="U44" i="34"/>
  <c r="S27" i="34"/>
  <c r="AA38" i="37"/>
  <c r="AC29" i="37"/>
  <c r="W27" i="37"/>
  <c r="AB20" i="36"/>
  <c r="AC26" i="36"/>
  <c r="AC13" i="39"/>
  <c r="U31" i="39"/>
  <c r="AC15" i="40"/>
  <c r="AC34" i="33"/>
  <c r="S19" i="39"/>
  <c r="AA39" i="34"/>
  <c r="S14" i="35"/>
  <c r="BB5" i="3"/>
  <c r="BC5" i="3"/>
  <c r="AC5" i="3"/>
  <c r="AZ379" i="3"/>
  <c r="AZ357" i="3"/>
  <c r="AZ372" i="3"/>
  <c r="AZ355" i="3"/>
  <c r="AZ337" i="3"/>
  <c r="AZ305" i="3"/>
  <c r="S42" i="39"/>
  <c r="W40" i="37"/>
  <c r="AA13" i="33"/>
  <c r="AA36" i="39"/>
  <c r="S25" i="21"/>
  <c r="AA25" i="21"/>
  <c r="AZ567" i="3"/>
  <c r="AZ581" i="3"/>
  <c r="AZ562" i="3"/>
  <c r="AZ566" i="3"/>
  <c r="W13" i="36"/>
  <c r="AA14" i="33"/>
  <c r="AA44" i="33"/>
  <c r="AC14" i="37"/>
  <c r="W14" i="37"/>
  <c r="H28" i="37"/>
  <c r="S13" i="35"/>
  <c r="AA13" i="35"/>
  <c r="AB46" i="33"/>
  <c r="U46" i="33"/>
  <c r="AC44" i="33"/>
  <c r="W44" i="33"/>
  <c r="W30" i="34"/>
  <c r="AC30" i="34"/>
  <c r="AA45" i="33"/>
  <c r="S45" i="33"/>
  <c r="AC29" i="33"/>
  <c r="W29" i="33"/>
  <c r="H29" i="21"/>
  <c r="F44" i="21"/>
  <c r="S15" i="34"/>
  <c r="AB33" i="37"/>
  <c r="U33" i="37"/>
  <c r="S29" i="35"/>
  <c r="AA29" i="35"/>
  <c r="W8" i="34"/>
  <c r="W11" i="40"/>
  <c r="AC11" i="40"/>
  <c r="C21" i="39"/>
  <c r="U34" i="34"/>
  <c r="S39" i="37"/>
  <c r="AA39" i="37"/>
  <c r="AB36" i="39"/>
  <c r="U36" i="39"/>
  <c r="BL587" i="3"/>
  <c r="BA587" i="3"/>
  <c r="F12" i="21"/>
  <c r="J12" i="21"/>
  <c r="B72" i="43"/>
  <c r="C15" i="39"/>
  <c r="B101" i="43"/>
  <c r="B79" i="43"/>
  <c r="B97" i="43"/>
  <c r="B75" i="43"/>
  <c r="AB40" i="33"/>
  <c r="U40" i="33"/>
  <c r="H28" i="33"/>
  <c r="F28" i="33"/>
  <c r="J28" i="33"/>
  <c r="AC36" i="35"/>
  <c r="W36" i="35"/>
  <c r="H23" i="35"/>
  <c r="J23" i="35"/>
  <c r="J12" i="36"/>
  <c r="H12" i="36"/>
  <c r="F12" i="36"/>
  <c r="J24" i="36"/>
  <c r="H24" i="36"/>
  <c r="H25" i="37"/>
  <c r="J25" i="37"/>
  <c r="F25" i="37"/>
  <c r="AC40" i="39"/>
  <c r="W40" i="39"/>
  <c r="J14" i="39"/>
  <c r="AC14" i="39" s="1"/>
  <c r="H14" i="39"/>
  <c r="AC23" i="39"/>
  <c r="W23" i="39"/>
  <c r="J32" i="40"/>
  <c r="F32" i="40"/>
  <c r="H32" i="40"/>
  <c r="S38" i="34"/>
  <c r="AA38" i="34"/>
  <c r="BA584" i="3"/>
  <c r="AZ584" i="3" s="1"/>
  <c r="BL583" i="3"/>
  <c r="BA583" i="3"/>
  <c r="AZ583" i="3" s="1"/>
  <c r="BL582" i="3"/>
  <c r="AZ582" i="3" s="1"/>
  <c r="BL580" i="3"/>
  <c r="AZ580" i="3" s="1"/>
  <c r="BL569" i="3"/>
  <c r="BA569" i="3"/>
  <c r="AZ569" i="3" s="1"/>
  <c r="BL566" i="3"/>
  <c r="BL565" i="3"/>
  <c r="BA565" i="3"/>
  <c r="BL564" i="3"/>
  <c r="AZ564" i="3" s="1"/>
  <c r="BA555" i="3"/>
  <c r="AZ555" i="3" s="1"/>
  <c r="BL554" i="3"/>
  <c r="BA554" i="3"/>
  <c r="BL553" i="3"/>
  <c r="AZ553" i="3" s="1"/>
  <c r="BA552" i="3"/>
  <c r="AZ552" i="3" s="1"/>
  <c r="BL550" i="3"/>
  <c r="AZ550" i="3" s="1"/>
  <c r="BL549" i="3"/>
  <c r="BA549" i="3"/>
  <c r="AZ549" i="3" s="1"/>
  <c r="BL548" i="3"/>
  <c r="AZ398" i="3"/>
  <c r="AZ405" i="3"/>
  <c r="AZ407" i="3"/>
  <c r="AZ410" i="3"/>
  <c r="AZ415" i="3"/>
  <c r="AZ420" i="3"/>
  <c r="AZ426" i="3"/>
  <c r="AZ431" i="3"/>
  <c r="AZ548" i="3"/>
  <c r="J26" i="37"/>
  <c r="H26" i="37"/>
  <c r="F26" i="37"/>
  <c r="H44" i="39"/>
  <c r="F44" i="39"/>
  <c r="J39" i="40"/>
  <c r="H39" i="40"/>
  <c r="BA551" i="3"/>
  <c r="AZ551" i="3" s="1"/>
  <c r="AZ424" i="3"/>
  <c r="AZ429" i="3"/>
  <c r="AZ435" i="3"/>
  <c r="AZ439" i="3"/>
  <c r="AZ444" i="3"/>
  <c r="AZ469" i="3"/>
  <c r="AZ475" i="3"/>
  <c r="AZ479" i="3"/>
  <c r="AZ385" i="3"/>
  <c r="AZ451" i="3"/>
  <c r="AZ461" i="3"/>
  <c r="AZ463" i="3"/>
  <c r="AZ466" i="3"/>
  <c r="AZ205" i="3"/>
  <c r="AZ18" i="3"/>
  <c r="AZ23" i="3"/>
  <c r="AZ27" i="3"/>
  <c r="AZ211" i="3"/>
  <c r="AZ219" i="3"/>
  <c r="AZ236" i="3"/>
  <c r="AZ252" i="3"/>
  <c r="AZ272" i="3"/>
  <c r="AZ276" i="3"/>
  <c r="AZ289" i="3"/>
  <c r="AZ294" i="3"/>
  <c r="AZ300" i="3"/>
  <c r="AZ118" i="3"/>
  <c r="AZ121" i="3"/>
  <c r="AZ134" i="3"/>
  <c r="AZ137" i="3"/>
  <c r="AZ145" i="3"/>
  <c r="AZ161" i="3"/>
  <c r="AZ49" i="3"/>
  <c r="AZ54" i="3"/>
  <c r="AZ57" i="3"/>
  <c r="AZ70" i="3"/>
  <c r="C43" i="71"/>
  <c r="D42" i="71"/>
  <c r="C47" i="71"/>
  <c r="D47" i="71" s="1"/>
  <c r="D46" i="71"/>
  <c r="AZ87" i="3"/>
  <c r="AZ91" i="3"/>
  <c r="AZ95" i="3"/>
  <c r="AZ98" i="3"/>
  <c r="AZ100" i="3"/>
  <c r="D54" i="71"/>
  <c r="C55" i="71"/>
  <c r="U18" i="36"/>
  <c r="Y9" i="71"/>
  <c r="Z9" i="71" s="1"/>
  <c r="Y10" i="71"/>
  <c r="Z10" i="71" s="1"/>
  <c r="AA9" i="71"/>
  <c r="AA10" i="71"/>
  <c r="AA24" i="71"/>
  <c r="X21" i="71"/>
  <c r="AA22" i="71"/>
  <c r="AA18" i="71"/>
  <c r="Y18" i="71"/>
  <c r="Z18" i="71" s="1"/>
  <c r="AB18" i="71"/>
  <c r="X14" i="71"/>
  <c r="AA13" i="71"/>
  <c r="X17" i="71"/>
  <c r="AA17" i="71"/>
  <c r="X9" i="71"/>
  <c r="X10" i="71"/>
  <c r="Y39" i="71"/>
  <c r="Z39" i="71" s="1"/>
  <c r="AA39" i="71"/>
  <c r="AB9" i="71"/>
  <c r="AB10" i="71"/>
  <c r="AB24" i="71"/>
  <c r="Y21" i="71"/>
  <c r="Z21" i="71" s="1"/>
  <c r="AB21" i="71"/>
  <c r="X18" i="71"/>
  <c r="Y14" i="71"/>
  <c r="Z14" i="71" s="1"/>
  <c r="Y17" i="71"/>
  <c r="Z17" i="71" s="1"/>
  <c r="AB13" i="71"/>
  <c r="F67" i="71"/>
  <c r="X24" i="71"/>
  <c r="Y24" i="71"/>
  <c r="Z24" i="71" s="1"/>
  <c r="AA21" i="71"/>
  <c r="AB15" i="71"/>
  <c r="AB17" i="71"/>
  <c r="AA12" i="71"/>
  <c r="X11" i="71"/>
  <c r="AB11" i="71"/>
  <c r="AB14" i="71"/>
  <c r="Y12" i="71"/>
  <c r="Z12" i="71" s="1"/>
  <c r="Y13" i="71"/>
  <c r="Z13" i="71" s="1"/>
  <c r="Y23" i="71"/>
  <c r="Z23" i="71" s="1"/>
  <c r="Y22" i="71"/>
  <c r="Z22" i="71" s="1"/>
  <c r="AA23" i="71"/>
  <c r="AB23" i="71"/>
  <c r="X22" i="71"/>
  <c r="X15" i="71"/>
  <c r="AA15" i="71"/>
  <c r="AA11" i="71"/>
  <c r="AA14" i="71"/>
  <c r="X13" i="71"/>
  <c r="X12"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I4" i="6"/>
  <c r="G3" i="43" s="1"/>
  <c r="F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16" i="67"/>
  <c r="C36" i="69"/>
  <c r="D4" i="73"/>
  <c r="D9" i="69"/>
  <c r="C16" i="15"/>
  <c r="D5" i="73"/>
  <c r="G1" i="73"/>
  <c r="E26" i="43" l="1"/>
  <c r="E14" i="6"/>
  <c r="E63" i="39" s="1"/>
  <c r="N94" i="46"/>
  <c r="J26" i="43"/>
  <c r="E15" i="6"/>
  <c r="E64" i="39" s="1"/>
  <c r="E12" i="6"/>
  <c r="E57" i="40" s="1"/>
  <c r="E13" i="6"/>
  <c r="E16" i="6" s="1"/>
  <c r="E11" i="6"/>
  <c r="E60" i="39" s="1"/>
  <c r="N370" i="46"/>
  <c r="G26" i="43"/>
  <c r="W39" i="40"/>
  <c r="AC39" i="40"/>
  <c r="AB26" i="37"/>
  <c r="U26" i="37"/>
  <c r="AA32" i="40"/>
  <c r="S32" i="40"/>
  <c r="AA25" i="37"/>
  <c r="S25" i="37"/>
  <c r="AC24" i="36"/>
  <c r="W24" i="36"/>
  <c r="U28" i="33"/>
  <c r="AB28" i="33"/>
  <c r="S12" i="21"/>
  <c r="AA12" i="21"/>
  <c r="E510" i="3"/>
  <c r="E329" i="3"/>
  <c r="E205" i="3"/>
  <c r="E296" i="3"/>
  <c r="E188" i="3"/>
  <c r="E140" i="3"/>
  <c r="E223" i="3"/>
  <c r="E197" i="3"/>
  <c r="E116" i="3"/>
  <c r="E173" i="3"/>
  <c r="E105" i="3"/>
  <c r="E369" i="3"/>
  <c r="E393" i="3"/>
  <c r="E534" i="3"/>
  <c r="E564" i="3"/>
  <c r="T6" i="3"/>
  <c r="E543" i="3"/>
  <c r="E405" i="3"/>
  <c r="E427" i="3"/>
  <c r="E456" i="3"/>
  <c r="E486" i="3"/>
  <c r="E469" i="3"/>
  <c r="E507" i="3"/>
  <c r="E422" i="3"/>
  <c r="E408" i="3"/>
  <c r="E440" i="3"/>
  <c r="E451" i="3"/>
  <c r="E490" i="3"/>
  <c r="E360" i="3"/>
  <c r="E556" i="3"/>
  <c r="AH6"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91" i="3"/>
  <c r="E356" i="3"/>
  <c r="E372" i="3"/>
  <c r="AL6" i="3"/>
  <c r="L6" i="3"/>
  <c r="E42" i="3"/>
  <c r="E60" i="3"/>
  <c r="E94" i="3"/>
  <c r="E43" i="3"/>
  <c r="E75" i="3"/>
  <c r="E540" i="3"/>
  <c r="E428" i="3"/>
  <c r="E473" i="3"/>
  <c r="E482" i="3"/>
  <c r="E15" i="3"/>
  <c r="E412" i="3"/>
  <c r="E455" i="3"/>
  <c r="E18" i="3"/>
  <c r="E79" i="3"/>
  <c r="E96" i="3"/>
  <c r="E38" i="3"/>
  <c r="E78" i="3"/>
  <c r="E100" i="3"/>
  <c r="E170" i="3"/>
  <c r="E190" i="3"/>
  <c r="E137" i="3"/>
  <c r="E174" i="3"/>
  <c r="E194" i="3"/>
  <c r="E220" i="3"/>
  <c r="E234" i="3"/>
  <c r="E275" i="3"/>
  <c r="E219" i="3"/>
  <c r="E235" i="3"/>
  <c r="E299" i="3"/>
  <c r="E339" i="3"/>
  <c r="E383" i="3"/>
  <c r="E325" i="3"/>
  <c r="E342" i="3"/>
  <c r="E3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38" i="3"/>
  <c r="E266" i="3"/>
  <c r="E307" i="3"/>
  <c r="E386" i="3"/>
  <c r="E354" i="3"/>
  <c r="E584" i="3"/>
  <c r="E66" i="3"/>
  <c r="E24" i="3"/>
  <c r="E48" i="3"/>
  <c r="E87" i="3"/>
  <c r="E127" i="3"/>
  <c r="E250" i="3"/>
  <c r="E284" i="3"/>
  <c r="E341" i="3"/>
  <c r="Y6" i="3"/>
  <c r="H6" i="3" s="1"/>
  <c r="E68" i="3"/>
  <c r="E63" i="3"/>
  <c r="E81" i="3"/>
  <c r="E118" i="3"/>
  <c r="E264" i="3"/>
  <c r="E283"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60" i="3"/>
  <c r="E195" i="3"/>
  <c r="E142" i="3"/>
  <c r="E163" i="3"/>
  <c r="E200" i="3"/>
  <c r="E248" i="3"/>
  <c r="E267" i="3"/>
  <c r="E209" i="3"/>
  <c r="E249" i="3"/>
  <c r="E300" i="3"/>
  <c r="E371" i="3"/>
  <c r="E310" i="3"/>
  <c r="E492" i="3"/>
  <c r="E23" i="3"/>
  <c r="E84" i="3"/>
  <c r="E67" i="3"/>
  <c r="E33" i="3"/>
  <c r="E144" i="3"/>
  <c r="E184" i="3"/>
  <c r="E233" i="3"/>
  <c r="E355" i="3"/>
  <c r="E381" i="3"/>
  <c r="E51" i="3"/>
  <c r="E19" i="3"/>
  <c r="E154" i="3"/>
  <c r="E179" i="3"/>
  <c r="E222" i="3"/>
  <c r="E309" i="3"/>
  <c r="E513" i="3"/>
  <c r="E21" i="3"/>
  <c r="W12" i="40"/>
  <c r="AC12" i="40"/>
  <c r="E333" i="3"/>
  <c r="G29" i="6"/>
  <c r="E497" i="3"/>
  <c r="E517" i="3"/>
  <c r="E522" i="3"/>
  <c r="E525" i="3"/>
  <c r="E512" i="3"/>
  <c r="B15" i="71"/>
  <c r="B14" i="71" s="1"/>
  <c r="B13" i="71" s="1"/>
  <c r="B12" i="71" s="1"/>
  <c r="S16" i="71"/>
  <c r="F66" i="71"/>
  <c r="Q67" i="71"/>
  <c r="U44" i="39"/>
  <c r="AB44" i="39"/>
  <c r="AB14" i="39"/>
  <c r="U14" i="39"/>
  <c r="U25" i="37"/>
  <c r="AB25" i="37"/>
  <c r="U12" i="36"/>
  <c r="AB12" i="36"/>
  <c r="AC23" i="35"/>
  <c r="W23" i="35"/>
  <c r="W28" i="33"/>
  <c r="AC28" i="33"/>
  <c r="U29" i="21"/>
  <c r="AB29" i="21"/>
  <c r="AC38" i="40"/>
  <c r="W38" i="40"/>
  <c r="U12" i="40"/>
  <c r="AB12" i="40"/>
  <c r="E332" i="3"/>
  <c r="B20" i="31"/>
  <c r="B21" i="31" s="1"/>
  <c r="F7" i="36"/>
  <c r="AA7" i="36" s="1"/>
  <c r="R36" i="36" s="1"/>
  <c r="J7" i="37"/>
  <c r="H7" i="36"/>
  <c r="U7" i="36" s="1"/>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D55" i="71"/>
  <c r="C56" i="71"/>
  <c r="D43" i="71"/>
  <c r="C44" i="71"/>
  <c r="U39" i="40"/>
  <c r="AB39" i="40"/>
  <c r="AA44" i="39"/>
  <c r="S44" i="39"/>
  <c r="AA26" i="37"/>
  <c r="S26" i="37"/>
  <c r="AC26" i="37"/>
  <c r="W26" i="37"/>
  <c r="AZ554" i="3"/>
  <c r="AZ565" i="3"/>
  <c r="AB32" i="40"/>
  <c r="U32" i="40"/>
  <c r="AC32" i="40"/>
  <c r="W32" i="40"/>
  <c r="AC25" i="37"/>
  <c r="W25" i="37"/>
  <c r="AB24" i="36"/>
  <c r="U24" i="36"/>
  <c r="AA12" i="36"/>
  <c r="S12" i="36"/>
  <c r="AC12" i="36"/>
  <c r="W12" i="36"/>
  <c r="U23" i="35"/>
  <c r="AB23" i="35"/>
  <c r="AA28" i="33"/>
  <c r="S28" i="33"/>
  <c r="AC12" i="21"/>
  <c r="W12" i="21"/>
  <c r="AZ587" i="3"/>
  <c r="AA44" i="21"/>
  <c r="S44" i="21"/>
  <c r="U28" i="37"/>
  <c r="AB28" i="37"/>
  <c r="C15" i="71"/>
  <c r="T16" i="71"/>
  <c r="AZ496" i="3"/>
  <c r="AZ5" i="3" s="1"/>
  <c r="AZ504" i="3"/>
  <c r="AZ519" i="3"/>
  <c r="AZ520" i="3"/>
  <c r="AB38" i="40"/>
  <c r="U38" i="40"/>
  <c r="AA38" i="40"/>
  <c r="S38" i="40"/>
  <c r="S12" i="40"/>
  <c r="AA12" i="40"/>
  <c r="BA5" i="3"/>
  <c r="E27" i="6" s="1"/>
  <c r="K26" i="6" s="1"/>
  <c r="M26" i="6" s="1"/>
  <c r="I26" i="6" s="1"/>
  <c r="S26" i="6" s="1"/>
  <c r="E11" i="71"/>
  <c r="E10" i="71" s="1"/>
  <c r="E9" i="71" s="1"/>
  <c r="E8" i="71" s="1"/>
  <c r="E7" i="71" s="1"/>
  <c r="E6" i="71" s="1"/>
  <c r="E5" i="71" s="1"/>
  <c r="V12" i="71"/>
  <c r="E16" i="3"/>
  <c r="E376" i="3"/>
  <c r="E498" i="3"/>
  <c r="E520" i="3"/>
  <c r="E493" i="3"/>
  <c r="E129" i="3"/>
  <c r="E324" i="3"/>
  <c r="E346"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AC6" i="3"/>
  <c r="E58" i="40"/>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28" i="43" l="1"/>
  <c r="T13" i="43" s="1"/>
  <c r="V13" i="43" s="1"/>
  <c r="D26" i="43"/>
  <c r="C25" i="43" s="1"/>
  <c r="E62" i="39"/>
  <c r="E65" i="39" s="1"/>
  <c r="E60" i="40"/>
  <c r="E3" i="6"/>
  <c r="AY6" i="3"/>
  <c r="Q66" i="71"/>
  <c r="Q65" i="71"/>
  <c r="B11" i="71"/>
  <c r="B10" i="71" s="1"/>
  <c r="B9" i="71" s="1"/>
  <c r="B8" i="71" s="1"/>
  <c r="B7" i="71" s="1"/>
  <c r="B6" i="71" s="1"/>
  <c r="B5" i="71" s="1"/>
  <c r="S12" i="71"/>
  <c r="E29" i="6"/>
  <c r="G30" i="6"/>
  <c r="G31" i="6" s="1"/>
  <c r="T42" i="37"/>
  <c r="G42" i="37" s="1"/>
  <c r="C14" i="71"/>
  <c r="D15" i="71"/>
  <c r="T44" i="71"/>
  <c r="D44" i="71"/>
  <c r="T56" i="71"/>
  <c r="D56"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39" i="43" l="1"/>
  <c r="C41" i="43"/>
  <c r="T5" i="43"/>
  <c r="V5" i="43" s="1"/>
  <c r="T4" i="43"/>
  <c r="V4" i="43" s="1"/>
  <c r="C38" i="43"/>
  <c r="C40" i="43"/>
  <c r="T2" i="43"/>
  <c r="V2" i="43" s="1"/>
  <c r="T10" i="43"/>
  <c r="V10" i="43" s="1"/>
  <c r="T14" i="43"/>
  <c r="V14" i="43" s="1"/>
  <c r="T7" i="43"/>
  <c r="V7" i="43" s="1"/>
  <c r="T11" i="43"/>
  <c r="V11" i="43" s="1"/>
  <c r="T15" i="43"/>
  <c r="V15" i="43" s="1"/>
  <c r="C42" i="43"/>
  <c r="E42" i="43" s="1"/>
  <c r="C37" i="43"/>
  <c r="E37" i="43" s="1"/>
  <c r="C33" i="43"/>
  <c r="C34" i="43" s="1"/>
  <c r="E34" i="43" s="1"/>
  <c r="T6" i="43"/>
  <c r="V6" i="43" s="1"/>
  <c r="T3" i="43"/>
  <c r="V3" i="43" s="1"/>
  <c r="T8" i="43"/>
  <c r="V8" i="43" s="1"/>
  <c r="T12" i="43"/>
  <c r="V12" i="43" s="1"/>
  <c r="T16" i="43"/>
  <c r="V16" i="43" s="1"/>
  <c r="T9" i="43"/>
  <c r="V9" i="43" s="1"/>
  <c r="D116" i="43"/>
  <c r="D14" i="71"/>
  <c r="C13" i="71"/>
  <c r="K15" i="1"/>
  <c r="K16" i="1" s="1"/>
  <c r="E30" i="6"/>
  <c r="E31" i="6"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41" i="43"/>
  <c r="G41" i="43"/>
  <c r="I41" i="43" s="1"/>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8"/>
  <c r="C34" i="69"/>
  <c r="C14" i="67"/>
  <c r="C17" i="67"/>
  <c r="C17" i="15"/>
  <c r="D10" i="69"/>
  <c r="C6" i="69" l="1"/>
  <c r="C7" i="69" s="1"/>
  <c r="G42" i="43"/>
  <c r="I42" i="43" s="1"/>
  <c r="E33" i="43"/>
  <c r="C30" i="43" s="1"/>
  <c r="B2" i="43" s="1"/>
  <c r="B3" i="43" s="1"/>
  <c r="H25" i="6"/>
  <c r="R25" i="6" s="1"/>
  <c r="R12" i="1" s="1"/>
  <c r="C12" i="71"/>
  <c r="D13"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2" i="12"/>
  <c r="C27" i="12" s="1"/>
  <c r="C25" i="12" s="1"/>
  <c r="J7" i="35"/>
  <c r="W7" i="35"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G43" i="35" s="1"/>
  <c r="H43" i="35" s="1"/>
  <c r="C25" i="68"/>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52" i="68"/>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B3" i="68"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C19" i="9" s="1"/>
  <c r="C20" i="9" s="1"/>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D2" i="34"/>
  <c r="D2" i="35"/>
  <c r="D19" i="9"/>
  <c r="L51" i="15"/>
  <c r="D102" i="9" l="1"/>
  <c r="D21" i="9"/>
  <c r="Q75" i="67"/>
  <c r="Q62" i="67"/>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11" i="1"/>
  <c r="D20" i="9"/>
  <c r="AO8" i="1"/>
  <c r="AO12" i="1"/>
  <c r="AO7" i="1"/>
  <c r="AO9" i="1"/>
  <c r="C102" i="9" l="1"/>
  <c r="C21" i="9"/>
  <c r="D22" i="9"/>
  <c r="G19" i="9"/>
  <c r="G21" i="9" s="1"/>
  <c r="B3" i="35"/>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3" i="9" l="1"/>
  <c r="G20" i="9"/>
  <c r="G2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D14" i="74" s="1"/>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104" i="9" l="1"/>
  <c r="H4" i="52"/>
  <c r="D53" i="9"/>
  <c r="D52" i="9"/>
  <c r="I4" i="52"/>
  <c r="C105" i="9"/>
  <c r="P57" i="9"/>
  <c r="N58" i="9"/>
  <c r="B47" i="72"/>
  <c r="B31" i="72"/>
  <c r="D8" i="52"/>
  <c r="C81" i="9"/>
  <c r="C5" i="74"/>
  <c r="B22" i="72"/>
  <c r="D15" i="53"/>
  <c r="C6" i="74"/>
  <c r="M54" i="9"/>
  <c r="B32" i="72"/>
  <c r="C78" i="9"/>
  <c r="C73" i="9"/>
  <c r="E81" i="9"/>
  <c r="C72" i="9"/>
  <c r="C79" i="9"/>
  <c r="C80" i="9"/>
  <c r="E80" i="9"/>
  <c r="H108" i="9"/>
  <c r="D122" i="9"/>
  <c r="D123" i="9"/>
  <c r="D9" i="52"/>
  <c r="M48" i="9"/>
  <c r="D14" i="53"/>
  <c r="H107" i="9"/>
  <c r="D13" i="53"/>
  <c r="B30" i="72"/>
  <c r="N60" i="9"/>
  <c r="N59" i="9"/>
  <c r="N61" i="9"/>
  <c r="B20" i="72"/>
  <c r="D5" i="53"/>
  <c r="D6" i="53"/>
  <c r="D56" i="9"/>
  <c r="D4" i="52"/>
  <c r="D59" i="9"/>
  <c r="M55" i="9"/>
  <c r="H102" i="9"/>
  <c r="D7" i="53"/>
  <c r="B21" i="72"/>
  <c r="B53" i="72"/>
  <c r="B49" i="72"/>
  <c r="C93" i="9"/>
  <c r="C86" i="9"/>
  <c r="F119" i="9"/>
  <c r="F5" i="52"/>
  <c r="G4" i="52"/>
  <c r="B52" i="72"/>
  <c r="B48" i="72"/>
  <c r="H119" i="9"/>
  <c r="H5" i="52"/>
  <c r="C67" i="9"/>
  <c r="C68" i="9"/>
  <c r="D54" i="9"/>
  <c r="N57" i="9"/>
  <c r="G118" i="9"/>
  <c r="F118" i="9"/>
  <c r="F4" i="52"/>
  <c r="B51" i="72"/>
  <c r="D55" i="9"/>
  <c r="M53" i="9"/>
  <c r="C96" i="9"/>
  <c r="E96" i="9"/>
  <c r="E97" i="9"/>
  <c r="E4" i="52"/>
  <c r="E118" i="9"/>
  <c r="D118" i="9"/>
  <c r="D119" i="9"/>
  <c r="D5" i="52"/>
  <c r="C85" i="9"/>
  <c r="C95" i="9"/>
  <c r="C97" i="9"/>
  <c r="D58"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<sst xmlns="http://schemas.openxmlformats.org/spreadsheetml/2006/main" count="7864" uniqueCount="3432">
  <si>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</si>
  <si>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</si>
  <si>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</si>
  <si>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</si>
  <si>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</si>
  <si>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</si>
  <si>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</si>
  <si>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</si>
  <si>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</si>
  <si>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</si>
  <si>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</si>
  <si>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</si>
  <si>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</si>
  <si>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</si>
  <si>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</si>
  <si>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</si>
  <si>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</si>
  <si>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</si>
  <si>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</si>
  <si>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</si>
  <si>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</si>
  <si>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</si>
  <si>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</si>
  <si>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</si>
  <si>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</si>
  <si>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</si>
  <si>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</si>
  <si>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</si>
  <si>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</si>
  <si>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</si>
  <si>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</si>
  <si>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</si>
  <si>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</si>
  <si>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</si>
  <si>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</si>
  <si>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</si>
  <si>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</si>
  <si>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</si>
  <si>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</si>
  <si>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</si>
  <si>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</si>
  <si>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</si>
  <si>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</si>
  <si>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</si>
  <si>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</si>
  <si>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</si>
  <si>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</si>
  <si>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</si>
  <si>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</si>
  <si>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</si>
  <si>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</si>
  <si>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</si>
  <si>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</si>
  <si>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</si>
  <si>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</si>
  <si>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</si>
  <si>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</si>
  <si>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</si>
  <si>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</si>
  <si>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</si>
  <si>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</si>
  <si>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</si>
  <si>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</si>
  <si>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</si>
  <si>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</si>
  <si>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</si>
  <si>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</si>
  <si>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</si>
  <si>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</si>
  <si>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</si>
  <si>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</si>
  <si>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</si>
  <si>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</si>
  <si>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</si>
  <si>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</si>
  <si>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</si>
  <si>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</si>
  <si>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</si>
  <si>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</si>
  <si>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</si>
  <si>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</si>
  <si>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</si>
  <si>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</si>
  <si>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</si>
  <si>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</si>
  <si>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</si>
  <si>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</si>
  <si>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</si>
  <si>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</si>
  <si>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</si>
  <si>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</si>
  <si>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</si>
  <si>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</si>
  <si>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</si>
  <si>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</si>
  <si>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</si>
  <si>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</si>
  <si>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</si>
  <si>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</si>
  <si>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</si>
  <si>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</si>
  <si>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</si>
  <si>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</si>
  <si>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</si>
  <si>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</si>
  <si>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</si>
  <si>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</si>
  <si>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</si>
  <si>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</si>
  <si>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</si>
  <si>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</si>
  <si>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</si>
  <si>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</si>
  <si>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</si>
  <si>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</si>
  <si>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</si>
  <si>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</si>
  <si>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</si>
  <si>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</si>
  <si>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</si>
  <si>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</si>
  <si>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</si>
  <si>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</si>
  <si>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</si>
  <si>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</si>
  <si>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</si>
  <si>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</si>
  <si>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</si>
  <si>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</si>
  <si>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</si>
  <si>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</si>
  <si>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</si>
  <si>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</si>
  <si>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</si>
  <si>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</si>
  <si>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</si>
  <si>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</si>
  <si>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</si>
  <si>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</si>
  <si>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</si>
  <si>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</si>
  <si>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</si>
  <si>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</si>
  <si>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</si>
  <si>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</si>
  <si>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</si>
  <si>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</si>
  <si>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</si>
  <si>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</si>
  <si>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</si>
  <si>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</si>
  <si>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</si>
  <si>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</si>
  <si>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</si>
  <si>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</si>
  <si>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</si>
  <si>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</si>
  <si>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</si>
  <si>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</si>
  <si>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</si>
  <si>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</si>
  <si>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</si>
  <si>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</si>
  <si>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</si>
  <si>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</si>
  <si>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</si>
  <si>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</si>
  <si>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</si>
  <si>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</si>
  <si>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</si>
  <si>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</si>
  <si>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</si>
  <si>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</si>
  <si>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</si>
  <si>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</si>
  <si>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</si>
  <si>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</si>
  <si>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</si>
  <si>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</si>
  <si>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</si>
  <si>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</si>
  <si>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</si>
  <si>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</si>
  <si>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</si>
  <si>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</si>
  <si>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</si>
  <si>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</si>
  <si>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</si>
  <si>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</si>
  <si>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</si>
  <si>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</si>
  <si>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</si>
  <si>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</si>
  <si>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</si>
  <si>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</si>
  <si>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</si>
  <si>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</si>
  <si>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</si>
  <si>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</si>
  <si>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</si>
  <si>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</si>
  <si>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</si>
  <si>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</si>
  <si>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</si>
  <si>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</si>
  <si>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</si>
  <si>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</si>
  <si>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</si>
  <si>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</si>
  <si>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</si>
  <si>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</si>
  <si>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</si>
  <si>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</si>
  <si>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</si>
  <si>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</si>
  <si>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</si>
  <si>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</si>
  <si>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</si>
  <si>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</si>
  <si>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</si>
  <si>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</si>
  <si>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</si>
  <si>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</si>
  <si>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</si>
  <si>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</si>
  <si>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</si>
  <si>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</si>
  <si>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</si>
  <si>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</si>
  <si>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</si>
  <si>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</si>
  <si>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</si>
  <si>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</si>
  <si>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</si>
  <si>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</si>
  <si>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</si>
  <si>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</si>
  <si>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</si>
  <si>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</si>
  <si>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</si>
  <si>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</si>
  <si>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</si>
  <si>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</si>
  <si>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</si>
  <si>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</si>
  <si>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</si>
  <si>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</si>
  <si>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</si>
  <si>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</si>
  <si>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</si>
  <si>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</si>
  <si>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</si>
  <si>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</si>
  <si>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</si>
  <si>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</si>
  <si>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</si>
  <si>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</si>
  <si>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</si>
  <si>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</si>
  <si>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</si>
  <si>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</si>
  <si>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</si>
  <si>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</si>
  <si>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</si>
  <si>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</si>
  <si>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</si>
  <si>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</si>
  <si>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</si>
  <si>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</si>
  <si>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</si>
  <si>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</si>
  <si>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</si>
  <si>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</si>
  <si>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</si>
  <si>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</si>
  <si>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</si>
  <si>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</si>
  <si>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</si>
  <si>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</si>
  <si>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</si>
  <si>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</si>
  <si>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</si>
  <si>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</si>
  <si>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</si>
  <si>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</si>
  <si>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</si>
  <si>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</si>
  <si>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</si>
  <si>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</si>
  <si>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</si>
  <si>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</si>
  <si>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</si>
  <si>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</si>
  <si>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</si>
  <si>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</si>
  <si>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</si>
  <si>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</si>
  <si>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</si>
  <si>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</si>
  <si>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</si>
  <si>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</si>
  <si>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</si>
  <si>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</si>
  <si>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</si>
  <si>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</si>
  <si>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</si>
  <si>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</si>
  <si>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</si>
  <si>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</si>
  <si>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</si>
  <si>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</si>
  <si>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</si>
  <si>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</si>
  <si>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</si>
  <si>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</si>
  <si>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</si>
  <si>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</si>
  <si>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</si>
  <si>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</si>
  <si>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</si>
  <si>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</si>
  <si>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</si>
  <si>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</si>
  <si>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</si>
  <si>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</si>
  <si>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</si>
  <si>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</si>
  <si>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</si>
  <si>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</si>
  <si>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</si>
  <si>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</si>
  <si>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</si>
  <si>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</si>
  <si>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</si>
  <si>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</si>
  <si>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</si>
  <si>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</si>
  <si>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</si>
  <si>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</si>
  <si>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</si>
  <si>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</si>
  <si>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</si>
  <si>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</si>
  <si>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</si>
  <si>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</si>
  <si>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</si>
  <si>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</si>
  <si>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</si>
  <si>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</si>
  <si>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</si>
  <si>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</si>
  <si>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</si>
  <si>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</si>
  <si>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</si>
  <si>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</si>
  <si>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</si>
  <si>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</si>
  <si>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</si>
  <si>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</si>
  <si>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</si>
  <si>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</si>
  <si>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</si>
  <si>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</si>
  <si>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</si>
  <si>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</si>
  <si>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</si>
  <si>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</si>
  <si>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</si>
  <si>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</si>
  <si>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</si>
  <si>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</si>
  <si>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</si>
  <si>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</si>
  <si>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</si>
  <si>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</si>
  <si>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</si>
  <si>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</si>
  <si>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</si>
  <si>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</si>
  <si>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</si>
  <si>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</si>
  <si>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</si>
  <si>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</si>
  <si>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</si>
  <si>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</si>
  <si>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</si>
  <si>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</si>
  <si>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</si>
  <si>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</si>
  <si>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</si>
  <si>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</si>
  <si>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</si>
  <si>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</si>
  <si>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</si>
  <si>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</si>
  <si>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</si>
  <si>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</si>
  <si>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</si>
  <si>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</si>
  <si>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</si>
  <si>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</si>
  <si>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</si>
  <si>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</si>
  <si>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</si>
  <si>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</si>
  <si>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</si>
  <si>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</si>
  <si>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</si>
  <si>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</si>
  <si>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</si>
  <si>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</si>
  <si>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</si>
  <si>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</si>
  <si>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</si>
  <si>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</si>
  <si>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</si>
  <si>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</si>
  <si>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</si>
  <si>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</si>
  <si>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</si>
  <si>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</si>
  <si>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</si>
  <si>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</si>
  <si>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</si>
  <si>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</si>
  <si>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</si>
  <si>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</si>
  <si>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</si>
  <si>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</si>
  <si>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</si>
  <si>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</si>
  <si>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</si>
  <si>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</si>
  <si>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</si>
  <si>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</si>
  <si>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</si>
  <si>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</si>
  <si>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</si>
  <si>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</si>
  <si>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</si>
  <si>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</si>
  <si>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</si>
  <si>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</si>
  <si>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</si>
  <si>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</si>
  <si>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</si>
  <si>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</si>
  <si>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</si>
  <si>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</si>
  <si>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</si>
  <si>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</si>
  <si>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</si>
  <si>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</si>
  <si>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</si>
  <si>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</si>
  <si>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</si>
  <si>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</si>
  <si>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</si>
  <si>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</si>
  <si>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</si>
  <si>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</si>
  <si>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</si>
  <si>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</si>
  <si>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</si>
  <si>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</si>
  <si>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</si>
  <si>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</si>
  <si>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</si>
  <si>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</si>
  <si>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</si>
  <si>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</si>
  <si>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</si>
  <si>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</si>
  <si>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</si>
  <si>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</si>
  <si>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</si>
  <si>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</si>
  <si>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</si>
  <si>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</si>
  <si>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</si>
  <si>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</si>
  <si>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</si>
  <si>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</si>
  <si>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</si>
  <si>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</si>
  <si>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</si>
  <si>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</si>
  <si>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</si>
  <si>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</si>
  <si>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</si>
  <si>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</si>
  <si>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</si>
  <si>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</si>
  <si>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</si>
  <si>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</si>
  <si>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</si>
  <si>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</si>
  <si>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</si>
  <si>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</si>
  <si>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</si>
  <si>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</si>
  <si>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</si>
  <si>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</si>
  <si>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</si>
  <si>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</si>
  <si>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</si>
  <si>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</si>
  <si>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</si>
  <si>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</si>
  <si>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</si>
  <si>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</si>
  <si>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</si>
  <si>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</si>
  <si>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</si>
  <si>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</si>
  <si>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</si>
  <si>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</si>
  <si>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</si>
  <si>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</si>
  <si>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</si>
  <si>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</si>
  <si>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</si>
  <si>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</si>
  <si>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</si>
  <si>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</si>
  <si>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</si>
  <si>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</si>
  <si>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</si>
  <si>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</si>
  <si>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</si>
  <si>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</si>
  <si>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</si>
  <si>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</si>
  <si>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</si>
  <si>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</si>
  <si>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</si>
  <si>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</si>
  <si>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</si>
  <si>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</si>
  <si>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</si>
  <si>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</si>
  <si>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</si>
  <si>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</si>
  <si>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</si>
  <si>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</si>
  <si>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</si>
  <si>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</si>
  <si>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</si>
  <si>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</si>
  <si>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</si>
  <si>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</si>
  <si>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</si>
  <si>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</si>
  <si>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</si>
  <si>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</si>
  <si>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</si>
  <si>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</si>
  <si>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</si>
  <si>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</si>
  <si>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</si>
  <si>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</si>
  <si>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</si>
  <si>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</si>
  <si>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</si>
  <si>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</si>
  <si>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</si>
  <si>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</si>
  <si>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</si>
  <si>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</si>
  <si>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</si>
  <si>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</si>
  <si>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</si>
  <si>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</si>
  <si>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</si>
  <si>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</si>
  <si>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</si>
  <si>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</si>
  <si>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</si>
  <si>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</si>
  <si>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</si>
  <si>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</si>
  <si>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</si>
  <si>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</si>
  <si>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</si>
  <si>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</si>
  <si>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</si>
  <si>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</si>
  <si>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</si>
  <si>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</si>
  <si>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</si>
  <si>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</si>
  <si>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</si>
  <si>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</si>
  <si>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</si>
  <si>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</si>
  <si>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</si>
  <si>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</si>
  <si>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</si>
  <si>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</si>
  <si>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</si>
  <si>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</si>
  <si>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</si>
  <si>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</si>
  <si>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</si>
  <si>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</si>
  <si>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</si>
  <si>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</si>
  <si>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</si>
  <si>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</si>
  <si>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</si>
  <si>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</si>
  <si>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</si>
  <si>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</si>
  <si>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</si>
  <si>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</si>
  <si>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</si>
  <si>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</si>
  <si>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</si>
  <si>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</si>
  <si>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</si>
  <si>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</si>
  <si>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</si>
  <si>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</si>
  <si>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</si>
  <si>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</si>
  <si>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</si>
  <si>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</si>
  <si>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</si>
  <si>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</si>
  <si>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</si>
  <si>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</si>
  <si>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</si>
  <si>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</si>
  <si>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</si>
  <si>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</si>
  <si>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</si>
  <si>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</si>
  <si>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</si>
  <si>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</si>
  <si>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</si>
  <si>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</si>
  <si>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</si>
  <si>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</si>
  <si>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</si>
  <si>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</si>
  <si>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</si>
  <si>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</si>
  <si>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</si>
  <si>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</si>
  <si>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</si>
  <si>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</si>
  <si>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</si>
  <si>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</si>
  <si>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</si>
  <si>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</si>
  <si>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</si>
  <si>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</si>
  <si>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</si>
  <si>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</si>
  <si>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</si>
  <si>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</si>
  <si>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</si>
  <si>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</si>
  <si>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</si>
  <si>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</si>
  <si>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</si>
  <si>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</si>
  <si>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</si>
  <si>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</si>
  <si>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</si>
  <si>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</si>
  <si>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</si>
  <si>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</si>
  <si>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</si>
  <si>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</si>
  <si>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</si>
  <si>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</si>
  <si>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</si>
  <si>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</si>
  <si>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</si>
  <si>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</si>
  <si>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</si>
  <si>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</si>
  <si>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</si>
  <si>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</si>
  <si>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</si>
  <si>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</si>
  <si>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</si>
  <si>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</si>
  <si>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</si>
  <si>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</si>
  <si>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</si>
  <si>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</si>
  <si>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</si>
  <si>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</si>
  <si>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</si>
  <si>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</si>
  <si>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</si>
  <si>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</si>
  <si>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</si>
  <si>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</si>
  <si>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</si>
  <si>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</si>
  <si>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</si>
  <si>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</si>
  <si>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</si>
  <si>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</si>
  <si>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</si>
  <si>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</si>
  <si>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</si>
  <si>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</si>
  <si>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</si>
  <si>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</si>
  <si>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</si>
  <si>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</si>
  <si>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</si>
  <si>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</si>
  <si>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</si>
  <si>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</si>
  <si>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</si>
  <si>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</si>
  <si>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</si>
  <si>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</si>
  <si>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</si>
  <si>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</si>
  <si>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</si>
  <si>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</si>
  <si>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</si>
  <si>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</si>
  <si>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</si>
  <si>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</si>
  <si>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</si>
  <si>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</si>
  <si>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</si>
  <si>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</si>
  <si>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</si>
  <si>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</si>
  <si>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</si>
  <si>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</si>
  <si>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</si>
  <si>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</si>
  <si>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</si>
  <si>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</si>
  <si>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</si>
  <si>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</si>
  <si>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</si>
  <si>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</si>
  <si>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</si>
  <si>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</si>
  <si>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</si>
  <si>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</si>
  <si>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</si>
  <si>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</si>
  <si>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</si>
  <si>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</si>
  <si>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</si>
  <si>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</si>
  <si>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</si>
  <si>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</si>
  <si>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</si>
  <si>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</si>
  <si>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</si>
  <si>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</si>
  <si>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</si>
  <si>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</si>
  <si>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</si>
  <si>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</si>
  <si>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</si>
  <si>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</si>
  <si>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</si>
  <si>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</si>
  <si>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</si>
  <si>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</si>
  <si>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</si>
  <si>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</si>
  <si>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</si>
  <si>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</si>
  <si>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</si>
  <si>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</si>
  <si>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</si>
  <si>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</si>
  <si>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</si>
  <si>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</si>
  <si>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</si>
  <si>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</si>
  <si>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</si>
  <si>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</si>
  <si>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</si>
  <si>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</si>
  <si>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</si>
  <si>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</si>
  <si>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</si>
  <si>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</si>
  <si>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</si>
  <si>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</si>
  <si>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</si>
  <si>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</si>
  <si>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</si>
  <si>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</si>
  <si>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</si>
  <si>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</si>
  <si>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</si>
  <si>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</si>
  <si>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</si>
  <si>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</si>
  <si>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</si>
  <si>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</si>
  <si>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</si>
  <si>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</si>
  <si>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</si>
  <si>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</si>
  <si>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</si>
  <si>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</si>
  <si>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</si>
  <si>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</si>
  <si>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</si>
  <si>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</si>
  <si>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</si>
  <si>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</si>
  <si>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</si>
  <si>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</si>
  <si>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</si>
  <si>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</si>
  <si>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</si>
  <si>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</si>
  <si>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</si>
  <si>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</si>
  <si>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</si>
  <si>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</si>
  <si>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</si>
  <si>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</si>
  <si>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</si>
  <si>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</si>
  <si>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</si>
  <si>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</si>
  <si>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</si>
  <si>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</si>
  <si>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</si>
  <si>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</si>
  <si>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</si>
  <si>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</si>
  <si>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</si>
  <si>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</si>
  <si>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</si>
  <si>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</si>
  <si>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</si>
  <si>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</si>
  <si>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</si>
  <si>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</si>
  <si>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</si>
  <si>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</si>
  <si>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</si>
  <si>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</si>
  <si>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</si>
  <si>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</si>
  <si>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</si>
  <si>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</si>
  <si>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</si>
  <si>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</si>
  <si>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</si>
  <si>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</si>
  <si>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</si>
  <si>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</si>
  <si>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</si>
  <si>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</si>
  <si>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</si>
  <si>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</si>
  <si>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</si>
  <si>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</si>
  <si>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</si>
  <si>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</si>
  <si>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</si>
  <si>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</si>
  <si>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</si>
  <si>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</si>
  <si>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</si>
  <si>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</si>
  <si>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</si>
  <si>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</si>
  <si>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</si>
  <si>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</si>
  <si>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</si>
  <si>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</si>
  <si>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</si>
  <si>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</si>
  <si>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</si>
  <si>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</si>
  <si>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</si>
  <si>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</si>
  <si>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</si>
  <si>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</si>
  <si>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</si>
  <si>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</si>
  <si>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</si>
  <si>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</si>
  <si>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</si>
  <si>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</si>
  <si>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</si>
  <si>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</si>
  <si>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</si>
  <si>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</si>
  <si>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</si>
  <si>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</si>
  <si>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</si>
  <si>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</si>
  <si>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</si>
  <si>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</si>
  <si>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</si>
  <si>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</si>
  <si>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</si>
  <si>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</si>
  <si>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</si>
  <si>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</si>
  <si>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</si>
  <si>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</si>
  <si>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</si>
  <si>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</si>
  <si>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</si>
  <si>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</si>
  <si>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</si>
  <si>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</si>
  <si>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</si>
  <si>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</si>
  <si>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</si>
  <si>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</si>
  <si>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</si>
  <si>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</si>
  <si>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</si>
  <si>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</si>
  <si>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</si>
  <si>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</si>
  <si>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</si>
  <si>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</si>
  <si>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</si>
  <si>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</si>
  <si>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</si>
  <si>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</si>
  <si>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</si>
  <si>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</si>
  <si>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</si>
  <si>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</si>
  <si>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</si>
  <si>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</si>
  <si>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</si>
  <si>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</si>
  <si>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</si>
  <si>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</si>
  <si>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</si>
  <si>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</si>
  <si>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</si>
  <si>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</si>
  <si>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</si>
  <si>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</si>
  <si>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</si>
  <si>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</si>
  <si>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</si>
  <si>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</si>
  <si>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</si>
  <si>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</si>
  <si>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</si>
  <si>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</si>
  <si>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</si>
  <si>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</si>
  <si>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</si>
  <si>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</si>
  <si>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</si>
  <si>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</si>
  <si>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</si>
  <si>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</si>
  <si>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</si>
  <si>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</si>
  <si>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</si>
  <si>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</si>
  <si>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</si>
  <si>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</si>
  <si>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</si>
  <si>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</si>
  <si>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</si>
  <si>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</si>
  <si>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</si>
  <si>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</si>
  <si>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</si>
  <si>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</si>
  <si>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</si>
  <si>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</si>
  <si>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</si>
  <si>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</si>
  <si>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</si>
  <si>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</si>
  <si>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</si>
  <si>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</si>
  <si>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</si>
  <si>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</si>
  <si>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</si>
  <si>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</si>
  <si>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</si>
  <si>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</si>
  <si>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</si>
  <si>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</si>
  <si>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</si>
  <si>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</si>
  <si>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</si>
  <si>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</si>
  <si>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</si>
  <si>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</si>
  <si>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</si>
  <si>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</si>
  <si>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</si>
  <si>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</si>
  <si>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</si>
  <si>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</si>
  <si>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</si>
  <si>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</si>
  <si>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</si>
  <si>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</si>
  <si>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</si>
  <si>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</si>
  <si>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</si>
  <si>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</si>
  <si>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</si>
  <si>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</si>
  <si>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</si>
  <si>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</si>
  <si>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</si>
  <si>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</si>
  <si>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</si>
  <si>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</si>
  <si>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</si>
  <si>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</si>
  <si>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</si>
  <si>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</si>
  <si>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</si>
  <si>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</si>
  <si>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</si>
  <si>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</si>
  <si>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</si>
  <si>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</si>
  <si>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</si>
  <si>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</si>
  <si>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</si>
  <si>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</si>
  <si>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</si>
  <si>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</si>
  <si>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</si>
  <si>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</si>
  <si>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</si>
  <si>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</si>
  <si>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</si>
  <si>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</si>
  <si>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</si>
  <si>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</si>
  <si>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</si>
  <si>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</si>
  <si>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</si>
  <si>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</si>
  <si>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</si>
  <si>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</si>
  <si>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</si>
  <si>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</si>
  <si>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</si>
  <si>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</si>
  <si>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</si>
  <si>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</si>
  <si>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</si>
  <si>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</si>
  <si>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</si>
  <si>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</si>
  <si>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</si>
  <si>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</si>
  <si>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</si>
  <si>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</si>
  <si>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</si>
  <si>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</si>
  <si>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</si>
  <si>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</si>
  <si>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</si>
  <si>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</si>
  <si>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</si>
  <si>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</si>
  <si>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</si>
  <si>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</si>
  <si>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</si>
  <si>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</si>
  <si>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</si>
  <si>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</si>
  <si>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</si>
  <si>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</si>
  <si>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</si>
  <si>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</si>
  <si>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</si>
  <si>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</si>
  <si>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</si>
  <si>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</si>
  <si>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</si>
  <si>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</si>
  <si>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</si>
  <si>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</si>
  <si>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</si>
  <si>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</si>
  <si>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</si>
  <si>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</si>
  <si>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</si>
  <si>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</si>
  <si>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</si>
  <si>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</si>
  <si>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</si>
  <si>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</si>
  <si>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</si>
  <si>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</si>
  <si>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</si>
  <si>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</si>
  <si>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</si>
  <si>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</si>
  <si>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</si>
  <si>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</si>
  <si>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</si>
  <si>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</si>
  <si>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</si>
  <si>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</si>
  <si>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</si>
  <si>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</si>
  <si>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</si>
  <si>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</si>
  <si>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</si>
  <si>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</si>
  <si>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</si>
  <si>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</si>
  <si>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</si>
  <si>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</si>
  <si>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</si>
  <si>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</si>
  <si>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</si>
  <si>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</si>
  <si>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</si>
  <si>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</si>
  <si>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</si>
  <si>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</si>
  <si>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</si>
  <si>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</si>
  <si>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</si>
  <si>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</si>
  <si>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</si>
  <si>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</si>
  <si>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</si>
  <si>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</si>
  <si>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</si>
  <si>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</si>
  <si>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</si>
  <si>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</si>
  <si>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</si>
  <si>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</si>
  <si>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</si>
  <si>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</si>
  <si>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</si>
  <si>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</si>
  <si>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</si>
  <si>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</si>
  <si>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</si>
  <si>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</si>
  <si>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</si>
  <si>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</si>
  <si>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</si>
  <si>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</si>
  <si>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</si>
  <si>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</si>
  <si>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</si>
  <si>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</si>
  <si>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</si>
  <si>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</si>
  <si>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</si>
  <si>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</si>
  <si>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</si>
  <si>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</si>
  <si>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</si>
  <si>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</si>
  <si>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</si>
  <si>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</si>
  <si>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</si>
  <si>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</si>
  <si>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</si>
  <si>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</si>
  <si>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</si>
  <si>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</si>
  <si>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</si>
  <si>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</si>
  <si>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</si>
  <si>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</si>
  <si>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</si>
  <si>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</si>
  <si>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</si>
  <si>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</si>
  <si>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</si>
  <si>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</si>
  <si>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</si>
  <si>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</si>
  <si>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</si>
  <si>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</si>
  <si>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</si>
  <si>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</si>
  <si>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</si>
  <si>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</si>
  <si>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</si>
  <si>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</si>
  <si>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</si>
  <si>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</si>
  <si>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</si>
  <si>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</si>
  <si>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</si>
  <si>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</si>
  <si>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</si>
  <si>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</si>
  <si>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</si>
  <si>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</si>
  <si>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</si>
  <si>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</si>
  <si>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</si>
  <si>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</si>
  <si>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</si>
  <si>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</si>
  <si>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</si>
  <si>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</si>
  <si>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</si>
  <si>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</si>
  <si>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</si>
  <si>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</si>
  <si>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</si>
  <si>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</si>
  <si>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</si>
  <si>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</si>
  <si>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</si>
  <si>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</si>
  <si>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</si>
  <si>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</si>
  <si>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</si>
  <si>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</si>
  <si>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</si>
  <si>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</si>
  <si>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</si>
  <si>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</si>
  <si>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</si>
  <si>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</si>
  <si>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</si>
  <si>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</si>
  <si>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</si>
  <si>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</si>
  <si>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</si>
  <si>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</si>
  <si>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</si>
  <si>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</si>
  <si>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</si>
  <si>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</si>
  <si>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</si>
  <si>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</si>
  <si>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</si>
  <si>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</si>
  <si>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</si>
  <si>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</si>
  <si>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</si>
  <si>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</si>
  <si>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</si>
  <si>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</si>
  <si>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</si>
  <si>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</si>
  <si>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</si>
  <si>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</si>
  <si>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</si>
  <si>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</si>
  <si>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</si>
  <si>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</si>
  <si>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</si>
  <si>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</si>
  <si>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</si>
  <si>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</si>
  <si>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</si>
  <si>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</si>
  <si>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</si>
  <si>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</si>
  <si>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</si>
  <si>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</si>
  <si>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</si>
  <si>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</si>
  <si>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</si>
  <si>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</si>
  <si>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</si>
  <si>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</si>
  <si>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</si>
  <si>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</si>
  <si>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</si>
  <si>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</si>
  <si>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</si>
  <si>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</si>
  <si>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</si>
  <si>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</si>
  <si>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</si>
  <si>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</si>
  <si>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</si>
  <si>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</si>
  <si>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</si>
  <si>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</si>
  <si>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</si>
  <si>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</si>
  <si>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</si>
  <si>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</si>
  <si>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</si>
  <si>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</si>
  <si>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</si>
  <si>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</si>
  <si>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</si>
  <si>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</si>
  <si>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</si>
  <si>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</si>
  <si>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</si>
  <si>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</si>
  <si>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</si>
  <si>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</si>
  <si>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</si>
  <si>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</si>
  <si>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</si>
  <si>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</si>
  <si>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</si>
  <si>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</si>
  <si>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</si>
  <si>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</si>
  <si>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</si>
  <si>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</si>
  <si>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</si>
  <si>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</si>
  <si>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</si>
  <si>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</si>
  <si>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</si>
  <si>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</si>
  <si>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</si>
  <si>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</si>
  <si>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</si>
  <si>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</si>
  <si>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</si>
  <si>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</si>
  <si>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</si>
  <si>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</si>
  <si>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</si>
  <si>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</si>
  <si>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</si>
  <si>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</si>
  <si>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</si>
  <si>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</si>
  <si>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</si>
  <si>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</si>
  <si>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</si>
  <si>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</si>
  <si>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</si>
  <si>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</si>
  <si>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</si>
  <si>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</si>
  <si>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</si>
  <si>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</si>
  <si>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</si>
  <si>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</si>
  <si>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</si>
  <si>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</si>
  <si>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</si>
  <si>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</si>
  <si>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</si>
  <si>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</si>
  <si>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</si>
  <si>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</si>
  <si>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</si>
  <si>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</si>
  <si>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</si>
  <si>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</si>
  <si>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</si>
  <si>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</si>
  <si>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</si>
  <si>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</si>
  <si>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</si>
  <si>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</si>
  <si>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</si>
  <si>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</si>
  <si>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</si>
  <si>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</si>
  <si>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</si>
  <si>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</si>
  <si>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</si>
  <si>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</si>
  <si>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</si>
  <si>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</si>
  <si>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</si>
  <si>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</si>
  <si>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</si>
  <si>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</si>
  <si>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</si>
  <si>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</si>
  <si>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</si>
  <si>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</si>
  <si>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</si>
  <si>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</si>
  <si>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</si>
  <si>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</si>
  <si>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</si>
  <si>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</si>
  <si>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</si>
  <si>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</si>
  <si>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</si>
  <si>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</si>
  <si>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</si>
  <si>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</si>
  <si>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</si>
  <si>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</si>
  <si>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</si>
  <si>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</si>
  <si>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</si>
  <si>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</si>
  <si>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</si>
  <si>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</si>
  <si>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</si>
  <si>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</si>
  <si>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</si>
  <si>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</si>
  <si>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</si>
  <si>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</si>
  <si>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</si>
  <si>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</si>
  <si>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</si>
  <si>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</si>
  <si>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</si>
  <si>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</si>
  <si>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</si>
  <si>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</si>
  <si>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</si>
  <si>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</si>
  <si>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</si>
  <si>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</si>
  <si>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</si>
  <si>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</si>
  <si>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</si>
  <si>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</si>
  <si>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</si>
  <si>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</si>
  <si>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</si>
  <si>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</si>
  <si>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</si>
  <si>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</si>
  <si>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</si>
  <si>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</si>
  <si>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</si>
  <si>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</si>
  <si>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</si>
  <si>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</si>
  <si>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</si>
  <si>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</si>
  <si>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</si>
  <si>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</si>
  <si>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</si>
  <si>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</si>
  <si>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</si>
  <si>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</si>
  <si>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</si>
  <si>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</si>
  <si>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</si>
  <si>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</si>
  <si>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</si>
  <si>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</si>
  <si>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</si>
  <si>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</si>
  <si>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</si>
  <si>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</si>
  <si>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</si>
  <si>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</si>
  <si>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</si>
  <si>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</si>
  <si>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</si>
  <si>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</si>
  <si>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</si>
  <si>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</si>
  <si>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</si>
  <si>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</si>
  <si>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</si>
  <si>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</si>
  <si>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</si>
  <si>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</si>
  <si>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</si>
  <si>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</si>
  <si>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</si>
  <si>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</si>
  <si>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</si>
  <si>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</si>
  <si>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</si>
  <si>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</si>
  <si>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</si>
  <si>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</si>
  <si>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</si>
  <si>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</si>
  <si>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</si>
  <si>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</si>
  <si>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</si>
  <si>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</si>
  <si>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</si>
  <si>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</si>
  <si>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</si>
  <si>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</si>
  <si>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</si>
  <si>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</si>
  <si>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</si>
  <si>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</si>
  <si>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</si>
  <si>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</si>
  <si>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</si>
  <si>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</si>
  <si>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</si>
  <si>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</si>
  <si>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</si>
  <si>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</si>
  <si>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</si>
  <si>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</si>
  <si>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</si>
  <si>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</si>
  <si>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</si>
  <si>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</si>
  <si>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</si>
  <si>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</si>
  <si>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</si>
  <si>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</si>
  <si>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</si>
  <si>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</si>
  <si>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</si>
  <si>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</si>
  <si>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</si>
  <si>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</si>
  <si>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</si>
  <si>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</si>
  <si>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</si>
  <si>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</si>
  <si>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</si>
  <si>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</si>
  <si>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</si>
  <si>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</si>
  <si>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</si>
  <si>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</si>
  <si>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</si>
  <si>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</si>
  <si>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</si>
  <si>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</si>
  <si>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</si>
  <si>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</si>
  <si>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</si>
  <si>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</si>
  <si>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</si>
  <si>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</si>
  <si>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</si>
  <si>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</si>
  <si>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</si>
  <si>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</si>
  <si>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</si>
  <si>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</si>
  <si>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</si>
  <si>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</si>
  <si>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</si>
  <si>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</si>
  <si>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</si>
  <si>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</si>
  <si>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</si>
  <si>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</si>
  <si>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</si>
  <si>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</si>
  <si>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</si>
  <si>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</si>
  <si>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</si>
  <si>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</si>
  <si>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</si>
  <si>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</si>
  <si>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</si>
  <si>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</si>
  <si>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</si>
  <si>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</si>
  <si>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</si>
  <si>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</si>
  <si>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</si>
  <si>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</si>
  <si>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</si>
  <si>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</si>
  <si>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</si>
  <si>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</si>
  <si>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</si>
  <si>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</si>
  <si>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</si>
  <si>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</si>
  <si>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</si>
  <si>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</si>
  <si>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</si>
  <si>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</si>
  <si>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</si>
  <si>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</si>
  <si>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</si>
  <si>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</si>
  <si>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</si>
  <si>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</si>
  <si>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</si>
  <si>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</si>
  <si>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</si>
  <si>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</si>
  <si>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</si>
  <si>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</si>
  <si>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</si>
  <si>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</si>
  <si>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</si>
  <si>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</si>
  <si>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</si>
  <si>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</si>
  <si>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</si>
  <si>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</si>
  <si>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</si>
  <si>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</si>
  <si>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</si>
  <si>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</si>
  <si>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</si>
  <si>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</si>
  <si>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</si>
  <si>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</si>
  <si>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</si>
  <si>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</si>
  <si>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</si>
  <si>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</si>
  <si>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</si>
  <si>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</si>
  <si>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</si>
  <si>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</si>
  <si>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</si>
  <si>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</si>
  <si>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</si>
  <si>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</si>
  <si>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</si>
  <si>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</si>
  <si>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</si>
  <si>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</si>
  <si>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</si>
  <si>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</si>
  <si>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</si>
  <si>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</si>
  <si>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</si>
  <si>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</si>
  <si>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</si>
  <si>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</si>
  <si>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</si>
  <si>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</si>
  <si>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</si>
  <si>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</si>
  <si>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</si>
  <si>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</si>
  <si>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</si>
  <si>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</si>
  <si>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</si>
  <si>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</si>
  <si>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</si>
  <si>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</si>
  <si>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</si>
  <si>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</si>
  <si>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</si>
  <si>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</si>
  <si>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</si>
  <si>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</si>
  <si>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</si>
  <si>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</si>
  <si>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</si>
  <si>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</si>
  <si>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</si>
  <si>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</si>
  <si>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</si>
  <si>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</si>
  <si>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</si>
  <si>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</si>
  <si>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</si>
  <si>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</si>
  <si>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</si>
  <si>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</si>
  <si>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</si>
  <si>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</si>
  <si>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</si>
  <si>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</si>
  <si>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</si>
  <si>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</si>
  <si>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</si>
  <si>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</si>
  <si>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</si>
  <si>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</si>
  <si>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</si>
  <si>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</si>
  <si>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</si>
  <si>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</si>
  <si>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</si>
  <si>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</si>
  <si>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</si>
  <si>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</si>
  <si>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</si>
  <si>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</si>
  <si>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</si>
  <si>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</si>
  <si>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</si>
  <si>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</si>
  <si>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</si>
  <si>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</si>
  <si>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</si>
  <si>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</si>
  <si>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</si>
  <si>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</si>
  <si>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</si>
  <si>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</si>
  <si>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</si>
  <si>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</si>
  <si>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</si>
  <si>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</si>
  <si>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</si>
  <si>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</si>
  <si>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</si>
  <si>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</si>
  <si>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</si>
  <si>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</si>
  <si>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</si>
  <si>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</si>
  <si>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</si>
  <si>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</si>
  <si>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</si>
  <si>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</si>
  <si>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</si>
  <si>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</si>
  <si>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</si>
  <si>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</si>
  <si>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</si>
  <si>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</si>
  <si>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</si>
  <si>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</si>
  <si>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</si>
  <si>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</si>
  <si>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</si>
  <si>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</si>
  <si>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</si>
  <si>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</si>
  <si>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</si>
  <si>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</si>
  <si>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</si>
  <si>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</si>
  <si>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</si>
  <si>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</si>
  <si>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</si>
  <si>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</si>
  <si>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</si>
  <si>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</si>
  <si>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</si>
  <si>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</si>
  <si>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</si>
  <si>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</si>
  <si>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</si>
  <si>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</si>
  <si>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</si>
  <si>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</si>
  <si>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</si>
  <si>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</si>
  <si>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</si>
  <si>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</si>
  <si>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</si>
  <si>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</si>
  <si>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</si>
  <si>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</si>
  <si>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</si>
  <si>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</si>
  <si>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</si>
  <si>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</si>
  <si>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</si>
  <si>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</si>
  <si>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</si>
  <si>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</si>
  <si>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</si>
  <si>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</si>
  <si>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</si>
  <si>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</si>
  <si>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</si>
  <si>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</si>
  <si>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</si>
  <si>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</si>
  <si>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</si>
  <si>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</si>
  <si>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</si>
  <si>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</si>
  <si>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</si>
  <si>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</si>
  <si>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</si>
  <si>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</si>
  <si>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</si>
  <si>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</si>
  <si>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</si>
  <si>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</si>
  <si>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</si>
  <si>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</si>
  <si>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</si>
  <si>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</si>
  <si>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</si>
  <si>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</si>
  <si>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</si>
  <si>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</si>
  <si>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</si>
  <si>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</si>
  <si>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</si>
  <si>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</si>
  <si>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</si>
  <si>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</si>
  <si>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</si>
  <si>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</si>
  <si>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</si>
  <si>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</si>
  <si>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</si>
  <si>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</si>
  <si>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</si>
  <si>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</si>
  <si>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</si>
  <si>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</si>
  <si>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</si>
  <si>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</si>
  <si>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</si>
  <si>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</si>
  <si>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</si>
  <si>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</si>
  <si>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</si>
  <si>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</si>
  <si>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</si>
  <si>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</si>
  <si>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</si>
  <si>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</si>
  <si>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</si>
  <si>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</si>
  <si>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</si>
  <si>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</si>
  <si>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</si>
  <si>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</si>
  <si>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</si>
  <si>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</si>
  <si>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</si>
  <si>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</si>
  <si>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</si>
  <si>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</si>
  <si>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</si>
  <si>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</si>
  <si>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</si>
  <si>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</si>
  <si>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</si>
  <si>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</si>
  <si>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</si>
  <si>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</si>
  <si>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</si>
  <si>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</si>
  <si>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</si>
  <si>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</si>
  <si>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</si>
  <si>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</si>
  <si>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</si>
  <si>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</si>
  <si>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</si>
  <si>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</si>
  <si>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</si>
  <si>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</si>
  <si>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</si>
  <si>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</si>
  <si>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</si>
  <si>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</si>
  <si>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</si>
  <si>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</si>
  <si>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</si>
  <si>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</si>
  <si>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</si>
  <si>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</si>
  <si>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</si>
  <si>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</si>
  <si>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</si>
  <si>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</si>
  <si>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</si>
  <si>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</si>
  <si>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</si>
  <si>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</si>
  <si>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</si>
  <si>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</si>
  <si>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</si>
  <si>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</si>
  <si>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</si>
  <si>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</si>
  <si>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</si>
  <si>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</si>
  <si>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</si>
  <si>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</si>
  <si>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</si>
  <si>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</si>
  <si>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</si>
  <si>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</si>
  <si>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</si>
  <si>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</si>
  <si>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</si>
  <si>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</si>
  <si>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</si>
  <si>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</si>
  <si>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</si>
  <si>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</si>
  <si>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</si>
  <si>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</si>
  <si>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</si>
  <si>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</si>
  <si>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</si>
  <si>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</si>
  <si>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</si>
  <si>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</si>
  <si>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</si>
  <si>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</si>
  <si>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</si>
  <si>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</si>
  <si>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</si>
  <si>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</si>
  <si>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</si>
  <si>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</si>
  <si>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</si>
  <si>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</si>
  <si>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</si>
  <si>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</si>
  <si>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</si>
  <si>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</si>
  <si>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</si>
  <si>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</si>
  <si>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</si>
  <si>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</si>
  <si>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</si>
  <si>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</si>
  <si>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</si>
  <si>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</si>
  <si>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</si>
  <si>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</si>
  <si>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</si>
  <si>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</si>
  <si>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</si>
  <si>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</si>
  <si>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</si>
  <si>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</si>
  <si>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</si>
  <si>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</si>
  <si>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</si>
  <si>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</si>
  <si>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</si>
  <si>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</si>
  <si>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</si>
  <si>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</si>
  <si>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</si>
  <si>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</si>
  <si>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</si>
  <si>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</si>
  <si>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</si>
  <si>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</si>
  <si>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</si>
  <si>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</si>
  <si>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</si>
  <si>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</si>
  <si>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</si>
  <si>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</si>
  <si>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</si>
  <si>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</si>
  <si>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</si>
  <si>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</si>
  <si>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</si>
  <si>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</si>
  <si>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</si>
  <si>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</si>
  <si>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</si>
  <si>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</si>
  <si>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</si>
  <si>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</si>
  <si>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</si>
  <si>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</si>
  <si>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</si>
  <si>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</si>
  <si>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</si>
  <si>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</si>
  <si>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</si>
  <si>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</si>
  <si>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</si>
  <si>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</si>
  <si>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</si>
  <si>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</si>
  <si>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</si>
  <si>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</si>
  <si>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</si>
  <si>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</si>
  <si>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</si>
  <si>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</si>
  <si>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</si>
  <si>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</si>
  <si>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</si>
  <si>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</si>
  <si>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</si>
  <si>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</si>
  <si>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</si>
  <si>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</si>
  <si>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</si>
  <si>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</si>
  <si>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</si>
  <si>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</si>
  <si>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</si>
  <si>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</si>
  <si>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</si>
  <si>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</si>
  <si>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</si>
  <si>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</si>
  <si>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</si>
  <si>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</si>
  <si>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</si>
  <si>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</si>
  <si>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</si>
  <si>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</si>
  <si>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</si>
  <si>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</si>
  <si>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</si>
  <si>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</si>
  <si>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</si>
  <si>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</si>
  <si>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</si>
  <si>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</si>
  <si>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</si>
  <si>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</si>
  <si>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</si>
  <si>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</si>
  <si>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</si>
  <si>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</si>
  <si>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</si>
  <si>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</si>
  <si>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</si>
  <si>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</si>
  <si>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</si>
  <si>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</si>
  <si>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</si>
  <si>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</si>
  <si>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</si>
  <si>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</si>
  <si>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</si>
  <si>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</si>
  <si>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</si>
  <si>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</si>
  <si>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</si>
  <si>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</si>
  <si>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</si>
  <si>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</si>
  <si>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</si>
  <si>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</si>
  <si>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</si>
  <si>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</si>
  <si>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</si>
  <si>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</si>
  <si>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</si>
  <si>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</si>
  <si>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</si>
  <si>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</si>
  <si>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</si>
  <si>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</si>
  <si>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</si>
  <si>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</si>
  <si>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</si>
  <si>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</si>
  <si>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</si>
  <si>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</si>
  <si>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</si>
  <si>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</si>
  <si>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</si>
  <si>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</si>
  <si>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</si>
  <si>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</si>
  <si>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</si>
  <si>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</si>
  <si>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</si>
  <si>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</si>
  <si>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</si>
  <si>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</si>
  <si>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</si>
  <si>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</si>
  <si>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</si>
  <si>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</si>
  <si>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</si>
  <si>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</si>
  <si>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</si>
  <si>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</si>
  <si>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</si>
  <si>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</si>
  <si>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</si>
  <si>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</si>
  <si>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</si>
  <si>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</si>
  <si>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</si>
  <si>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</si>
  <si>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</si>
  <si>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</si>
  <si>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</si>
  <si>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</si>
  <si>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</si>
  <si>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</si>
  <si>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</si>
  <si>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</si>
  <si>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</si>
  <si>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</si>
  <si>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</si>
  <si>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</si>
  <si>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</si>
  <si>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</si>
  <si>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</si>
  <si>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</si>
  <si>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</si>
  <si>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</si>
  <si>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</si>
  <si>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</si>
  <si>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</si>
  <si>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</si>
  <si>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</si>
  <si>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</si>
  <si>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</si>
  <si>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</si>
  <si>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</si>
  <si>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</si>
  <si>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</si>
  <si>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</si>
  <si>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</si>
  <si>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</si>
  <si>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</si>
  <si>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</si>
  <si>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</si>
  <si>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</si>
  <si>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</si>
  <si>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</si>
  <si>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</si>
  <si>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</si>
  <si>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</si>
  <si>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</si>
  <si>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</si>
  <si>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</si>
  <si>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</si>
  <si>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</si>
  <si>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</si>
  <si>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</si>
  <si>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</si>
  <si>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</si>
  <si>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</si>
  <si>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</si>
  <si>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</si>
  <si>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</si>
  <si>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</si>
  <si>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</si>
  <si>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</si>
  <si>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</si>
  <si>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</si>
  <si>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</si>
  <si>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</si>
  <si>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</si>
  <si>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</si>
  <si>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</si>
  <si>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</si>
  <si>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</si>
  <si>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</si>
  <si>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</si>
  <si>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</si>
  <si>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</si>
  <si>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</si>
  <si>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</si>
  <si>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</si>
  <si>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</si>
  <si>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</si>
  <si>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</si>
  <si>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</si>
  <si>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</si>
  <si>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</si>
  <si>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</si>
  <si>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</si>
  <si>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</si>
  <si>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</si>
  <si>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</si>
  <si>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</si>
  <si>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</si>
  <si>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</si>
  <si>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</si>
  <si>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</si>
  <si>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</si>
  <si>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</si>
  <si>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</si>
  <si>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</si>
  <si>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</si>
  <si>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</si>
  <si>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</si>
  <si>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</si>
  <si>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</si>
  <si>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</si>
  <si>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</si>
  <si>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</si>
  <si>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</si>
  <si>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</si>
  <si>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</si>
  <si>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</si>
  <si>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</si>
  <si>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</si>
  <si>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</si>
  <si>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</si>
  <si>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</si>
  <si>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</si>
  <si>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</si>
  <si>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</si>
  <si>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</si>
  <si>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</si>
  <si>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</si>
  <si>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</si>
  <si>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</si>
  <si>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</si>
  <si>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</si>
  <si>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</si>
  <si>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</si>
  <si>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</si>
  <si>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</si>
  <si>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</si>
  <si>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</si>
  <si>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</si>
  <si>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</si>
  <si>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</si>
  <si>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</si>
  <si>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</si>
  <si>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</si>
  <si>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</si>
  <si>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</si>
  <si>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</si>
  <si>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</si>
  <si>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</si>
  <si>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</si>
  <si>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</si>
  <si>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</si>
  <si>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</si>
  <si>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</si>
  <si>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</si>
  <si>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</si>
  <si>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</si>
  <si>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</si>
  <si>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</si>
  <si>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</si>
  <si>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</si>
  <si>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</si>
  <si>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</si>
  <si>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</si>
  <si>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</si>
  <si>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</si>
  <si>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</si>
  <si>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</si>
  <si>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</si>
  <si>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</si>
  <si>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</si>
  <si>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</si>
  <si>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</si>
  <si>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</si>
  <si>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</si>
  <si>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</si>
  <si>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</si>
  <si>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</si>
  <si>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</si>
  <si>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</si>
  <si>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</si>
  <si>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</si>
  <si>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</si>
  <si>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</si>
  <si>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</si>
  <si>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</si>
  <si>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</si>
  <si>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</si>
  <si>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</si>
  <si>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</si>
  <si>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</si>
  <si>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</si>
  <si>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</si>
  <si>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</si>
  <si>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</si>
  <si>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</si>
  <si>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</si>
  <si>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</si>
  <si>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</si>
  <si>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</si>
  <si>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</si>
  <si>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</si>
  <si>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</si>
  <si>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</si>
  <si>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</si>
  <si>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</si>
  <si>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</si>
  <si>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</si>
  <si>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</si>
  <si>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</si>
  <si>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</si>
  <si>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</si>
  <si>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</si>
  <si>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</si>
  <si>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</si>
  <si>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</si>
  <si>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</si>
  <si>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</si>
  <si>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</si>
  <si>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</si>
  <si>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</si>
  <si>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</si>
  <si>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</si>
  <si>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</si>
  <si>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</si>
  <si>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</si>
  <si>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</si>
  <si>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</si>
  <si>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</si>
  <si>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</si>
  <si>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</si>
  <si>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</si>
  <si>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</si>
  <si>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</si>
  <si>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</si>
  <si>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</si>
  <si>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</si>
  <si>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</si>
  <si>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</si>
  <si>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</si>
  <si>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</si>
  <si>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</si>
  <si>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</si>
  <si>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</si>
  <si>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</si>
  <si>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</si>
  <si>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</si>
  <si>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</si>
  <si>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</si>
  <si>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</si>
  <si>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</si>
  <si>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</si>
  <si>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</si>
  <si>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</si>
  <si>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</si>
  <si>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</si>
  <si>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</si>
  <si>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</si>
  <si>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</si>
  <si>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</si>
  <si>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</si>
  <si>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</si>
  <si>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</si>
  <si>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</si>
  <si>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</si>
  <si>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</si>
  <si>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</si>
  <si>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</si>
  <si>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</si>
  <si>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</si>
  <si>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</si>
  <si>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</si>
  <si>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</si>
  <si>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</si>
  <si>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</si>
  <si>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</si>
  <si>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</si>
  <si>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</si>
  <si>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</si>
  <si>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</si>
  <si>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</si>
  <si>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</si>
  <si>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</si>
  <si>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</si>
  <si>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</si>
  <si>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</si>
  <si>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</si>
  <si>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</si>
  <si>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</si>
  <si>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</si>
  <si>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</si>
  <si>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</si>
  <si>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</si>
  <si>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</si>
  <si>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</si>
  <si>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</si>
  <si>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</si>
  <si>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</si>
  <si>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</si>
  <si>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</si>
  <si>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</si>
  <si>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</si>
  <si>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</si>
  <si>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</si>
  <si>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</si>
  <si>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</si>
  <si>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</si>
  <si>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</si>
  <si>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</si>
  <si>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</si>
  <si>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</si>
  <si>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</si>
  <si>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</si>
  <si>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</si>
  <si>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</si>
  <si>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</si>
  <si>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</si>
  <si>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</si>
  <si>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</si>
  <si>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</si>
  <si>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</si>
  <si>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</si>
  <si>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</si>
  <si>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</si>
  <si>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</si>
  <si>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</si>
  <si>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</si>
  <si>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</si>
  <si>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</si>
  <si>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</si>
  <si>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</si>
  <si>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</si>
  <si>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</si>
  <si>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</si>
  <si>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</si>
  <si>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</si>
  <si>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</si>
  <si>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</si>
  <si>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</si>
  <si>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</si>
  <si>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</si>
  <si>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</si>
  <si>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</si>
  <si>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</si>
  <si>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</si>
  <si>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</si>
  <si>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</si>
  <si>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</si>
  <si>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</si>
  <si>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</si>
  <si>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</si>
  <si>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</si>
  <si>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</si>
  <si>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</si>
  <si>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</si>
  <si>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</si>
  <si>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</si>
  <si>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</si>
  <si>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</si>
  <si>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</si>
  <si>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</si>
  <si>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</si>
  <si>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</si>
  <si>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</si>
  <si>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</si>
  <si>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</si>
  <si>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</si>
  <si>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</si>
  <si>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</si>
  <si>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</si>
  <si>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</si>
  <si>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</si>
  <si>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</si>
  <si>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</si>
  <si>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</si>
  <si>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</si>
  <si>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</si>
  <si>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</si>
  <si>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</si>
  <si>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</si>
  <si>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</si>
  <si>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</si>
  <si>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</si>
  <si>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</si>
  <si>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</si>
  <si>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</si>
  <si>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</si>
  <si>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</si>
  <si>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</si>
  <si>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</si>
  <si>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</si>
  <si>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</si>
  <si>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</si>
  <si>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</si>
  <si>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</si>
  <si>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</si>
  <si>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</si>
  <si>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</si>
  <si>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</si>
  <si>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</si>
  <si>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</si>
  <si>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</si>
  <si>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</si>
  <si>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</si>
  <si>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</si>
  <si>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</si>
  <si>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</si>
  <si>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</si>
  <si>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</si>
  <si>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</si>
  <si>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</si>
  <si>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</si>
  <si>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</si>
  <si>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</si>
  <si>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</si>
  <si>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</si>
  <si>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</si>
  <si>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</si>
  <si>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</si>
  <si>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</si>
  <si>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</si>
  <si>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</si>
  <si>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</si>
  <si>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</si>
  <si>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</si>
  <si>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</si>
  <si>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</si>
  <si>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</si>
  <si>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</si>
  <si>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</si>
  <si>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</si>
  <si>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</si>
  <si>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</si>
  <si>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</si>
  <si>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</si>
  <si>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</si>
  <si>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</si>
  <si>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</si>
  <si>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</si>
  <si>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</si>
  <si>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</si>
  <si>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</si>
  <si>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</si>
  <si>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</si>
  <si>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</si>
  <si>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</si>
  <si>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</si>
  <si>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</si>
  <si>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</si>
  <si>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</si>
  <si>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</si>
  <si>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</si>
  <si>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</si>
  <si>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</si>
  <si>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</si>
  <si>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</si>
  <si>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</si>
  <si>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</si>
  <si>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</si>
  <si>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</si>
  <si>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</si>
  <si>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</si>
  <si>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</si>
  <si>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</si>
  <si>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</si>
  <si>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</si>
  <si>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</si>
  <si>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</si>
  <si>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</si>
  <si>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</si>
  <si>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</si>
  <si>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</si>
  <si>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</si>
  <si>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</si>
  <si>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</si>
  <si>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</si>
  <si>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</si>
  <si>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</si>
  <si>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</si>
  <si>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</si>
  <si>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</si>
  <si>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</si>
  <si>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</si>
  <si>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</si>
  <si>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</si>
  <si>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</si>
  <si>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</si>
  <si>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</si>
  <si>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</si>
  <si>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</si>
  <si>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</si>
  <si>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</si>
  <si>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</si>
  <si>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</si>
  <si>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</si>
  <si>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</si>
  <si>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</si>
  <si>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</si>
  <si>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</si>
  <si>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</si>
  <si>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</si>
  <si>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</si>
  <si>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</si>
  <si>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</si>
  <si>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</si>
  <si>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</si>
  <si>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</si>
  <si>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</si>
  <si>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</si>
  <si>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</si>
  <si>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</si>
  <si>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</si>
  <si>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</si>
  <si>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</si>
  <si>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</si>
  <si>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</si>
  <si>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</si>
  <si>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</si>
  <si>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</si>
  <si>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</si>
  <si>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</si>
  <si>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</si>
  <si>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</si>
  <si>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</si>
  <si>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</si>
  <si>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</si>
  <si>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</si>
  <si>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</si>
  <si>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</si>
  <si>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</si>
  <si>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</si>
  <si>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</si>
  <si>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</si>
  <si>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</si>
  <si>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</si>
  <si>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</si>
  <si>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</si>
  <si>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</si>
  <si>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</si>
  <si>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</si>
  <si>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</si>
  <si>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</si>
  <si>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</si>
  <si>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</si>
  <si>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</si>
  <si>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</si>
  <si>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</si>
  <si>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</si>
  <si>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</si>
  <si>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</si>
  <si>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</si>
  <si>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</si>
  <si>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</si>
  <si>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</si>
  <si>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</si>
  <si>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</si>
  <si>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</si>
  <si>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</si>
  <si>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</si>
  <si>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</si>
  <si>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</si>
  <si>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</si>
  <si>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</si>
  <si>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</si>
  <si>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</si>
  <si>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</si>
  <si>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</si>
  <si>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</si>
  <si>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</si>
  <si>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</si>
  <si>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</si>
  <si>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</si>
  <si>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</si>
  <si>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</si>
  <si>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</si>
  <si>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</si>
  <si>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</si>
  <si>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</si>
  <si>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</si>
  <si>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</si>
  <si>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</si>
  <si>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</si>
  <si>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</si>
  <si>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</si>
  <si>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</si>
  <si>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</si>
  <si>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</si>
  <si>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</si>
  <si>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</si>
  <si>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</si>
  <si>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</si>
  <si>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</si>
  <si>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</si>
  <si>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</si>
  <si>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</si>
  <si>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</si>
  <si>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</si>
  <si>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</si>
  <si>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</si>
  <si>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</si>
  <si>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</si>
  <si>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</si>
  <si>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</si>
  <si>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</si>
  <si>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</si>
  <si>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</si>
  <si>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</si>
  <si>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</si>
  <si>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</si>
  <si>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</si>
  <si>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</si>
  <si>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</si>
  <si>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</si>
  <si>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</si>
  <si>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</si>
  <si>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</si>
  <si>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</si>
  <si>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</si>
  <si>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</si>
  <si>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</si>
  <si>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</si>
  <si>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</si>
  <si>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</si>
  <si>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</si>
  <si>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</si>
  <si>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</si>
  <si>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</si>
  <si>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</si>
  <si>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</si>
  <si>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</si>
  <si>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</si>
  <si>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</si>
  <si>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</si>
  <si>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</si>
  <si>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</si>
  <si>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</si>
  <si>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</si>
  <si>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</si>
  <si>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</si>
  <si>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</si>
  <si>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</si>
  <si>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</si>
  <si>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</si>
  <si>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</si>
  <si>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</si>
  <si>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</si>
  <si>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</si>
  <si>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</si>
  <si>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</si>
  <si>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</si>
  <si>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</si>
  <si>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</si>
  <si>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</si>
  <si>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</si>
  <si>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</si>
  <si>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</si>
  <si>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</si>
  <si>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</si>
  <si>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</si>
  <si>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</si>
  <si>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</si>
  <si>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</si>
  <si>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</si>
  <si>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</si>
  <si>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</si>
  <si>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</si>
  <si>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</si>
  <si>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</si>
  <si>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</si>
  <si>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</si>
  <si>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</si>
  <si>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</si>
  <si>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</si>
  <si>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</si>
  <si>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</si>
  <si>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</si>
  <si>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</si>
  <si>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</si>
  <si>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</si>
  <si>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</si>
  <si>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</si>
  <si>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</si>
  <si>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</si>
  <si>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</si>
  <si>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</si>
  <si>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</si>
  <si>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</si>
  <si>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</si>
  <si>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</si>
  <si>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</si>
  <si>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</si>
  <si>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</si>
  <si>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</si>
  <si>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</si>
  <si>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</si>
  <si>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</si>
  <si>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</si>
  <si>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</si>
  <si>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</si>
  <si>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</si>
  <si>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</si>
  <si>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</si>
  <si>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</si>
  <si>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</si>
  <si>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</si>
  <si>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</si>
  <si>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</si>
  <si>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</si>
  <si>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</si>
  <si>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</si>
  <si>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</si>
  <si>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</si>
  <si>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</si>
  <si>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</si>
  <si>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</si>
  <si>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</si>
  <si>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</si>
  <si>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</si>
  <si>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</si>
  <si>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</si>
  <si>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</si>
  <si>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</si>
  <si>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</si>
  <si>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</si>
  <si>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</si>
  <si>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</si>
  <si>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</si>
  <si>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</si>
  <si>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</si>
  <si>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</si>
  <si>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</si>
  <si>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</si>
  <si>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</si>
  <si>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</si>
  <si>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</si>
  <si>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</si>
  <si>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</si>
  <si>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</si>
  <si>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</si>
  <si>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</si>
  <si>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</si>
  <si>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</si>
  <si>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</si>
  <si>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</si>
  <si>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</si>
  <si>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</si>
  <si>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</si>
  <si>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</si>
  <si>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</si>
  <si>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</si>
  <si>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</si>
  <si>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</si>
  <si>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</si>
  <si>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</si>
  <si>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</si>
  <si>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</si>
  <si>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</si>
  <si>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</si>
  <si>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</si>
  <si>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</si>
  <si>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</si>
  <si>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</si>
  <si>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</si>
  <si>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</si>
  <si>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</si>
  <si>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</si>
  <si>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</si>
  <si>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</si>
  <si>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</si>
  <si>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</si>
  <si>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</si>
  <si>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</si>
  <si>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</si>
  <si>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</si>
  <si>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</si>
  <si>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</si>
  <si>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</si>
  <si>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</si>
  <si>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</si>
  <si>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</si>
  <si>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</si>
  <si>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</si>
  <si>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</si>
  <si>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</si>
  <si>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</si>
  <si>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</si>
  <si>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</si>
  <si>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</si>
  <si>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</si>
  <si>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</si>
  <si>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</si>
  <si>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</si>
  <si>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</si>
  <si>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</si>
  <si>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</si>
  <si>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</si>
  <si>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</si>
  <si>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</si>
  <si>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</si>
  <si>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</si>
  <si>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</si>
  <si>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</si>
  <si>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</si>
  <si>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</si>
  <si>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</si>
  <si>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</si>
  <si>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</si>
  <si>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</si>
  <si>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</si>
  <si>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</si>
  <si>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</si>
  <si>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</si>
  <si>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</si>
  <si>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</si>
  <si>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</si>
  <si>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</si>
  <si>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</si>
  <si>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</si>
  <si>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</si>
  <si>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</si>
  <si>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</si>
  <si>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</si>
  <si>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</si>
  <si>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</si>
  <si>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</si>
  <si>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</si>
  <si>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</si>
  <si>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</si>
  <si>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</si>
  <si>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</si>
  <si>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</si>
  <si>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</si>
  <si>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</si>
  <si>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</si>
  <si>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</si>
  <si>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</si>
  <si>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</si>
  <si>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</si>
  <si>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</si>
  <si>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</si>
  <si>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</si>
  <si>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</si>
  <si>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</si>
  <si>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</si>
  <si>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</si>
  <si>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</si>
  <si>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</si>
  <si>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</si>
  <si>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</si>
  <si>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</si>
  <si>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</si>
  <si>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</si>
  <si>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</si>
  <si>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</si>
  <si>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</si>
  <si>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</si>
  <si>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</si>
  <si>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</si>
  <si>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</si>
  <si>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</si>
  <si>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</si>
  <si>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</si>
  <si>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</si>
  <si>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</si>
  <si>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</si>
  <si>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</si>
  <si>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</si>
  <si>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</si>
  <si>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</si>
  <si>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</si>
  <si>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</si>
  <si>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</si>
  <si>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</si>
  <si>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</si>
  <si>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</si>
  <si>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</si>
  <si>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</si>
  <si>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</si>
  <si>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</si>
  <si>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</si>
  <si>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</si>
  <si>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</si>
  <si>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</si>
  <si>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</si>
  <si>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</si>
  <si>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</si>
  <si>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</si>
  <si>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</si>
  <si>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</si>
  <si>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</si>
  <si>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</si>
  <si>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</si>
  <si>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</si>
  <si>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</si>
  <si>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</si>
  <si>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</si>
  <si>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</si>
  <si>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</si>
  <si>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</si>
  <si>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</si>
  <si>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</si>
  <si>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</si>
  <si>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</si>
  <si>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</si>
  <si>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</si>
  <si>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</si>
  <si>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</si>
  <si>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</si>
  <si>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</si>
  <si>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</si>
  <si>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</si>
  <si>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</si>
  <si>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</si>
  <si>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</si>
  <si>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</si>
  <si>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</si>
  <si>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</si>
  <si>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</si>
  <si>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</si>
  <si>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</si>
  <si>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</si>
  <si>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</si>
  <si>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</si>
  <si>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</si>
  <si>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</si>
  <si>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</si>
  <si>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</si>
  <si>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</si>
  <si>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</si>
  <si>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</si>
  <si>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</si>
  <si>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</si>
  <si>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</si>
  <si>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</si>
  <si>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</si>
  <si>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</si>
  <si>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</si>
  <si>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</si>
  <si>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</si>
  <si>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</si>
  <si>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</si>
  <si>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</si>
  <si>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</si>
  <si>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</si>
  <si>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</si>
  <si>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</si>
  <si>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</si>
  <si>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</si>
  <si>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</si>
  <si>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</si>
  <si>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</si>
  <si>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</si>
  <si>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</si>
  <si>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</si>
  <si>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</si>
  <si>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</si>
  <si>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</si>
  <si>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</si>
  <si>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</si>
  <si>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</si>
  <si>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</si>
  <si>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</si>
  <si>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</si>
  <si>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</si>
  <si>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</si>
  <si>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</si>
  <si>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</si>
  <si>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</si>
  <si>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</si>
  <si>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</si>
  <si>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</si>
  <si>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</si>
  <si>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</si>
  <si>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</si>
  <si>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</si>
  <si>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</si>
  <si>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</si>
  <si>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</si>
  <si>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</si>
  <si>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</si>
  <si>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</si>
  <si>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</si>
  <si>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</si>
  <si>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</si>
  <si>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</si>
  <si>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</si>
  <si>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</si>
  <si>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</si>
  <si>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</si>
  <si>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</si>
  <si>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</si>
  <si>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</si>
  <si>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</si>
  <si>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</si>
  <si>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</si>
  <si>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</si>
  <si>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</si>
  <si>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</si>
  <si>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</si>
  <si>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</si>
  <si>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</si>
  <si>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</si>
  <si>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</si>
  <si>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</si>
  <si>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</si>
  <si>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</si>
  <si>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</si>
  <si>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</si>
  <si>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</si>
  <si>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</si>
  <si>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</si>
  <si>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</si>
  <si>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</si>
  <si>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</si>
  <si>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</si>
  <si>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</si>
  <si>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</si>
  <si>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</si>
  <si>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</si>
  <si>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</si>
  <si>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</si>
  <si>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</si>
  <si>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</si>
  <si>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</si>
  <si>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</si>
  <si>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</si>
  <si>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</si>
  <si>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</si>
  <si>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</si>
  <si>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</si>
  <si>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</si>
  <si>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</si>
  <si>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</si>
  <si>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</si>
  <si>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</si>
  <si>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</si>
  <si>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</si>
  <si>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</si>
  <si>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</si>
  <si>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</si>
  <si>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</si>
  <si>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</si>
  <si>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</si>
  <si>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</si>
  <si>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</si>
  <si>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</si>
  <si>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</si>
  <si>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</si>
  <si>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</si>
  <si>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</si>
  <si>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</si>
  <si>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</si>
  <si>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</si>
  <si>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</si>
  <si>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</si>
  <si>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</si>
  <si>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</si>
  <si>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</si>
  <si>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</si>
  <si>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</si>
  <si>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</si>
  <si>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</si>
  <si>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</si>
  <si>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</si>
  <si>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</si>
  <si>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</si>
  <si>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</si>
  <si>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</si>
  <si>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</si>
  <si>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</si>
  <si>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</si>
  <si>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</si>
  <si>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</si>
  <si>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</si>
  <si>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</si>
  <si>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</si>
  <si>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</si>
  <si>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</si>
  <si>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</si>
  <si>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</si>
  <si>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</si>
  <si>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</si>
  <si>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</si>
  <si>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</si>
  <si>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</si>
  <si>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</si>
  <si>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</si>
  <si>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</si>
  <si>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</si>
  <si>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</si>
  <si>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</si>
  <si>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</si>
  <si>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</si>
  <si>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</si>
  <si>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</si>
  <si>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</si>
  <si>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</si>
  <si>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</si>
  <si>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</si>
  <si>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</si>
  <si>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</si>
  <si>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</si>
  <si>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</si>
  <si>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</si>
  <si>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</si>
  <si>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</si>
  <si>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</si>
  <si>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</si>
  <si>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</si>
  <si>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</si>
  <si>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</si>
  <si>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</si>
  <si>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</si>
  <si>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</si>
  <si>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</si>
  <si>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</si>
  <si>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</si>
  <si>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</si>
  <si>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</si>
  <si>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</si>
  <si>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</si>
  <si>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</si>
  <si>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</si>
  <si>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</si>
  <si>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</si>
  <si>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</si>
  <si>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</si>
  <si>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</si>
  <si>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</si>
  <si>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</si>
  <si>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</si>
  <si>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</si>
  <si>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</si>
  <si>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</si>
  <si>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</si>
  <si>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</si>
  <si>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</si>
  <si>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</si>
  <si>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</si>
  <si>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</si>
  <si>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</si>
  <si>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</si>
  <si>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</si>
  <si>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</si>
  <si>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</si>
  <si>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</si>
  <si>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</si>
  <si>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</si>
  <si>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</si>
  <si>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</si>
  <si>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</si>
  <si>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</si>
  <si>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</si>
  <si>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</si>
  <si>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</si>
  <si>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</si>
  <si>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</si>
  <si>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</si>
  <si>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</si>
  <si>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</si>
  <si>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</si>
  <si>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</si>
  <si>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</si>
  <si>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</si>
  <si>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</si>
  <si>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</si>
  <si>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</si>
  <si>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</si>
  <si>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</si>
  <si>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</si>
  <si>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</si>
  <si>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</si>
  <si>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</si>
  <si>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</si>
  <si>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</si>
  <si>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</si>
  <si>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</si>
  <si>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</si>
  <si>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</si>
  <si>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</si>
  <si>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</si>
  <si>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</si>
  <si>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</si>
  <si>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</si>
  <si>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</si>
  <si>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</si>
  <si>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</si>
  <si>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</si>
  <si>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</si>
  <si>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</si>
  <si>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</si>
  <si>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</si>
  <si>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</si>
  <si>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</si>
  <si>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</si>
  <si>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</si>
  <si>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</si>
  <si>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</si>
  <si>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</si>
  <si>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</si>
  <si>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</si>
  <si>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</si>
  <si>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</si>
  <si>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</si>
  <si>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</si>
  <si>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</si>
  <si>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</si>
  <si>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</si>
  <si>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</si>
  <si>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</si>
  <si>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</si>
  <si>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</si>
  <si>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</si>
  <si>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</si>
  <si>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</si>
  <si>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</si>
  <si>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</si>
  <si>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</si>
  <si>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</si>
  <si>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</si>
  <si>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</si>
  <si>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</si>
  <si>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</si>
  <si>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</si>
  <si>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</si>
  <si>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</si>
  <si>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</si>
  <si>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</si>
  <si>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</si>
  <si>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</si>
  <si>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</si>
  <si>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</si>
  <si>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</si>
  <si>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</si>
  <si>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</si>
  <si>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</si>
  <si>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</si>
  <si>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</si>
  <si>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</si>
  <si>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</si>
  <si>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</si>
  <si>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</si>
  <si>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</si>
  <si>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</si>
  <si>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</si>
  <si>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</si>
  <si>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</si>
  <si>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</si>
  <si>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</si>
  <si>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</si>
  <si>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</si>
  <si>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</si>
  <si>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</si>
  <si>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</si>
  <si>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</si>
  <si>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</si>
  <si>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</si>
  <si>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</si>
  <si>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</si>
  <si>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</si>
  <si>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</si>
  <si>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</si>
  <si>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</si>
  <si>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</si>
  <si>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</si>
  <si>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</si>
  <si>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</si>
  <si>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</si>
  <si>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</si>
  <si>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</si>
  <si>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</si>
  <si>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</si>
  <si>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</si>
  <si>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</si>
  <si>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</si>
  <si>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</si>
  <si>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</si>
  <si>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</si>
  <si>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</si>
  <si>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</si>
  <si>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</si>
  <si>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</si>
  <si>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</si>
  <si>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</si>
  <si>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</si>
  <si>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</si>
  <si>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</si>
  <si>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</si>
  <si>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</si>
  <si>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</si>
  <si>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</si>
  <si>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</si>
  <si>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</si>
  <si>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</si>
  <si>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</si>
  <si>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</si>
  <si>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</si>
  <si>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</si>
  <si>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</si>
  <si>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</si>
  <si>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</si>
  <si>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</si>
  <si>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</si>
  <si>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</si>
  <si>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</si>
  <si>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地下</t>
  </si>
  <si>
    <t>是</t>
  </si>
  <si>
    <t>地下车位</t>
  </si>
  <si>
    <t>地下车位</t>
    <phoneticPr fontId="7" type="noConversion"/>
  </si>
  <si>
    <t>住宅</t>
  </si>
  <si>
    <t>成新度</t>
  </si>
  <si>
    <t>收益法 (元)</t>
  </si>
  <si>
    <t>押一</t>
  </si>
  <si>
    <t>未包含在土地购买价格中</t>
  </si>
  <si>
    <t>已包含在土地取得成本中</t>
  </si>
  <si>
    <t>城镇住宅用地</t>
  </si>
  <si>
    <t>自定义容积率</t>
  </si>
  <si>
    <t>不临65条商业街</t>
  </si>
  <si>
    <t>有</t>
  </si>
  <si>
    <t>与级别开发程度一致</t>
  </si>
  <si>
    <t>2001</t>
    <phoneticPr fontId="6" type="noConversion"/>
  </si>
  <si>
    <t>1999</t>
    <phoneticPr fontId="6" type="noConversion"/>
  </si>
  <si>
    <t>利息：取LPR加浮动点数</t>
  </si>
  <si>
    <t>钢混</t>
  </si>
  <si>
    <t>非生产用房</t>
  </si>
  <si>
    <t>否</t>
  </si>
  <si>
    <t>较好</t>
  </si>
  <si>
    <t>周边有紫竹院路62号院、三虎桥5号院、世纪新景园、紫竹花园等住宅小区，住宅小区较集中，居住社区成熟度较好。</t>
    <phoneticPr fontId="40"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</si>
  <si>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phoneticPr fontId="40" type="noConversion"/>
  </si>
  <si>
    <t xml:space="preserve">自然环境：紫竹院公园、北京动物园
人文环境：国家图书馆。
综上，环境状况好。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</si>
  <si>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紫竹院路</t>
    </r>
    <phoneticPr fontId="24" type="noConversion"/>
  </si>
  <si>
    <t>好</t>
  </si>
  <si>
    <t>一般</t>
  </si>
  <si>
    <t>500米范围内</t>
  </si>
  <si>
    <t>美林花园</t>
    <phoneticPr fontId="3" type="noConversion"/>
  </si>
  <si>
    <t>售价</t>
  </si>
  <si>
    <t>比较法-车位</t>
  </si>
  <si>
    <t>元/车位</t>
  </si>
  <si>
    <t>七通</t>
  </si>
  <si>
    <t>1:1</t>
    <phoneticPr fontId="31" type="noConversion"/>
  </si>
  <si>
    <t>1:1.5</t>
    <phoneticPr fontId="31" type="noConversion"/>
  </si>
  <si>
    <t>人济山庄</t>
    <phoneticPr fontId="3" type="noConversion"/>
  </si>
  <si>
    <t>精装修</t>
    <phoneticPr fontId="31" type="noConversion"/>
  </si>
  <si>
    <t>普通装修</t>
  </si>
  <si>
    <t>普通装修</t>
    <phoneticPr fontId="31" type="noConversion"/>
  </si>
  <si>
    <t>平面</t>
  </si>
  <si>
    <t>平面</t>
    <phoneticPr fontId="31" type="noConversion"/>
  </si>
  <si>
    <t>否</t>
    <phoneticPr fontId="31" type="noConversion"/>
  </si>
  <si>
    <t>物业公司管理</t>
  </si>
  <si>
    <t>物业公司管理</t>
    <phoneticPr fontId="31" type="noConversion"/>
  </si>
  <si>
    <t>周边有紫竹院路、西三环北路等，距离16号线万寿寺站约500米，距离国家图书馆站（4、9、16换乘站）约900米，有74路、300路、323路、394路等公交线路，交通便捷度好</t>
  </si>
  <si>
    <r>
      <rPr>
        <sz val="11"/>
        <rFont val="宋体"/>
        <family val="3"/>
        <charset val="134"/>
      </rPr>
      <t>紧临城市支路，距离</t>
    </r>
    <r>
      <rPr>
        <sz val="11"/>
        <rFont val="Arial"/>
        <family val="2"/>
      </rPr>
      <t>16</t>
    </r>
    <r>
      <rPr>
        <sz val="11"/>
        <rFont val="宋体"/>
        <family val="3"/>
        <charset val="134"/>
      </rPr>
      <t>号线万寿寺站约</t>
    </r>
    <r>
      <rPr>
        <sz val="11"/>
        <rFont val="Arial"/>
        <family val="2"/>
      </rPr>
      <t>300</t>
    </r>
    <r>
      <rPr>
        <sz val="11"/>
        <rFont val="宋体"/>
        <family val="3"/>
        <charset val="134"/>
      </rPr>
      <t>米，距离国家图书馆站（</t>
    </r>
    <r>
      <rPr>
        <sz val="11"/>
        <rFont val="Arial"/>
        <family val="2"/>
      </rPr>
      <t>4</t>
    </r>
    <r>
      <rPr>
        <sz val="11"/>
        <rFont val="宋体"/>
        <family val="3"/>
        <charset val="134"/>
      </rPr>
      <t>、</t>
    </r>
    <r>
      <rPr>
        <sz val="11"/>
        <rFont val="Arial"/>
        <family val="2"/>
      </rPr>
      <t>9</t>
    </r>
    <r>
      <rPr>
        <sz val="11"/>
        <rFont val="宋体"/>
        <family val="3"/>
        <charset val="134"/>
      </rPr>
      <t>、</t>
    </r>
    <r>
      <rPr>
        <sz val="11"/>
        <rFont val="Arial"/>
        <family val="2"/>
      </rPr>
      <t>16</t>
    </r>
    <r>
      <rPr>
        <sz val="11"/>
        <rFont val="宋体"/>
        <family val="3"/>
        <charset val="134"/>
      </rPr>
      <t>换乘站）约</t>
    </r>
    <r>
      <rPr>
        <sz val="11"/>
        <rFont val="Arial"/>
        <family val="2"/>
      </rPr>
      <t>1000</t>
    </r>
    <r>
      <rPr>
        <sz val="11"/>
        <rFont val="宋体"/>
        <family val="3"/>
        <charset val="134"/>
      </rPr>
      <t>米，有</t>
    </r>
    <r>
      <rPr>
        <sz val="11"/>
        <rFont val="Arial"/>
        <family val="2"/>
      </rPr>
      <t>74</t>
    </r>
    <r>
      <rPr>
        <sz val="11"/>
        <rFont val="宋体"/>
        <family val="3"/>
        <charset val="134"/>
      </rPr>
      <t>路、</t>
    </r>
    <r>
      <rPr>
        <sz val="11"/>
        <rFont val="Arial"/>
        <family val="2"/>
      </rPr>
      <t>300</t>
    </r>
    <r>
      <rPr>
        <sz val="11"/>
        <rFont val="宋体"/>
        <family val="3"/>
        <charset val="134"/>
      </rPr>
      <t>路、</t>
    </r>
    <r>
      <rPr>
        <sz val="11"/>
        <rFont val="Arial"/>
        <family val="2"/>
      </rPr>
      <t>323</t>
    </r>
    <r>
      <rPr>
        <sz val="11"/>
        <rFont val="宋体"/>
        <family val="3"/>
        <charset val="134"/>
      </rPr>
      <t>路、</t>
    </r>
    <r>
      <rPr>
        <sz val="11"/>
        <rFont val="Arial"/>
        <family val="2"/>
      </rPr>
      <t>394</t>
    </r>
    <r>
      <rPr>
        <sz val="11"/>
        <rFont val="宋体"/>
        <family val="3"/>
        <charset val="134"/>
      </rPr>
      <t>路等公交线路，停车便捷度较好</t>
    </r>
    <phoneticPr fontId="31"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</si>
  <si>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</si>
  <si>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t xml:space="preserve">自然环境：紫竹院公园、北京动物园
人文环境：国家图书馆。
综上，环境状况好。
</t>
  </si>
  <si>
    <t xml:space="preserve">自然环境：紫竹院公园、南长河公园
人文环境：国家图书馆。
综上，环境状况好。
</t>
    <phoneticPr fontId="31" type="noConversion"/>
  </si>
  <si>
    <r>
      <rPr>
        <sz val="11"/>
        <rFont val="宋体"/>
        <family val="3"/>
        <charset val="134"/>
      </rPr>
      <t>周边有紫竹院路、西三环北路等，距离</t>
    </r>
    <r>
      <rPr>
        <sz val="11"/>
        <rFont val="Arial"/>
        <family val="2"/>
      </rPr>
      <t>16</t>
    </r>
    <r>
      <rPr>
        <sz val="11"/>
        <rFont val="宋体"/>
        <family val="3"/>
        <charset val="134"/>
      </rPr>
      <t>号线万寿寺站约</t>
    </r>
    <r>
      <rPr>
        <sz val="11"/>
        <rFont val="Arial"/>
        <family val="2"/>
      </rPr>
      <t>500</t>
    </r>
    <r>
      <rPr>
        <sz val="11"/>
        <rFont val="宋体"/>
        <family val="3"/>
        <charset val="134"/>
      </rPr>
      <t>米，距离国家图书馆站（</t>
    </r>
    <r>
      <rPr>
        <sz val="11"/>
        <rFont val="Arial"/>
        <family val="2"/>
      </rPr>
      <t>4</t>
    </r>
    <r>
      <rPr>
        <sz val="11"/>
        <rFont val="宋体"/>
        <family val="3"/>
        <charset val="134"/>
      </rPr>
      <t>、</t>
    </r>
    <r>
      <rPr>
        <sz val="11"/>
        <rFont val="Arial"/>
        <family val="2"/>
      </rPr>
      <t>9</t>
    </r>
    <r>
      <rPr>
        <sz val="11"/>
        <rFont val="宋体"/>
        <family val="3"/>
        <charset val="134"/>
      </rPr>
      <t>、</t>
    </r>
    <r>
      <rPr>
        <sz val="11"/>
        <rFont val="Arial"/>
        <family val="2"/>
      </rPr>
      <t>16</t>
    </r>
    <r>
      <rPr>
        <sz val="11"/>
        <rFont val="宋体"/>
        <family val="3"/>
        <charset val="134"/>
      </rPr>
      <t>换乘站）约</t>
    </r>
    <r>
      <rPr>
        <sz val="11"/>
        <rFont val="Arial"/>
        <family val="2"/>
      </rPr>
      <t>900</t>
    </r>
    <r>
      <rPr>
        <sz val="11"/>
        <rFont val="宋体"/>
        <family val="3"/>
        <charset val="134"/>
      </rPr>
      <t>米，有</t>
    </r>
    <r>
      <rPr>
        <sz val="11"/>
        <rFont val="Arial"/>
        <family val="2"/>
      </rPr>
      <t>74</t>
    </r>
    <r>
      <rPr>
        <sz val="11"/>
        <rFont val="宋体"/>
        <family val="3"/>
        <charset val="134"/>
      </rPr>
      <t>路、</t>
    </r>
    <r>
      <rPr>
        <sz val="11"/>
        <rFont val="Arial"/>
        <family val="2"/>
      </rPr>
      <t>300</t>
    </r>
    <r>
      <rPr>
        <sz val="11"/>
        <rFont val="宋体"/>
        <family val="3"/>
        <charset val="134"/>
      </rPr>
      <t>路、</t>
    </r>
    <r>
      <rPr>
        <sz val="11"/>
        <rFont val="Arial"/>
        <family val="2"/>
      </rPr>
      <t>323</t>
    </r>
    <r>
      <rPr>
        <sz val="11"/>
        <rFont val="宋体"/>
        <family val="3"/>
        <charset val="134"/>
      </rPr>
      <t>路、</t>
    </r>
    <r>
      <rPr>
        <sz val="11"/>
        <rFont val="Arial"/>
        <family val="2"/>
      </rPr>
      <t>394</t>
    </r>
    <r>
      <rPr>
        <sz val="11"/>
        <rFont val="宋体"/>
        <family val="3"/>
        <charset val="134"/>
      </rPr>
      <t>路等公交线路，交通便捷度好</t>
    </r>
    <phoneticPr fontId="31" type="noConversion"/>
  </si>
  <si>
    <t>紧临城市主干道——紫竹院路，临近城市快速路——西三环北路，距离16号线万寿寺站约500米，距离国家图书馆站（4、9、16换乘站）约900米，有74路、300路、323路、394路等公交线路，交通便捷度好。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</si>
</sst>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0" fontId="98" fillId="6" borderId="1" xfId="0" applyNumberFormat="1"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69" fillId="0" borderId="49" xfId="0" applyFont="1" applyBorder="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270" fillId="0" borderId="39"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2" fontId="53" fillId="0" borderId="49"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21</xdr:row>
      <xdr:rowOff>92783</xdr:rowOff>
    </xdr:to>
    <xdr:pic>
      <xdr:nvPicPr>
        <xdr:cNvPr id="2" name="图片 1">
          <a:extLst>
            <a:ext uri="{FF2B5EF4-FFF2-40B4-BE49-F238E27FC236}">
              <a16:creationId xmlns:a16="http://schemas.microsoft.com/office/drawing/2014/main" xmlns="" id="{19747F0E-FE78-4881-B7CF-7553396052D1}"/>
            </a:ext>
          </a:extLst>
        </xdr:cNvPr>
        <xdr:cNvPicPr>
          <a:picLocks noChangeAspect="1"/>
        </xdr:cNvPicPr>
      </xdr:nvPicPr>
      <xdr:blipFill>
        <a:blip xmlns:r="http://schemas.openxmlformats.org/officeDocument/2006/relationships" r:embed="rId1"/>
        <a:stretch>
          <a:fillRect/>
        </a:stretch>
      </xdr:blipFill>
      <xdr:spPr>
        <a:xfrm>
          <a:off x="0" y="0"/>
          <a:ext cx="7543800" cy="3693233"/>
        </a:xfrm>
        <a:prstGeom prst="rect">
          <a:avLst/>
        </a:prstGeom>
      </xdr:spPr>
    </xdr:pic>
    <xdr:clientData/>
  </xdr:twoCellAnchor>
  <xdr:twoCellAnchor editAs="oneCell">
    <xdr:from>
      <xdr:col>10</xdr:col>
      <xdr:colOff>647700</xdr:colOff>
      <xdr:row>0</xdr:row>
      <xdr:rowOff>9525</xdr:rowOff>
    </xdr:from>
    <xdr:to>
      <xdr:col>14</xdr:col>
      <xdr:colOff>618786</xdr:colOff>
      <xdr:row>4</xdr:row>
      <xdr:rowOff>38011</xdr:rowOff>
    </xdr:to>
    <xdr:pic>
      <xdr:nvPicPr>
        <xdr:cNvPr id="3" name="图片 2">
          <a:extLst>
            <a:ext uri="{FF2B5EF4-FFF2-40B4-BE49-F238E27FC236}">
              <a16:creationId xmlns:a16="http://schemas.microsoft.com/office/drawing/2014/main" xmlns="" id="{2850FA31-9BE5-47D1-80C5-B90684F1C10E}"/>
            </a:ext>
          </a:extLst>
        </xdr:cNvPr>
        <xdr:cNvPicPr>
          <a:picLocks noChangeAspect="1"/>
        </xdr:cNvPicPr>
      </xdr:nvPicPr>
      <xdr:blipFill>
        <a:blip xmlns:r="http://schemas.openxmlformats.org/officeDocument/2006/relationships" r:embed="rId2"/>
        <a:stretch>
          <a:fillRect/>
        </a:stretch>
      </xdr:blipFill>
      <xdr:spPr>
        <a:xfrm>
          <a:off x="7505700" y="9525"/>
          <a:ext cx="2714286" cy="714286"/>
        </a:xfrm>
        <a:prstGeom prst="rect">
          <a:avLst/>
        </a:prstGeom>
      </xdr:spPr>
    </xdr:pic>
    <xdr:clientData/>
  </xdr:twoCellAnchor>
  <xdr:twoCellAnchor editAs="oneCell">
    <xdr:from>
      <xdr:col>0</xdr:col>
      <xdr:colOff>0</xdr:colOff>
      <xdr:row>22</xdr:row>
      <xdr:rowOff>142875</xdr:rowOff>
    </xdr:from>
    <xdr:to>
      <xdr:col>15</xdr:col>
      <xdr:colOff>132048</xdr:colOff>
      <xdr:row>53</xdr:row>
      <xdr:rowOff>75544</xdr:rowOff>
    </xdr:to>
    <xdr:pic>
      <xdr:nvPicPr>
        <xdr:cNvPr id="4" name="图片 3">
          <a:extLst>
            <a:ext uri="{FF2B5EF4-FFF2-40B4-BE49-F238E27FC236}">
              <a16:creationId xmlns:a16="http://schemas.microsoft.com/office/drawing/2014/main" xmlns="" id="{B936175C-2940-4E63-8939-88D47BD16515}"/>
            </a:ext>
          </a:extLst>
        </xdr:cNvPr>
        <xdr:cNvPicPr>
          <a:picLocks noChangeAspect="1"/>
        </xdr:cNvPicPr>
      </xdr:nvPicPr>
      <xdr:blipFill>
        <a:blip xmlns:r="http://schemas.openxmlformats.org/officeDocument/2006/relationships" r:embed="rId3"/>
        <a:stretch>
          <a:fillRect/>
        </a:stretch>
      </xdr:blipFill>
      <xdr:spPr>
        <a:xfrm>
          <a:off x="0" y="3914775"/>
          <a:ext cx="10419048" cy="5247619"/>
        </a:xfrm>
        <a:prstGeom prst="rect">
          <a:avLst/>
        </a:prstGeom>
      </xdr:spPr>
    </xdr:pic>
    <xdr:clientData/>
  </xdr:twoCellAnchor>
  <xdr:twoCellAnchor editAs="oneCell">
    <xdr:from>
      <xdr:col>12</xdr:col>
      <xdr:colOff>110598</xdr:colOff>
      <xdr:row>6</xdr:row>
      <xdr:rowOff>104774</xdr:rowOff>
    </xdr:from>
    <xdr:to>
      <xdr:col>20</xdr:col>
      <xdr:colOff>65846</xdr:colOff>
      <xdr:row>17</xdr:row>
      <xdr:rowOff>9251</xdr:rowOff>
    </xdr:to>
    <xdr:pic>
      <xdr:nvPicPr>
        <xdr:cNvPr id="5" name="图片 4">
          <a:extLst>
            <a:ext uri="{FF2B5EF4-FFF2-40B4-BE49-F238E27FC236}">
              <a16:creationId xmlns:a16="http://schemas.microsoft.com/office/drawing/2014/main" xmlns="" id="{F10671F4-0855-4633-9AEE-F83339530852}"/>
            </a:ext>
          </a:extLst>
        </xdr:cNvPr>
        <xdr:cNvPicPr>
          <a:picLocks noChangeAspect="1"/>
        </xdr:cNvPicPr>
      </xdr:nvPicPr>
      <xdr:blipFill>
        <a:blip xmlns:r="http://schemas.openxmlformats.org/officeDocument/2006/relationships" r:embed="rId4"/>
        <a:stretch>
          <a:fillRect/>
        </a:stretch>
      </xdr:blipFill>
      <xdr:spPr>
        <a:xfrm>
          <a:off x="8340198" y="1133474"/>
          <a:ext cx="5441648" cy="1790427"/>
        </a:xfrm>
        <a:prstGeom prst="rect">
          <a:avLst/>
        </a:prstGeom>
      </xdr:spPr>
    </xdr:pic>
    <xdr:clientData/>
  </xdr:twoCellAnchor>
  <xdr:twoCellAnchor editAs="oneCell">
    <xdr:from>
      <xdr:col>0</xdr:col>
      <xdr:colOff>0</xdr:colOff>
      <xdr:row>0</xdr:row>
      <xdr:rowOff>0</xdr:rowOff>
    </xdr:from>
    <xdr:to>
      <xdr:col>14</xdr:col>
      <xdr:colOff>684514</xdr:colOff>
      <xdr:row>267</xdr:row>
      <xdr:rowOff>51421</xdr:rowOff>
    </xdr:to>
    <xdr:pic>
      <xdr:nvPicPr>
        <xdr:cNvPr id="6" name="图片 5">
          <a:extLst>
            <a:ext uri="{FF2B5EF4-FFF2-40B4-BE49-F238E27FC236}">
              <a16:creationId xmlns:a16="http://schemas.microsoft.com/office/drawing/2014/main" xmlns="" id="{3CE4349F-6B18-4DCC-A662-05ABBE308299}"/>
            </a:ext>
          </a:extLst>
        </xdr:cNvPr>
        <xdr:cNvPicPr>
          <a:picLocks noChangeAspect="1"/>
        </xdr:cNvPicPr>
      </xdr:nvPicPr>
      <xdr:blipFill>
        <a:blip xmlns:r="http://schemas.openxmlformats.org/officeDocument/2006/relationships" r:embed="rId5"/>
        <a:stretch>
          <a:fillRect/>
        </a:stretch>
      </xdr:blipFill>
      <xdr:spPr>
        <a:xfrm>
          <a:off x="0" y="0"/>
          <a:ext cx="10285714" cy="4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估价对象为北京市房地产，为所有。根据《国有土地使用证》[]，估价对象（分摊）出让国有建设用地使用权面积为0平方米，建筑面积为29.35平方米。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估价对象为北京市房地产,属开发建设的，该项目尚在开发建设中。根据《国有土地使用证》[]，估价对象（分摊）出让国有建设用地使用权面积为0平方米，规划建筑面积为29.35平方米。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2023年3月27日（评估专业人员实地查勘之日）</v>
      </c>
    </row>
    <row r="13" spans="1:2" s="1203" customFormat="1">
      <c r="A13" s="1201" t="s">
        <v>529</v>
      </c>
      <c r="B13" s="1202" t="str">
        <f>'预评函-1'!A18</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29.35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2578</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2579</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499" t="s">
        <v>2581</v>
      </c>
      <c r="J2" s="3499"/>
      <c r="K2" s="3499"/>
      <c r="L2" s="3499"/>
      <c r="M2" s="3499"/>
      <c r="N2" s="3499"/>
      <c r="O2" s="3499"/>
      <c r="P2" s="3499"/>
      <c r="Q2" s="3499"/>
      <c r="R2" s="3499"/>
    </row>
    <row r="3" spans="1:18">
      <c r="A3" s="3018" t="s">
        <v>2502</v>
      </c>
      <c r="B3" s="3019">
        <f>项目基本情况!D3</f>
        <v>45012</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3.73</v>
      </c>
      <c r="D5" s="3023">
        <f>IF(ISERROR(ROUND(POWER(1+E5,A5-C5)*(POWER(1+E5,C5)-1)/(POWER(1+E5,A5)-1),3)),0,ROUND(POWER(1+E5,A5-C5)*(POWER(1+E5,C5)-1)/(POWER(1+E5,A5)-1),4))</f>
        <v>0.1719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13.74</v>
      </c>
      <c r="D6" s="3023">
        <f>IF(ISERROR(ROUND(POWER(1+E6,A6-C6)*(POWER(1+E6,C6)-1)/(POWER(1+E6,A6)-1),3)),0,ROUND(POWER(1+E6,A6-C6)*(POWER(1+E6,C6)-1)/(POWER(1+E6,A6)-1),4))</f>
        <v>0.48480000000000001</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33.75</v>
      </c>
      <c r="D7" s="3023">
        <f>IF(ISERROR(ROUND(POWER(1+E7,A7-C7)*(POWER(1+E7,C7)-1)/(POWER(1+E7,A7)-1),3)),0,ROUND(POWER(1+E7,A7-C7)*(POWER(1+E7,C7)-1)/(POWER(1+E7,A7)-1),4))</f>
        <v>0.78420000000000001</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北京市房地产市场价值预评估</v>
      </c>
      <c r="C1" s="3509"/>
      <c r="D1" s="3509"/>
      <c r="E1" s="3509"/>
      <c r="F1" s="3509"/>
      <c r="G1" s="3509"/>
      <c r="H1" s="3509"/>
      <c r="I1" s="3510"/>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45012</v>
      </c>
      <c r="C3" s="2374" t="s">
        <v>2171</v>
      </c>
      <c r="D3" s="2373">
        <v>45012</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11" t="s">
        <v>2177</v>
      </c>
      <c r="E8" s="2391"/>
      <c r="F8" s="2392"/>
      <c r="G8" s="2661"/>
      <c r="H8" s="2661"/>
      <c r="I8" s="2661"/>
      <c r="J8" s="2439"/>
      <c r="K8" s="2612"/>
      <c r="L8" s="2611"/>
      <c r="M8" s="2611"/>
      <c r="N8" s="2439"/>
      <c r="O8" s="2450"/>
      <c r="P8" s="2439"/>
      <c r="Q8" s="2439"/>
      <c r="R8" s="2439"/>
    </row>
    <row r="9" spans="1:30" ht="13.5" thickBot="1">
      <c r="A9" s="2393" t="s">
        <v>2178</v>
      </c>
      <c r="B9" s="2394" t="s">
        <v>3377</v>
      </c>
      <c r="C9" s="2395"/>
      <c r="D9" s="3512"/>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t="s">
        <v>3395</v>
      </c>
      <c r="M12" s="2439"/>
      <c r="N12" s="2450"/>
      <c r="O12" s="2439"/>
      <c r="P12" s="2439"/>
      <c r="Q12" s="2439"/>
      <c r="AD12" s="1745"/>
    </row>
    <row r="13" spans="1:30">
      <c r="A13" s="3421" t="s">
        <v>3337</v>
      </c>
      <c r="B13" s="2407" t="s">
        <v>2190</v>
      </c>
      <c r="C13" s="856"/>
      <c r="D13" s="856"/>
      <c r="E13" s="856"/>
      <c r="F13" s="856">
        <v>54502</v>
      </c>
      <c r="G13" s="856"/>
      <c r="H13" s="856"/>
      <c r="I13" s="856"/>
      <c r="J13" s="3060"/>
      <c r="K13" s="2611"/>
      <c r="L13" s="2611" t="s">
        <v>3396</v>
      </c>
      <c r="M13" s="2439"/>
      <c r="N13" s="2450"/>
      <c r="O13" s="2439"/>
      <c r="P13" s="2439"/>
      <c r="Q13" s="2439"/>
      <c r="AD13" s="1745"/>
    </row>
    <row r="14" spans="1:30">
      <c r="A14" s="1081"/>
      <c r="B14" s="2407" t="s">
        <v>2191</v>
      </c>
      <c r="C14" s="2408"/>
      <c r="D14" s="2408"/>
      <c r="E14" s="2408"/>
      <c r="F14" s="2408">
        <v>50</v>
      </c>
      <c r="G14" s="2408"/>
      <c r="H14" s="2408"/>
      <c r="I14" s="2408"/>
      <c r="J14" s="3061"/>
      <c r="K14" s="2611"/>
      <c r="L14" s="2611">
        <f>L13+50</f>
        <v>2049</v>
      </c>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26</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8"/>
      <c r="C16" s="3519"/>
      <c r="D16" s="3520"/>
      <c r="E16" s="2413" t="s">
        <v>2194</v>
      </c>
      <c r="F16" s="3521"/>
      <c r="G16" s="3522"/>
      <c r="H16" s="3522"/>
      <c r="I16" s="3523"/>
      <c r="J16" s="2439"/>
      <c r="K16" s="2615"/>
      <c r="L16" s="2451"/>
      <c r="M16" s="2451"/>
      <c r="N16" s="2507"/>
      <c r="O16" s="2451"/>
      <c r="P16" s="2507"/>
      <c r="Q16" s="2439"/>
      <c r="R16" s="2439"/>
    </row>
    <row r="17" spans="1:28">
      <c r="A17" s="313" t="s">
        <v>2195</v>
      </c>
      <c r="B17" s="302" t="s">
        <v>2196</v>
      </c>
      <c r="C17" s="8">
        <f>'数据-汇总表'!E3</f>
        <v>29.35</v>
      </c>
      <c r="D17" s="2322" t="s">
        <v>2197</v>
      </c>
      <c r="E17" s="3524" t="s">
        <v>2198</v>
      </c>
      <c r="F17" s="3525"/>
      <c r="G17" s="3525"/>
      <c r="H17" s="3525"/>
      <c r="I17" s="3526"/>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7" t="s">
        <v>2202</v>
      </c>
      <c r="F18" s="3528"/>
      <c r="G18" s="3528"/>
      <c r="H18" s="3528"/>
      <c r="I18" s="3529"/>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4" t="s">
        <v>2206</v>
      </c>
      <c r="C20" s="3515"/>
      <c r="D20" s="3516" t="s">
        <v>2207</v>
      </c>
      <c r="E20" s="3517"/>
      <c r="F20" s="2645" t="s">
        <v>1056</v>
      </c>
      <c r="G20" s="2662"/>
      <c r="H20" s="2662"/>
      <c r="I20" s="2662"/>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01"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01"/>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01"/>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02"/>
      <c r="B30" s="302" t="s">
        <v>2218</v>
      </c>
      <c r="C30" s="3503"/>
      <c r="D30" s="3504"/>
      <c r="E30" s="2662"/>
      <c r="F30" s="2662"/>
      <c r="G30" s="2662"/>
      <c r="H30" s="2662"/>
      <c r="I30" s="2662"/>
      <c r="J30" s="2439"/>
      <c r="K30" s="2614"/>
      <c r="L30" s="2611"/>
      <c r="M30" s="2611"/>
      <c r="N30" s="2439"/>
      <c r="O30" s="2450"/>
      <c r="P30" s="2439"/>
      <c r="Q30" s="2439"/>
      <c r="R30" s="2439"/>
      <c r="S30" s="2439"/>
      <c r="T30" s="2439"/>
      <c r="U30" s="2439"/>
      <c r="V30" s="2439"/>
    </row>
    <row r="31" spans="1:28">
      <c r="A31" s="3505"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00" t="s">
        <v>2228</v>
      </c>
      <c r="T34" s="2428" t="str">
        <f>NUMBERSTRING(7-K34,1)&amp;"通"</f>
        <v>七通</v>
      </c>
      <c r="U34" s="2439"/>
      <c r="V34" s="2439"/>
    </row>
    <row r="35" spans="1:30">
      <c r="A35" s="2429"/>
      <c r="B35" s="3507" t="s">
        <v>2229</v>
      </c>
      <c r="C35" s="3507"/>
      <c r="D35" s="3507"/>
      <c r="E35" s="3507"/>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t="s">
        <v>184</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t="s">
        <v>111</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29.35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29.35</v>
      </c>
      <c r="H5" s="13">
        <f t="shared" ref="H5:AT5" si="0">SUM(H13:H656)</f>
        <v>29.35</v>
      </c>
      <c r="I5" s="13">
        <f t="shared" si="0"/>
        <v>29.35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29.35</v>
      </c>
      <c r="BA5" s="15">
        <f t="shared" si="1"/>
        <v>29.35</v>
      </c>
      <c r="BB5" s="15">
        <f t="shared" si="1"/>
        <v>29.35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29.35</v>
      </c>
      <c r="H13" s="17">
        <f>SUMIF(I$12:AB$12,"总值",I13:AB13)</f>
        <v>29.35</v>
      </c>
      <c r="I13" s="1626">
        <v>29.35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29.35</v>
      </c>
      <c r="BA13" s="13">
        <f>SUM(BB13:BK13)</f>
        <v>29.35</v>
      </c>
      <c r="BB13" s="13">
        <f>IF($D13="是",I13-J13,0)</f>
        <v>29.35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A19" sqref="A19:XFD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7"/>
      <c r="G2" s="2648"/>
      <c r="H2" s="2649"/>
      <c r="I2" s="2325" t="s">
        <v>1132</v>
      </c>
      <c r="J2" s="2657"/>
      <c r="K2" s="2657"/>
      <c r="L2" s="2657"/>
      <c r="M2" s="2657"/>
      <c r="N2" s="2659"/>
      <c r="O2" s="2657"/>
      <c r="P2" s="2657"/>
    </row>
    <row r="3" spans="1:16" ht="15.75" thickBot="1">
      <c r="A3" s="3540" t="s">
        <v>1105</v>
      </c>
      <c r="B3" s="3540"/>
      <c r="C3" s="3540"/>
      <c r="D3" s="43">
        <f>'数据-基础表'!AY6</f>
        <v>0</v>
      </c>
      <c r="E3" s="43">
        <f>'数据-基础表'!AZ5</f>
        <v>29.35</v>
      </c>
      <c r="F3" s="2657"/>
      <c r="G3" s="1145"/>
      <c r="H3" s="1026" t="s">
        <v>1106</v>
      </c>
      <c r="I3" s="855" t="e">
        <f>ROUND('数据-基础表'!B3/'数据-基础表'!A3,2)</f>
        <v>#DIV/0!</v>
      </c>
      <c r="J3" s="2657"/>
      <c r="K3" s="2657"/>
      <c r="L3" s="2657"/>
      <c r="M3" s="2657"/>
      <c r="N3" s="2659"/>
      <c r="O3" s="2657"/>
      <c r="P3" s="2657"/>
    </row>
    <row r="4" spans="1:16" ht="15">
      <c r="A4" s="3541"/>
      <c r="B4" s="3542"/>
      <c r="C4" s="3543"/>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4" t="s">
        <v>1110</v>
      </c>
      <c r="C5" s="3544"/>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4" t="s">
        <v>1111</v>
      </c>
      <c r="C6" s="3544"/>
      <c r="D6" s="45">
        <f>ROUND($D$3*E6/$E$3,2)</f>
        <v>0</v>
      </c>
      <c r="E6" s="46">
        <f>E3-E5</f>
        <v>29.35</v>
      </c>
      <c r="F6" s="2657"/>
      <c r="G6" s="2651" t="s">
        <v>1112</v>
      </c>
      <c r="H6" s="1146" t="s">
        <v>1113</v>
      </c>
      <c r="I6" s="2652" t="e">
        <f>ROUND(F31/D31,2)</f>
        <v>#DIV/0!</v>
      </c>
      <c r="J6" s="2657"/>
      <c r="K6" s="2657"/>
      <c r="L6" s="2657"/>
      <c r="M6" s="2657"/>
      <c r="N6" s="2657"/>
      <c r="O6" s="2657"/>
      <c r="P6" s="2657"/>
    </row>
    <row r="7" spans="1:16" ht="15.75" thickBot="1">
      <c r="A7" s="3536"/>
      <c r="B7" s="3537"/>
      <c r="C7" s="3538"/>
      <c r="D7" s="1641" t="s">
        <v>1107</v>
      </c>
      <c r="E7" s="1645" t="s">
        <v>1114</v>
      </c>
      <c r="F7" s="2657"/>
      <c r="G7" s="2653" t="s">
        <v>1115</v>
      </c>
      <c r="H7" s="2654"/>
      <c r="I7" s="2655">
        <v>2.4</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29.35</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29.35</v>
      </c>
      <c r="F16" s="2657"/>
      <c r="G16" s="2658"/>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3383</v>
      </c>
      <c r="D19" s="45">
        <f>ROUND($D$3*E19/$E$3,2)</f>
        <v>0</v>
      </c>
      <c r="E19" s="53">
        <f t="shared" ref="E19:E26" si="1">SUM(F19:G19)</f>
        <v>29.35</v>
      </c>
      <c r="F19" s="2793"/>
      <c r="G19" s="2794">
        <f>'数据-基础表'!I13</f>
        <v>29.35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29.35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29.35</v>
      </c>
      <c r="F27" s="1140">
        <f>IF(SUM(F19:F26)=E8,SUM(F19:F26),"地上面积有误")</f>
        <v>0</v>
      </c>
      <c r="G27" s="1142">
        <f>SUM(G19:G26)</f>
        <v>29.35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29.35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29.35</v>
      </c>
      <c r="F31" s="677">
        <f>F27+F30</f>
        <v>0</v>
      </c>
      <c r="G31" s="678">
        <f>G27+G30</f>
        <v>29.35</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3338</v>
      </c>
      <c r="D6" s="858">
        <f>SUMIF(项目基本情况!C$12:I$12,C6,项目基本情况!C$14:I$14)</f>
        <v>50</v>
      </c>
      <c r="E6" s="857">
        <f>IF(B6="","",SUMIF(项目基本情况!C$12:I$12,C6,项目基本情况!C$13:I$13))</f>
        <v>54502</v>
      </c>
      <c r="F6" s="64">
        <f>SUMIF(项目基本情况!C$12:I$12,C6,项目基本情况!C$15:I$15)</f>
        <v>26</v>
      </c>
      <c r="G6" s="65">
        <f>IF(ISERROR(ROUND(POWER(1+H6,D6-F6)*(POWER(1+H6,F6)-1)/(POWER(1+H6,D6)-1),3)),0,ROUND(POWER(1+H6,D6-F6)*(POWER(1+H6,F6)-1)/(POWER(1+H6,D6)-1),3))</f>
        <v>0.74399999999999999</v>
      </c>
      <c r="H6" s="732">
        <v>0.04</v>
      </c>
      <c r="I6" s="732">
        <v>3.5000000000000003E-2</v>
      </c>
      <c r="J6" s="66">
        <v>5.5E-2</v>
      </c>
      <c r="K6" s="1030">
        <f>SUMIF('数据-汇总表'!C$19:C$33,A6,'数据-汇总表'!E$19:E$33)</f>
        <v>29.35</v>
      </c>
      <c r="L6" s="733">
        <v>3000</v>
      </c>
      <c r="M6" s="67">
        <f t="shared" ref="M6:M14" si="0">ROUND(K6*L6/10000,0)</f>
        <v>9</v>
      </c>
      <c r="N6" s="731">
        <v>0.71499999999999997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v>1400</v>
      </c>
      <c r="V6" s="70">
        <v>2.5000000000000001E-2</v>
      </c>
      <c r="W6" s="70">
        <v>0.05</v>
      </c>
      <c r="X6" s="1040"/>
      <c r="Y6" s="71">
        <f>N6</f>
        <v>0.71499999999999997</v>
      </c>
      <c r="Z6" s="72"/>
      <c r="AA6" s="66"/>
      <c r="AB6" s="66"/>
      <c r="AC6" s="1040"/>
      <c r="AD6" s="73"/>
      <c r="AE6" s="1041">
        <f ca="1">IF(AN6="",0,SUMIF(INDIRECT("'"&amp;AN6&amp;"'"&amp;"!E:E"),$AE$5,INDIRECT("'"&amp;AN6&amp;"'"&amp;"!F:F")))</f>
        <v>26</v>
      </c>
      <c r="AF6" s="1348"/>
      <c r="AG6" s="138">
        <f>IF(AF6="",0,AE6-AF6)</f>
        <v>0</v>
      </c>
      <c r="AH6" s="74">
        <v>1</v>
      </c>
      <c r="AI6" s="76">
        <v>12</v>
      </c>
      <c r="AJ6" s="77"/>
      <c r="AK6" s="78">
        <v>8.0000000000000002E-3</v>
      </c>
      <c r="AL6" s="79">
        <v>8.0000000000000004E-4</v>
      </c>
      <c r="AM6" s="80">
        <v>8.0000000000000002E-3</v>
      </c>
      <c r="AN6" s="1715" t="s">
        <v>3386</v>
      </c>
      <c r="AO6" s="52">
        <f ca="1">SUMIF(INDIRECT("'"&amp;AN6&amp;"'"&amp;"!A:A"),"总价",INDIRECT("'"&amp;AN6&amp;"'"&amp;"!B:B"))</f>
        <v>32.198599999999999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0.74399999999999999</v>
      </c>
      <c r="H16" s="90">
        <f>ROUND(SUMPRODUCT(H6:H13,K6:K13)/SUMPRODUCT((H6:H13&gt;0)*(K6:K13)),3)</f>
        <v>0.04</v>
      </c>
      <c r="I16" s="91"/>
      <c r="J16" s="91"/>
      <c r="K16" s="92">
        <f>SUM(K6:K15)</f>
        <v>29.35</v>
      </c>
      <c r="L16" s="93">
        <f>ROUND(M16*10000/SUM(K6:K14),0)</f>
        <v>3066</v>
      </c>
      <c r="M16" s="93">
        <f>SUM(M6:M14)</f>
        <v>9</v>
      </c>
      <c r="N16" s="94">
        <f>ROUND(SUMPRODUCT(M6:M14,N6:N14)/M16,3)</f>
        <v>0.71499999999999997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ROUND(1-(2023-2001)/60,2)</f>
        <v>0.63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5870</v>
      </c>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3397</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7" sqref="E7"/>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5" t="s">
        <v>2284</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3449" t="s">
        <v>3402</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84">
      <c r="A6" s="2442"/>
      <c r="B6" s="323" t="s">
        <v>2262</v>
      </c>
      <c r="C6" s="3450" t="s">
        <v>3431</v>
      </c>
      <c r="D6" s="2464"/>
      <c r="E6" s="2468"/>
      <c r="F6" s="323" t="s">
        <v>2263</v>
      </c>
      <c r="G6" s="2469" t="s">
        <v>2264</v>
      </c>
      <c r="H6" s="799"/>
      <c r="I6" s="799"/>
      <c r="J6" s="799"/>
      <c r="K6" s="799"/>
      <c r="L6" s="799"/>
      <c r="M6" s="799"/>
      <c r="N6" s="799"/>
      <c r="O6" s="799"/>
      <c r="P6" s="799"/>
      <c r="Q6" s="799"/>
      <c r="R6" s="799"/>
    </row>
    <row r="7" spans="1:29" ht="180.75" thickBot="1">
      <c r="A7" s="2442"/>
      <c r="B7" s="323" t="s">
        <v>2260</v>
      </c>
      <c r="C7" s="3450" t="s">
        <v>3403</v>
      </c>
      <c r="D7" s="2470"/>
      <c r="E7" s="2471"/>
      <c r="F7" s="2472" t="s">
        <v>2265</v>
      </c>
      <c r="G7" s="2473" t="s">
        <v>2266</v>
      </c>
      <c r="H7" s="799"/>
      <c r="I7" s="799"/>
      <c r="J7" s="799"/>
      <c r="K7" s="799"/>
      <c r="L7" s="799"/>
      <c r="M7" s="799"/>
      <c r="N7" s="799"/>
      <c r="O7" s="799"/>
      <c r="P7" s="799"/>
      <c r="Q7" s="799"/>
      <c r="R7" s="799"/>
    </row>
    <row r="8" spans="1:29">
      <c r="A8" s="2442"/>
      <c r="B8" s="323" t="s">
        <v>2263</v>
      </c>
      <c r="C8" s="2469" t="s">
        <v>2264</v>
      </c>
      <c r="D8" s="2470"/>
      <c r="E8" s="2470"/>
      <c r="F8" s="2474"/>
      <c r="G8" s="2474"/>
      <c r="H8" s="799"/>
      <c r="I8" s="799"/>
      <c r="J8" s="799"/>
      <c r="K8" s="799"/>
      <c r="L8" s="799"/>
      <c r="M8" s="799"/>
      <c r="N8" s="799"/>
      <c r="O8" s="799"/>
      <c r="P8" s="799"/>
      <c r="Q8" s="799"/>
      <c r="R8" s="799"/>
    </row>
    <row r="9" spans="1:29" ht="60">
      <c r="A9" s="2442"/>
      <c r="B9" s="323" t="s">
        <v>2267</v>
      </c>
      <c r="C9" s="3451" t="s">
        <v>3404</v>
      </c>
      <c r="D9" s="2464"/>
      <c r="E9" s="2470"/>
      <c r="F9" s="2474"/>
      <c r="G9" s="2474"/>
      <c r="H9" s="799"/>
      <c r="I9" s="799"/>
      <c r="J9" s="799"/>
      <c r="K9" s="799"/>
      <c r="L9" s="799"/>
      <c r="M9" s="799"/>
      <c r="N9" s="799"/>
      <c r="O9" s="799"/>
      <c r="P9" s="799"/>
      <c r="Q9" s="799"/>
      <c r="R9" s="799"/>
    </row>
    <row r="10" spans="1:29" s="2479" customFormat="1" ht="15" thickBot="1">
      <c r="A10" s="2443"/>
      <c r="B10" s="2475" t="s">
        <v>2268</v>
      </c>
      <c r="C10" s="3452" t="s">
        <v>3405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51">
      <c r="A15" s="2444" t="s">
        <v>2271</v>
      </c>
      <c r="B15" s="2495" t="s">
        <v>2252</v>
      </c>
      <c r="C15" s="2496" t="str">
        <f>C3</f>
        <v>周边有紫竹院路62号院、三虎桥5号院、世纪新景园、紫竹花园等住宅小区，住宅小区较集中，居住社区成熟度较好。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89.25">
      <c r="A18" s="2446"/>
      <c r="B18" s="2500" t="s">
        <v>2262</v>
      </c>
      <c r="C18" s="2501" t="str">
        <f>C6</f>
        <v>紧临城市主干道——紫竹院路，临近城市快速路——西三环北路，距离16号线万寿寺站约500米，距离国家图书馆站（4、9、16换乘站）约900米，有74路、300路、323路、394路等公交线路，交通便捷度好。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63.75">
      <c r="A20" s="2446"/>
      <c r="B20" s="2500" t="s">
        <v>2276</v>
      </c>
      <c r="C20" s="2499" t="str">
        <f>C9</f>
        <v xml:space="preserve">自然环境：紫竹院公园、北京动物园
人文环境：国家图书馆。
综上，环境状况好。
</v>
      </c>
      <c r="D20" s="2470"/>
      <c r="E20" s="2447"/>
      <c r="F20" s="323" t="s">
        <v>2263</v>
      </c>
      <c r="G20" s="2501" t="str">
        <f>G6</f>
        <v>估价对象所在区域基础设施水平</v>
      </c>
    </row>
    <row r="21" spans="1:18" ht="191.25">
      <c r="A21" s="2446"/>
      <c r="B21" s="323" t="s">
        <v>2260</v>
      </c>
      <c r="C21" s="2501" t="str">
        <f>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1" s="2464"/>
      <c r="E21" s="2447"/>
      <c r="F21" s="2500" t="s">
        <v>2277</v>
      </c>
      <c r="G21" s="2503"/>
    </row>
    <row r="22" spans="1:18" ht="13.5" customHeight="1">
      <c r="A22" s="2446"/>
      <c r="B22" s="323" t="s">
        <v>2263</v>
      </c>
      <c r="C22" s="2501" t="str">
        <f>C8</f>
        <v>估价对象所在区域基础设施水平</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主干道-紫竹院路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29.35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56.906700000000001</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29.35</v>
      </c>
      <c r="C14" s="2516"/>
      <c r="D14" s="2516">
        <f ca="1">ROUND(E14*B14/10000,4)</f>
        <v>56.906700000000001</v>
      </c>
      <c r="E14" s="2516">
        <f ca="1">结果表!G20</f>
        <v>19389</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2" sqref="G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3411</v>
      </c>
      <c r="D4" s="1756" t="s">
        <v>3386</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8</v>
      </c>
      <c r="D14" s="3584">
        <f>10-C14</f>
        <v>2</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1" t="s">
        <v>2131</v>
      </c>
      <c r="F18" s="3572"/>
      <c r="G18" s="3572"/>
      <c r="H18" s="3572"/>
      <c r="I18" s="3572"/>
      <c r="K18" s="302" t="s">
        <v>1289</v>
      </c>
      <c r="L18" s="302">
        <f>IF(C1="",'数据-汇总表'!E3,SUMIF(项目类型,C1,'数据-汇总表'!E17:E26)+SUMIF(项目类型,C1,'数据-汇总表'!I17:I26))</f>
        <v>29.35</v>
      </c>
      <c r="M18" s="302">
        <f>IF(C1="",'数据-汇总表'!E3,SUMIF(项目类型,C1,'数据-汇总表'!E17:E26))</f>
        <v>29.35</v>
      </c>
    </row>
    <row r="19" spans="1:36" ht="15">
      <c r="A19" s="1761" t="s">
        <v>1290</v>
      </c>
      <c r="B19" s="1762" t="s">
        <v>1291</v>
      </c>
      <c r="C19" s="134">
        <f>'比较法-车位'!C38/10000</f>
        <v>63.0822</v>
      </c>
      <c r="D19" s="135">
        <f ca="1">SUMIF(INDIRECT("'"&amp;D4&amp;"'"&amp;"!A:A"),结果表!B19,INDIRECT("'"&amp;D4&amp;"'"&amp;"!B:B"))</f>
        <v>32.198599999999999</v>
      </c>
      <c r="E19" s="1761" t="s">
        <v>1292</v>
      </c>
      <c r="F19" s="1762" t="s">
        <v>1291</v>
      </c>
      <c r="G19" s="136">
        <f ca="1">ROUND(C19*$C$18+D19*$D$18,0)</f>
        <v>57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ROUND(C19*10000/'数据-汇总表'!G19,0)</f>
        <v>21493</v>
      </c>
      <c r="D20" s="138">
        <f ca="1">SUMIF(INDIRECT("'"&amp;D4&amp;"'"&amp;"!A:A"),结果表!B20,INDIRECT("'"&amp;D4&amp;"'"&amp;"!B:B"))</f>
        <v>10971</v>
      </c>
      <c r="E20" s="1764"/>
      <c r="F20" s="1026" t="s">
        <v>1295</v>
      </c>
      <c r="G20" s="139">
        <f ca="1">ROUND(C20*$C$18+D20*$D$18,0)</f>
        <v>19389</v>
      </c>
      <c r="H20" s="808" t="s">
        <v>1296</v>
      </c>
      <c r="I20" s="129"/>
    </row>
    <row r="21" spans="1:36" ht="15" customHeight="1" thickBot="1">
      <c r="A21" s="828"/>
      <c r="B21" s="1765" t="s">
        <v>1297</v>
      </c>
      <c r="C21" s="719" t="e">
        <f>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0.95915971501866548</v>
      </c>
      <c r="E22" s="129"/>
      <c r="F22" s="129"/>
      <c r="G22" s="129">
        <f ca="1">ROUND(G20*'数据-汇总表'!G19,0)</f>
        <v>569067</v>
      </c>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19389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t="e">
        <f ca="1">ROUND(H101*F45,0)</f>
        <v>#REF!</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1">
        <v>1</v>
      </c>
      <c r="K46" s="3611" t="s">
        <v>1331</v>
      </c>
      <c r="L46" s="3611"/>
      <c r="M46" s="3631"/>
      <c r="N46" s="3631"/>
      <c r="O46" s="3631"/>
    </row>
    <row r="47" spans="1:15" ht="12" customHeight="1">
      <c r="A47" s="160" t="s">
        <v>1332</v>
      </c>
      <c r="B47" s="161"/>
      <c r="C47" s="162"/>
      <c r="D47" s="1087" t="s">
        <v>1333</v>
      </c>
      <c r="E47" s="302" t="s">
        <v>1334</v>
      </c>
      <c r="F47" s="163" t="s">
        <v>1335</v>
      </c>
      <c r="G47" s="2544" t="s">
        <v>1336</v>
      </c>
      <c r="H47" s="2545"/>
      <c r="I47" s="159"/>
      <c r="J47" s="2521">
        <v>2</v>
      </c>
      <c r="K47" s="3611" t="s">
        <v>1337</v>
      </c>
      <c r="L47" s="3611"/>
      <c r="M47" s="3632">
        <f>'数据-取费表'!B2</f>
        <v>45012</v>
      </c>
      <c r="N47" s="3632"/>
      <c r="O47" s="3632"/>
    </row>
    <row r="48" spans="1:15" ht="25.5">
      <c r="A48" s="3580" t="s">
        <v>1338</v>
      </c>
      <c r="B48" s="3563"/>
      <c r="C48" s="3563"/>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11" t="s">
        <v>1340</v>
      </c>
      <c r="L48" s="3611"/>
      <c r="M48" s="3633" t="e">
        <f ca="1">H101</f>
        <v>#REF!</v>
      </c>
      <c r="N48" s="3633"/>
      <c r="O48" s="3633"/>
    </row>
    <row r="49" spans="1:35" ht="25.5" customHeight="1">
      <c r="A49" s="2333" t="s">
        <v>1341</v>
      </c>
      <c r="B49" s="3547" t="s">
        <v>1342</v>
      </c>
      <c r="C49" s="3547"/>
      <c r="D49" s="1590">
        <v>0</v>
      </c>
      <c r="E49" s="324" t="s">
        <v>1343</v>
      </c>
      <c r="F49" s="2424" t="s">
        <v>28</v>
      </c>
      <c r="G49" s="3617"/>
      <c r="H49" s="2310" t="s">
        <v>2134</v>
      </c>
      <c r="I49" s="2311"/>
      <c r="J49" s="2521">
        <v>4</v>
      </c>
      <c r="K49" s="3611" t="str">
        <f>IF(项目基本情况!E8="房地产抵押价值","房地产抵押价值","抵押担保权已注销时的房地产抵押价值")</f>
        <v>抵押担保权已注销时的房地产抵押价值</v>
      </c>
      <c r="L49" s="3611"/>
      <c r="M49" s="3633" t="str">
        <f>IF(项目基本情况!E8="房地产抵押价值",H107,H109)</f>
        <v>——</v>
      </c>
      <c r="N49" s="3633"/>
      <c r="O49" s="3633"/>
    </row>
    <row r="50" spans="1:35" ht="25.5" customHeight="1">
      <c r="A50" s="2549"/>
      <c r="B50" s="3547" t="s">
        <v>1344</v>
      </c>
      <c r="C50" s="3547"/>
      <c r="D50" s="2550"/>
      <c r="E50" s="332"/>
      <c r="F50" s="2424"/>
      <c r="G50" s="3618"/>
      <c r="H50" s="2312" t="s">
        <v>2135</v>
      </c>
      <c r="I50" s="2311"/>
      <c r="J50" s="3630" t="s">
        <v>1345</v>
      </c>
      <c r="K50" s="3630"/>
      <c r="L50" s="3630"/>
      <c r="M50" s="3630"/>
      <c r="N50" s="3630"/>
      <c r="O50" s="3630"/>
    </row>
    <row r="51" spans="1:35" ht="20.45" customHeight="1">
      <c r="A51" s="2551"/>
      <c r="B51" s="3547" t="s">
        <v>1346</v>
      </c>
      <c r="C51" s="3547"/>
      <c r="D51" s="1087"/>
      <c r="E51" s="327"/>
      <c r="F51" s="2424"/>
      <c r="G51" s="3619"/>
      <c r="H51" s="2312" t="s">
        <v>2136</v>
      </c>
      <c r="I51" s="2311"/>
      <c r="J51" s="2522" t="s">
        <v>1347</v>
      </c>
      <c r="K51" s="3611" t="s">
        <v>1348</v>
      </c>
      <c r="L51" s="3611"/>
      <c r="M51" s="2522" t="s">
        <v>1349</v>
      </c>
      <c r="N51" s="2522" t="s">
        <v>1350</v>
      </c>
      <c r="O51" s="2522" t="s">
        <v>1351</v>
      </c>
    </row>
    <row r="52" spans="1:35" ht="24" customHeight="1">
      <c r="A52" s="2335" t="s">
        <v>1352</v>
      </c>
      <c r="B52" s="3547" t="s">
        <v>1353</v>
      </c>
      <c r="C52" s="3547"/>
      <c r="D52" s="1087" t="e">
        <f ca="1">ROUND(D45*'数据-取费表'!B41/(1+'数据-取费表'!C42),0)</f>
        <v>#REF!</v>
      </c>
      <c r="E52" s="2334" t="s">
        <v>1354</v>
      </c>
      <c r="F52" s="2552">
        <f>'数据-取费表'!B41</f>
        <v>5.6000000000000001E-2</v>
      </c>
      <c r="G52" s="2553"/>
      <c r="H52" s="2542"/>
      <c r="I52" s="1807"/>
      <c r="J52" s="2521">
        <v>1</v>
      </c>
      <c r="K52" s="3612" t="s">
        <v>1355</v>
      </c>
      <c r="L52" s="3612"/>
      <c r="M52" s="2523" t="b">
        <f>D48</f>
        <v>0</v>
      </c>
      <c r="N52" s="2521" t="str">
        <f>E48</f>
        <v>销售额×税（费）率</v>
      </c>
      <c r="O52" s="2524">
        <f>F48</f>
        <v>5.6000000000000001E-2</v>
      </c>
    </row>
    <row r="53" spans="1:35" ht="12" customHeight="1">
      <c r="A53" s="2335" t="s">
        <v>1356</v>
      </c>
      <c r="B53" s="3573" t="s">
        <v>2289</v>
      </c>
      <c r="C53" s="3574"/>
      <c r="D53" s="1087" t="e">
        <f ca="1">ROUND(D45*'数据-取费表'!B41/(1+'数据-取费表'!C42),0)</f>
        <v>#REF!</v>
      </c>
      <c r="E53" s="2334" t="s">
        <v>1354</v>
      </c>
      <c r="F53" s="2552">
        <f>'数据-取费表'!B41</f>
        <v>5.6000000000000001E-2</v>
      </c>
      <c r="G53" s="2553"/>
      <c r="H53" s="2542"/>
      <c r="I53" s="1807"/>
      <c r="J53" s="2521">
        <v>2</v>
      </c>
      <c r="K53" s="3612" t="s">
        <v>1357</v>
      </c>
      <c r="L53" s="3612"/>
      <c r="M53" s="2523" t="e">
        <f t="shared" ref="M53:O54" ca="1" si="0">D55</f>
        <v>#REF!</v>
      </c>
      <c r="N53" s="2521" t="str">
        <f t="shared" si="0"/>
        <v>销售额×税（费）率</v>
      </c>
      <c r="O53" s="2524" t="str">
        <f t="shared" si="0"/>
        <v>免征</v>
      </c>
    </row>
    <row r="54" spans="1:35" ht="12" customHeight="1">
      <c r="A54" s="2335" t="s">
        <v>1358</v>
      </c>
      <c r="B54" s="3573" t="s">
        <v>2290</v>
      </c>
      <c r="C54" s="3574"/>
      <c r="D54" s="1087" t="e">
        <f ca="1">C68</f>
        <v>#REF!</v>
      </c>
      <c r="E54" s="327" t="s">
        <v>1359</v>
      </c>
      <c r="F54" s="2552">
        <f>'数据-取费表'!B41</f>
        <v>5.6000000000000001E-2</v>
      </c>
      <c r="G54" s="2553"/>
      <c r="H54" s="2554"/>
      <c r="I54" s="1807"/>
      <c r="J54" s="2521">
        <v>3</v>
      </c>
      <c r="K54" s="3612" t="s">
        <v>1360</v>
      </c>
      <c r="L54" s="3612"/>
      <c r="M54" s="2523" t="e">
        <f t="shared" ca="1" si="0"/>
        <v>#REF!</v>
      </c>
      <c r="N54" s="2521" t="str">
        <f t="shared" si="0"/>
        <v>增值额×税（费）率</v>
      </c>
      <c r="O54" s="2525" t="str">
        <f t="shared" si="0"/>
        <v>免征</v>
      </c>
    </row>
    <row r="55" spans="1:35" ht="24" customHeight="1">
      <c r="A55" s="3562" t="s">
        <v>1361</v>
      </c>
      <c r="B55" s="3563"/>
      <c r="C55" s="3563"/>
      <c r="D55" s="2324" t="e">
        <f ca="1">IF(H55="个人住宅",0,ROUND(D45*I55,0))</f>
        <v>#REF!</v>
      </c>
      <c r="E55" s="2334" t="s">
        <v>1362</v>
      </c>
      <c r="F55" s="2552" t="str">
        <f>IF(H55="正常",I55,"免征")</f>
        <v>免征</v>
      </c>
      <c r="G55" s="2553"/>
      <c r="H55" s="2548"/>
      <c r="I55" s="165">
        <f>'数据-取费表'!B49</f>
        <v>5.0000000000000001E-4</v>
      </c>
      <c r="J55" s="2521">
        <f>IF(H59="非个人房产","",4)</f>
        <v>4</v>
      </c>
      <c r="K55" s="3612" t="str">
        <f>IF(H59="非个人房产","——","个人所得税")</f>
        <v>个人所得税</v>
      </c>
      <c r="L55" s="3612"/>
      <c r="M55" s="2526" t="e">
        <f ca="1">D59</f>
        <v>#REF!</v>
      </c>
      <c r="N55" s="2040" t="str">
        <f>E59</f>
        <v>差额计税</v>
      </c>
      <c r="O55" s="2527">
        <f>F59</f>
        <v>0.01</v>
      </c>
    </row>
    <row r="56" spans="1:35" ht="24.75">
      <c r="A56" s="3562" t="s">
        <v>1363</v>
      </c>
      <c r="B56" s="3563"/>
      <c r="C56" s="3563"/>
      <c r="D56" s="2324" t="e">
        <f ca="1">IF(H56="个人住宅",D57,D58)</f>
        <v>#REF!</v>
      </c>
      <c r="E56" s="2334" t="s">
        <v>1364</v>
      </c>
      <c r="F56" s="2552" t="str">
        <f>IF(H56="正常",F58,"免征")</f>
        <v>免征</v>
      </c>
      <c r="G56" s="2555" t="s">
        <v>1365</v>
      </c>
      <c r="H56" s="2556"/>
      <c r="I56" s="1808"/>
      <c r="J56" s="2521" t="str">
        <f>IF(项目基本情况!K6="上海银行",IF(J55="",4,J55+1),"")</f>
        <v/>
      </c>
      <c r="K56" s="3635" t="str">
        <f>IF(项目基本情况!K6="上海银行","其他处置费用","")</f>
        <v/>
      </c>
      <c r="L56" s="3636"/>
      <c r="M56" s="2523"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3"/>
      <c r="H57" s="2557"/>
      <c r="I57" s="1808"/>
      <c r="J57" s="3612">
        <f>IF(AND(J55="",J56=""),4,IF(项目基本情况!K6="上海银行",结果表!J56+1,结果表!J55+1))</f>
        <v>5</v>
      </c>
      <c r="K57" s="3612" t="s">
        <v>1367</v>
      </c>
      <c r="L57" s="2528" t="s">
        <v>1368</v>
      </c>
      <c r="M57" s="2529"/>
      <c r="N57" s="2530">
        <f ca="1">SUMIF(M52:M56,"&lt;9e307")</f>
        <v>0</v>
      </c>
      <c r="O57" s="2531"/>
      <c r="P57" s="2688" t="e">
        <f ca="1">N57/M49</f>
        <v>#VALUE!</v>
      </c>
    </row>
    <row r="58" spans="1:35" ht="24.75">
      <c r="A58" s="2335" t="s">
        <v>1352</v>
      </c>
      <c r="B58" s="3573" t="s">
        <v>1369</v>
      </c>
      <c r="C58" s="3547"/>
      <c r="D58" s="2324" t="e">
        <f ca="1">IF(H58="转让取得",C81,C97)</f>
        <v>#REF!</v>
      </c>
      <c r="E58" s="2334" t="s">
        <v>1364</v>
      </c>
      <c r="F58" s="302" t="s">
        <v>28</v>
      </c>
      <c r="G58" s="2553"/>
      <c r="H58" s="2556"/>
      <c r="I58" s="1808"/>
      <c r="J58" s="3612"/>
      <c r="K58" s="3612"/>
      <c r="L58" s="2528" t="s">
        <v>1370</v>
      </c>
      <c r="M58" s="2532"/>
      <c r="N58" s="2533" t="str">
        <f ca="1">NUMBERSTRING(INT(N57*10000),2)&amp;"元整"</f>
        <v>零元整</v>
      </c>
      <c r="O58" s="2534"/>
    </row>
    <row r="59" spans="1:35" ht="24.75" thickBot="1">
      <c r="A59" s="3615" t="s">
        <v>1371</v>
      </c>
      <c r="B59" s="3616"/>
      <c r="C59" s="361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13">
        <f>J57+1</f>
        <v>6</v>
      </c>
      <c r="K59" s="3612" t="s">
        <v>1372</v>
      </c>
      <c r="L59" s="2521" t="s">
        <v>1368</v>
      </c>
      <c r="M59" s="2535"/>
      <c r="N59" s="2536" t="e">
        <f ca="1">M49-N57</f>
        <v>#VALUE!</v>
      </c>
      <c r="O59" s="2537"/>
    </row>
    <row r="60" spans="1:35" ht="12" customHeight="1">
      <c r="A60" s="1809"/>
      <c r="B60" s="1747"/>
      <c r="C60" s="1747"/>
      <c r="D60" s="1747"/>
      <c r="E60" s="1578"/>
      <c r="F60" s="1808"/>
      <c r="G60" s="1808"/>
      <c r="H60" s="1810"/>
      <c r="I60" s="129"/>
      <c r="J60" s="3614"/>
      <c r="K60" s="3612"/>
      <c r="L60" s="2528" t="s">
        <v>1370</v>
      </c>
      <c r="M60" s="2532"/>
      <c r="N60" s="2533" t="e">
        <f ca="1">NUMBERSTRING(INT(N59*10000),2)&amp;"元整"</f>
        <v>#VALUE!</v>
      </c>
      <c r="O60" s="2534"/>
    </row>
    <row r="61" spans="1:35" ht="13.5" thickBot="1">
      <c r="A61" s="3560" t="s">
        <v>1373</v>
      </c>
      <c r="B61" s="3560"/>
      <c r="C61" s="3560"/>
      <c r="D61" s="3560"/>
      <c r="E61" s="3560"/>
      <c r="F61" s="1808"/>
      <c r="G61" s="1808"/>
      <c r="H61" s="1810"/>
      <c r="I61" s="129"/>
      <c r="J61" s="2521">
        <f>J59+1</f>
        <v>7</v>
      </c>
      <c r="K61" s="3612" t="s">
        <v>1374</v>
      </c>
      <c r="L61" s="3612"/>
      <c r="M61" s="2538"/>
      <c r="N61" s="2539" t="e">
        <f ca="1">ROUND(N59*10000/'数据-汇总表'!E3,0)</f>
        <v>#VALUE!</v>
      </c>
      <c r="O61" s="2540"/>
    </row>
    <row r="62" spans="1:35" ht="12.75">
      <c r="A62" s="3578" t="s">
        <v>1375</v>
      </c>
      <c r="B62" s="3579"/>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37"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3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37"/>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37"/>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3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37"/>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37"/>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39" t="s">
        <v>2129</v>
      </c>
      <c r="H90" s="3640"/>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57" t="s">
        <v>1422</v>
      </c>
      <c r="F92" s="3558"/>
      <c r="G92" s="3558"/>
      <c r="H92" s="3567"/>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3" t="str">
        <f>C4</f>
        <v>比较法-车位</v>
      </c>
      <c r="D101" s="2584" t="str">
        <f>D4</f>
        <v>收益法 (元)</v>
      </c>
      <c r="E101" s="3634" t="s">
        <v>1431</v>
      </c>
      <c r="F101" s="3591"/>
      <c r="G101" s="1827" t="s">
        <v>1432</v>
      </c>
      <c r="H101" s="2593" t="e">
        <f ca="1">H118</f>
        <v>#REF!</v>
      </c>
      <c r="I101" s="129"/>
    </row>
    <row r="102" spans="1:35" ht="18.75" customHeight="1">
      <c r="A102" s="3593" t="s">
        <v>1433</v>
      </c>
      <c r="B102" s="2582" t="s">
        <v>1432</v>
      </c>
      <c r="C102" s="2583">
        <f>IF(D32="楼面单价",ROUND(C19,0),C19)</f>
        <v>63.0822</v>
      </c>
      <c r="D102" s="2584">
        <f ca="1">IF(D32="楼面单价",ROUND(D19,0),D19)</f>
        <v>32.198599999999999</v>
      </c>
      <c r="E102" s="3634"/>
      <c r="F102" s="3591"/>
      <c r="G102" s="1827" t="s">
        <v>1434</v>
      </c>
      <c r="H102" s="2553" t="e">
        <f ca="1">I118</f>
        <v>#REF!</v>
      </c>
      <c r="I102" s="129"/>
    </row>
    <row r="103" spans="1:35" ht="42.75" customHeight="1">
      <c r="A103" s="3593"/>
      <c r="B103" s="2582" t="s">
        <v>1434</v>
      </c>
      <c r="C103" s="2585">
        <f>C20</f>
        <v>21493</v>
      </c>
      <c r="D103" s="2586">
        <f ca="1">D20</f>
        <v>10971</v>
      </c>
      <c r="E103" s="3628" t="s">
        <v>1435</v>
      </c>
      <c r="F103" s="3629"/>
      <c r="G103" s="1828" t="s">
        <v>1436</v>
      </c>
      <c r="H103" s="2593">
        <f>IF(D36="正常操作",H104+H105+H106,H105+H106)</f>
        <v>0</v>
      </c>
      <c r="I103" s="129"/>
    </row>
    <row r="104" spans="1:35" ht="18.75" customHeight="1">
      <c r="A104" s="3593"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4"/>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0" t="str">
        <f>IF(项目基本情况!E8="已注销","——","3.房地产抵押价值")</f>
        <v>3.房地产抵押价值</v>
      </c>
      <c r="F107" s="3591"/>
      <c r="G107" s="1827" t="s">
        <v>1432</v>
      </c>
      <c r="H107" s="2593" t="e">
        <f ca="1">IF(E107="——","——",H101-H103)</f>
        <v>#REF!</v>
      </c>
      <c r="I107" s="129"/>
    </row>
    <row r="108" spans="1:35" ht="18.75" customHeight="1">
      <c r="A108" s="129"/>
      <c r="B108" s="129"/>
      <c r="C108" s="129"/>
      <c r="D108" s="129"/>
      <c r="E108" s="3590"/>
      <c r="F108" s="3591"/>
      <c r="G108" s="1827" t="s">
        <v>1434</v>
      </c>
      <c r="H108" s="2553">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6" t="str">
        <f>IF(E109="——","——",H101-H105-H106)</f>
        <v>——</v>
      </c>
      <c r="I109" s="129"/>
    </row>
    <row r="110" spans="1:35" ht="18.75" customHeight="1">
      <c r="A110" s="129"/>
      <c r="B110" s="129"/>
      <c r="C110" s="129"/>
      <c r="D110" s="129"/>
      <c r="E110" s="3590"/>
      <c r="F110" s="3591"/>
      <c r="G110" s="1827" t="s">
        <v>1434</v>
      </c>
      <c r="H110" s="2553"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3" t="str">
        <f>IF(E111="——","——",N59)</f>
        <v>——</v>
      </c>
      <c r="I111" s="129"/>
    </row>
    <row r="112" spans="1:35" ht="18.75" customHeight="1" thickBot="1">
      <c r="A112" s="129"/>
      <c r="B112" s="129"/>
      <c r="C112" s="129"/>
      <c r="D112" s="129"/>
      <c r="E112" s="3623"/>
      <c r="F112" s="3624"/>
      <c r="G112" s="1830"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29.35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1" t="s">
        <v>1452</v>
      </c>
      <c r="B119" s="3561"/>
      <c r="C119" s="3561"/>
      <c r="D119" s="3601" t="e">
        <f ca="1">NUMBERSTRING(INT(D118*10000),2)&amp;"元整"</f>
        <v>#REF!</v>
      </c>
      <c r="E119" s="3603"/>
      <c r="F119" s="3601" t="e">
        <f ca="1">NUMBERSTRING(INT(F118*10000),2)&amp;"元整"</f>
        <v>#REF!</v>
      </c>
      <c r="G119" s="3603"/>
      <c r="H119" s="3601" t="e">
        <f ca="1">NUMBERSTRING(INT(H118*10000),2)&amp;"元整"</f>
        <v>#REF!</v>
      </c>
      <c r="I119" s="3603"/>
    </row>
    <row r="120" spans="1:27" ht="18.75" customHeight="1">
      <c r="A120" s="3625" t="str">
        <f>IF(项目基本情况!B9="房地产市场价值","",MID(E103,3,LEN(E103)-2))</f>
        <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
      </c>
      <c r="B122" s="3592"/>
      <c r="C122" s="3592"/>
      <c r="D122" s="3625" t="e">
        <f ca="1">H107</f>
        <v>#REF!</v>
      </c>
      <c r="E122" s="3626"/>
      <c r="F122" s="3626"/>
      <c r="G122" s="3626"/>
      <c r="H122" s="3626"/>
      <c r="I122" s="3627"/>
      <c r="AA122" s="725"/>
    </row>
    <row r="123" spans="1:27" ht="18.75" customHeight="1">
      <c r="A123" s="3561" t="s">
        <v>1452</v>
      </c>
      <c r="B123" s="3561"/>
      <c r="C123" s="3561"/>
      <c r="D123" s="3601" t="e">
        <f ca="1">NUMBERSTRING(INT(D122*10000),2)&amp;"元整"</f>
        <v>#REF!</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7765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2645656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29.35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29.35</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599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599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7756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29.35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1E-3</v>
      </c>
      <c r="D44" s="238"/>
      <c r="E44" s="238"/>
      <c r="F44" s="239"/>
      <c r="G44" s="3643"/>
    </row>
    <row r="45" spans="1:7" s="214" customFormat="1" ht="13.5" customHeight="1">
      <c r="A45" s="255" t="s">
        <v>1547</v>
      </c>
      <c r="B45" s="244" t="s">
        <v>1513</v>
      </c>
      <c r="C45" s="245">
        <f ca="1">C46</f>
        <v>1</v>
      </c>
      <c r="D45" s="235">
        <f ca="1">C47</f>
        <v>2E-3</v>
      </c>
      <c r="E45" s="236" t="s">
        <v>1539</v>
      </c>
      <c r="F45" s="246">
        <f ca="1">F27</f>
        <v>0.1</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v>
      </c>
      <c r="D49" s="232"/>
      <c r="E49" s="232"/>
      <c r="F49" s="264"/>
      <c r="G49" s="234" t="s">
        <v>1554</v>
      </c>
    </row>
    <row r="50" spans="1:7" s="258" customFormat="1" ht="24">
      <c r="A50" s="255" t="s">
        <v>1555</v>
      </c>
      <c r="B50" s="210" t="s">
        <v>1556</v>
      </c>
      <c r="C50" s="232"/>
      <c r="D50" s="232"/>
      <c r="E50" s="232"/>
      <c r="F50" s="264">
        <f>IF('数据-取费表'!B24=0,'数据-取费表'!N16,1)</f>
        <v>0.71499999999999997</v>
      </c>
      <c r="G50" s="247" t="s">
        <v>1557</v>
      </c>
    </row>
    <row r="51" spans="1:7" ht="16.5" customHeight="1">
      <c r="A51" s="255" t="s">
        <v>1558</v>
      </c>
      <c r="B51" s="210" t="s">
        <v>1559</v>
      </c>
      <c r="C51" s="232">
        <f ca="1">ROUND(C49*F50,0)</f>
        <v>9</v>
      </c>
      <c r="D51" s="232"/>
      <c r="E51" s="232"/>
      <c r="F51" s="264"/>
      <c r="G51" s="234" t="s">
        <v>1560</v>
      </c>
    </row>
    <row r="52" spans="1:7" s="208" customFormat="1" ht="16.5" thickBot="1">
      <c r="A52" s="265" t="s">
        <v>1561</v>
      </c>
      <c r="B52" s="266"/>
      <c r="C52" s="267">
        <f ca="1">C31+C51</f>
        <v>7765</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北京市房地产市场价值预评估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F14" sqref="F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11.25" style="906"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t="s">
        <v>3382</v>
      </c>
      <c r="E1" s="3431"/>
      <c r="F1" s="1879" t="s">
        <v>3410</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0</v>
      </c>
      <c r="C3" s="354" t="s">
        <v>1768</v>
      </c>
      <c r="D3" s="353">
        <f>SUMIF('数据-汇总表'!$C19:$C33,D1,'数据-汇总表'!$E19:$E33)</f>
        <v>29.35</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63</v>
      </c>
      <c r="N3" s="2733"/>
      <c r="O3" s="2733"/>
      <c r="P3" s="1165"/>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76"/>
      <c r="E5" s="3683" t="s">
        <v>3409</v>
      </c>
      <c r="F5" s="3684"/>
      <c r="G5" s="3675" t="s">
        <v>3416</v>
      </c>
      <c r="H5" s="3676"/>
      <c r="I5" s="3675" t="s">
        <v>3416</v>
      </c>
      <c r="J5" s="3676"/>
      <c r="K5" s="559"/>
      <c r="L5" s="2713"/>
      <c r="M5" s="2714"/>
      <c r="N5" s="2714"/>
      <c r="O5" s="2714"/>
      <c r="P5" s="3662"/>
      <c r="Q5" s="3663"/>
      <c r="R5" s="3668"/>
      <c r="S5" s="3669"/>
      <c r="T5" s="3668"/>
      <c r="U5" s="3669"/>
      <c r="V5" s="3672"/>
      <c r="W5" s="3672"/>
      <c r="X5" s="1355"/>
      <c r="Y5" s="3668"/>
      <c r="Z5" s="3669"/>
      <c r="AA5" s="3654"/>
      <c r="AB5" s="3654"/>
      <c r="AC5" s="3654"/>
    </row>
    <row r="6" spans="1:29" ht="15.7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45012</v>
      </c>
      <c r="D7" s="365">
        <v>100</v>
      </c>
      <c r="E7" s="366">
        <v>44927</v>
      </c>
      <c r="F7" s="367">
        <f>SUMIF(48:48,YEAR(E7)&amp;"-"&amp;MONTH(E7),49:49)</f>
        <v>100</v>
      </c>
      <c r="G7" s="366">
        <v>44713</v>
      </c>
      <c r="H7" s="365">
        <f>SUMIF(48:48,YEAR(G7)&amp;"-"&amp;MONTH(G7),49:49)</f>
        <v>99.8</v>
      </c>
      <c r="I7" s="366">
        <v>44287</v>
      </c>
      <c r="J7" s="365">
        <f>SUMIF(48:48,YEAR(I7)&amp;"-"&amp;MONTH(I7),49:49)</f>
        <v>99.4</v>
      </c>
      <c r="K7" s="560"/>
      <c r="L7" s="2715"/>
      <c r="M7" s="2716"/>
      <c r="N7" s="2716"/>
      <c r="O7" s="2716"/>
      <c r="P7" s="3677" t="s">
        <v>1680</v>
      </c>
      <c r="Q7" s="3679"/>
      <c r="R7" s="701" t="s">
        <v>14</v>
      </c>
      <c r="S7" s="702">
        <f t="shared" ref="S7:S14" si="0">F7</f>
        <v>100</v>
      </c>
      <c r="T7" s="701" t="s">
        <v>14</v>
      </c>
      <c r="U7" s="702">
        <f t="shared" ref="U7:U14" si="1">H7</f>
        <v>99.8</v>
      </c>
      <c r="V7" s="701" t="s">
        <v>14</v>
      </c>
      <c r="W7" s="702">
        <f t="shared" ref="W7:W14" si="2">J7</f>
        <v>99.4</v>
      </c>
      <c r="X7" s="703"/>
      <c r="Y7" s="3677" t="s">
        <v>1680</v>
      </c>
      <c r="Z7" s="3678"/>
      <c r="AA7" s="704">
        <f>D7/F7</f>
        <v>1</v>
      </c>
      <c r="AB7" s="704">
        <f>D7/H7</f>
        <v>1.0020040080160322</v>
      </c>
      <c r="AC7" s="704">
        <f>D7/J7</f>
        <v>1.0060362173038229</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4"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4"/>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6.25" customHeight="1">
      <c r="A14" s="355" t="s">
        <v>1690</v>
      </c>
      <c r="B14" s="577"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456" t="s">
        <v>3426</v>
      </c>
      <c r="F14" s="394">
        <f>SUMIF(63:63,E15,64:64)-SUMIF(63:63,C15,64:64)+100</f>
        <v>95</v>
      </c>
      <c r="G14" s="395" t="s">
        <v>3425</v>
      </c>
      <c r="H14" s="392">
        <f>SUMIF(63:63,G15,64:64)-SUMIF(63:63,C15,64:64)+100</f>
        <v>100</v>
      </c>
      <c r="I14" s="3456" t="s">
        <v>3430</v>
      </c>
      <c r="J14" s="392">
        <f>SUMIF(63:63,I15,64:64)-SUMIF(63:63,C15,64:64)+100</f>
        <v>100</v>
      </c>
      <c r="K14" s="563">
        <v>5</v>
      </c>
      <c r="L14" s="2720"/>
      <c r="M14" s="2714"/>
      <c r="N14" s="2714"/>
      <c r="O14" s="2714"/>
      <c r="P14" s="3649" t="s">
        <v>1691</v>
      </c>
      <c r="Q14" s="1352" t="str">
        <f t="shared" si="6"/>
        <v>交通便捷度</v>
      </c>
      <c r="R14" s="705" t="s">
        <v>14</v>
      </c>
      <c r="S14" s="706">
        <f t="shared" si="0"/>
        <v>95</v>
      </c>
      <c r="T14" s="705" t="s">
        <v>14</v>
      </c>
      <c r="U14" s="706">
        <f t="shared" si="1"/>
        <v>100</v>
      </c>
      <c r="V14" s="705" t="s">
        <v>14</v>
      </c>
      <c r="W14" s="706">
        <f t="shared" si="2"/>
        <v>100</v>
      </c>
      <c r="X14" s="1355"/>
      <c r="Y14" s="3649" t="s">
        <v>1691</v>
      </c>
      <c r="Z14" s="1356" t="str">
        <f t="shared" si="7"/>
        <v>交通便捷度</v>
      </c>
      <c r="AA14" s="1353">
        <f t="shared" si="3"/>
        <v>1.0526315789473684</v>
      </c>
      <c r="AB14" s="1353">
        <f t="shared" si="4"/>
        <v>1</v>
      </c>
      <c r="AC14" s="1353">
        <f t="shared" si="5"/>
        <v>1</v>
      </c>
    </row>
    <row r="15" spans="1:29" ht="15">
      <c r="A15" s="358"/>
      <c r="B15" s="595"/>
      <c r="C15" s="398" t="s">
        <v>3406</v>
      </c>
      <c r="D15" s="399"/>
      <c r="E15" s="398" t="s">
        <v>3401</v>
      </c>
      <c r="F15" s="400"/>
      <c r="G15" s="398" t="s">
        <v>3406</v>
      </c>
      <c r="H15" s="401"/>
      <c r="I15" s="398" t="s">
        <v>3406</v>
      </c>
      <c r="J15" s="399"/>
      <c r="K15" s="564"/>
      <c r="L15" s="2720"/>
      <c r="M15" s="2714"/>
      <c r="N15" s="2714"/>
      <c r="O15" s="2714"/>
      <c r="P15" s="3650"/>
      <c r="Q15" s="1352"/>
      <c r="R15" s="705"/>
      <c r="S15" s="706"/>
      <c r="T15" s="705"/>
      <c r="U15" s="706"/>
      <c r="V15" s="705"/>
      <c r="W15" s="706"/>
      <c r="X15" s="1355"/>
      <c r="Y15" s="3650"/>
      <c r="Z15" s="1356"/>
      <c r="AA15" s="1353">
        <v>1</v>
      </c>
      <c r="AB15" s="1353">
        <v>1</v>
      </c>
      <c r="AC15" s="1353">
        <v>1</v>
      </c>
    </row>
    <row r="16" spans="1:29" ht="84.75" customHeight="1">
      <c r="A16" s="358"/>
      <c r="B16" s="579"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408" t="s">
        <v>3427</v>
      </c>
      <c r="F16" s="409">
        <f>SUMIF(65:65,E17,66:66)-SUMIF(65:65,C17,66:66)+100</f>
        <v>100</v>
      </c>
      <c r="G16" s="410" t="s">
        <v>3427</v>
      </c>
      <c r="H16" s="406">
        <f>SUMIF(65:65,G17,66:66)-SUMIF(65:65,C17,66:66)+100</f>
        <v>100</v>
      </c>
      <c r="I16" s="408" t="s">
        <v>3427</v>
      </c>
      <c r="J16" s="406">
        <f>SUMIF(65:65,I17,66:66)-SUMIF(65:65,C17,66:66)+100</f>
        <v>100</v>
      </c>
      <c r="K16" s="563"/>
      <c r="L16" s="2720"/>
      <c r="M16" s="2714"/>
      <c r="N16" s="2714"/>
      <c r="O16" s="2714"/>
      <c r="P16" s="3650"/>
      <c r="Q16" s="1352" t="str">
        <f>B16</f>
        <v>公共配套设施</v>
      </c>
      <c r="R16" s="705" t="s">
        <v>14</v>
      </c>
      <c r="S16" s="706">
        <f>F16</f>
        <v>100</v>
      </c>
      <c r="T16" s="705" t="s">
        <v>14</v>
      </c>
      <c r="U16" s="706">
        <f>H16</f>
        <v>100</v>
      </c>
      <c r="V16" s="705" t="s">
        <v>14</v>
      </c>
      <c r="W16" s="706">
        <f>J16</f>
        <v>100</v>
      </c>
      <c r="X16" s="1355"/>
      <c r="Y16" s="3650"/>
      <c r="Z16" s="1356" t="str">
        <f>Q16</f>
        <v>公共配套设施</v>
      </c>
      <c r="AA16" s="1353">
        <f t="shared" si="3"/>
        <v>1</v>
      </c>
      <c r="AB16" s="1353">
        <f t="shared" si="4"/>
        <v>1</v>
      </c>
      <c r="AC16" s="1353">
        <f t="shared" si="5"/>
        <v>1</v>
      </c>
    </row>
    <row r="17" spans="1:29" ht="15">
      <c r="A17" s="358"/>
      <c r="B17" s="580"/>
      <c r="C17" s="1901" t="s">
        <v>3401</v>
      </c>
      <c r="D17" s="399"/>
      <c r="E17" s="1901" t="s">
        <v>3401</v>
      </c>
      <c r="F17" s="400"/>
      <c r="G17" s="1901" t="s">
        <v>3401</v>
      </c>
      <c r="H17" s="399"/>
      <c r="I17" s="1901" t="s">
        <v>3401</v>
      </c>
      <c r="J17" s="399"/>
      <c r="K17" s="564"/>
      <c r="L17" s="2720"/>
      <c r="M17" s="2714"/>
      <c r="N17" s="2714"/>
      <c r="O17" s="2714"/>
      <c r="P17" s="3650"/>
      <c r="Q17" s="1352"/>
      <c r="R17" s="705"/>
      <c r="S17" s="706"/>
      <c r="T17" s="705"/>
      <c r="U17" s="706"/>
      <c r="V17" s="705"/>
      <c r="W17" s="706"/>
      <c r="X17" s="1355"/>
      <c r="Y17" s="365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0"/>
      <c r="Q18" s="1352" t="str">
        <f>B18</f>
        <v>基础设施水平</v>
      </c>
      <c r="R18" s="705" t="s">
        <v>14</v>
      </c>
      <c r="S18" s="706">
        <f>F18</f>
        <v>100</v>
      </c>
      <c r="T18" s="705" t="s">
        <v>14</v>
      </c>
      <c r="U18" s="706">
        <f>H18</f>
        <v>100</v>
      </c>
      <c r="V18" s="705" t="s">
        <v>14</v>
      </c>
      <c r="W18" s="706">
        <f>J18</f>
        <v>100</v>
      </c>
      <c r="X18" s="1355"/>
      <c r="Y18" s="3650"/>
      <c r="Z18" s="1356" t="str">
        <f>Q18</f>
        <v>基础设施水平</v>
      </c>
      <c r="AA18" s="1353">
        <f t="shared" ref="AA18" si="8">D18/F18</f>
        <v>1</v>
      </c>
      <c r="AB18" s="1353">
        <f t="shared" ref="AB18" si="9">D18/H18</f>
        <v>1</v>
      </c>
      <c r="AC18" s="1353">
        <f t="shared" ref="AC18" si="10">D18/J18</f>
        <v>1</v>
      </c>
    </row>
    <row r="19" spans="1:29" ht="15">
      <c r="A19" s="358"/>
      <c r="B19" s="581"/>
      <c r="C19" s="1901" t="s">
        <v>3413</v>
      </c>
      <c r="D19" s="401"/>
      <c r="E19" s="1901" t="s">
        <v>3413</v>
      </c>
      <c r="F19" s="404"/>
      <c r="G19" s="1901" t="s">
        <v>3413</v>
      </c>
      <c r="H19" s="399"/>
      <c r="I19" s="1901" t="s">
        <v>3413</v>
      </c>
      <c r="J19" s="399"/>
      <c r="K19" s="1130"/>
      <c r="L19" s="2720"/>
      <c r="M19" s="2714"/>
      <c r="N19" s="2714"/>
      <c r="O19" s="2714"/>
      <c r="P19" s="3650"/>
      <c r="Q19" s="1352"/>
      <c r="R19" s="705"/>
      <c r="S19" s="706"/>
      <c r="T19" s="705"/>
      <c r="U19" s="706"/>
      <c r="V19" s="705"/>
      <c r="W19" s="706"/>
      <c r="X19" s="1355"/>
      <c r="Y19" s="3650"/>
      <c r="Z19" s="1356"/>
      <c r="AA19" s="1353">
        <v>1</v>
      </c>
      <c r="AB19" s="1353">
        <v>1</v>
      </c>
      <c r="AC19" s="1353">
        <v>1</v>
      </c>
    </row>
    <row r="20" spans="1:29" ht="81" customHeight="1">
      <c r="A20" s="358"/>
      <c r="B20" s="579" t="s">
        <v>1834</v>
      </c>
      <c r="C20" s="1900" t="str">
        <f>IF(B1="工业",估价对象房地状况!G7,估价对象房地状况!C9)</f>
        <v xml:space="preserve">自然环境：紫竹院公园、北京动物园
人文环境：国家图书馆。
综上，环境状况好。
</v>
      </c>
      <c r="D20" s="406">
        <v>100</v>
      </c>
      <c r="E20" s="3457" t="s">
        <v>3429</v>
      </c>
      <c r="F20" s="409">
        <f>SUMIF(69:69,E21,70:70)-SUMIF(69:69,C21,70:70)+100</f>
        <v>100</v>
      </c>
      <c r="G20" s="410" t="s">
        <v>3428</v>
      </c>
      <c r="H20" s="401">
        <f>SUMIF(69:69,G21,70:70)-SUMIF(69:69,C21,70:70)+100</f>
        <v>100</v>
      </c>
      <c r="I20" s="403" t="s">
        <v>3428</v>
      </c>
      <c r="J20" s="401">
        <f>SUMIF(69:69,I21,70:70)-SUMIF(69:69,C21,70:70)+100</f>
        <v>100</v>
      </c>
      <c r="K20" s="563"/>
      <c r="L20" s="2720"/>
      <c r="M20" s="2714"/>
      <c r="N20" s="2714"/>
      <c r="O20" s="2714"/>
      <c r="P20" s="3650"/>
      <c r="Q20" s="1352" t="str">
        <f>B20</f>
        <v>自然及人文环境</v>
      </c>
      <c r="R20" s="705" t="s">
        <v>14</v>
      </c>
      <c r="S20" s="706">
        <f>F20</f>
        <v>100</v>
      </c>
      <c r="T20" s="705" t="s">
        <v>14</v>
      </c>
      <c r="U20" s="706">
        <f>H20</f>
        <v>100</v>
      </c>
      <c r="V20" s="705" t="s">
        <v>14</v>
      </c>
      <c r="W20" s="706">
        <f>J20</f>
        <v>100</v>
      </c>
      <c r="X20" s="1355"/>
      <c r="Y20" s="3650"/>
      <c r="Z20" s="1356" t="str">
        <f>Q20</f>
        <v>自然及人文环境</v>
      </c>
      <c r="AA20" s="1353">
        <f t="shared" si="3"/>
        <v>1</v>
      </c>
      <c r="AB20" s="1353">
        <f t="shared" si="4"/>
        <v>1</v>
      </c>
      <c r="AC20" s="1353">
        <f t="shared" si="5"/>
        <v>1</v>
      </c>
    </row>
    <row r="21" spans="1:29" ht="15">
      <c r="A21" s="358"/>
      <c r="B21" s="580"/>
      <c r="C21" s="398" t="s">
        <v>3406</v>
      </c>
      <c r="D21" s="399"/>
      <c r="E21" s="398" t="s">
        <v>3406</v>
      </c>
      <c r="F21" s="400"/>
      <c r="G21" s="398" t="s">
        <v>3406</v>
      </c>
      <c r="H21" s="399"/>
      <c r="I21" s="398" t="s">
        <v>3406</v>
      </c>
      <c r="J21" s="399"/>
      <c r="K21" s="564"/>
      <c r="L21" s="2720"/>
      <c r="M21" s="2714"/>
      <c r="N21" s="2714"/>
      <c r="O21" s="2714"/>
      <c r="P21" s="3650"/>
      <c r="Q21" s="1352"/>
      <c r="R21" s="705"/>
      <c r="S21" s="706"/>
      <c r="T21" s="705"/>
      <c r="U21" s="706"/>
      <c r="V21" s="705"/>
      <c r="W21" s="706"/>
      <c r="X21" s="1355"/>
      <c r="Y21" s="365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0"/>
      <c r="Q22" s="1352" t="str">
        <f>B22</f>
        <v>楼层</v>
      </c>
      <c r="R22" s="705" t="s">
        <v>14</v>
      </c>
      <c r="S22" s="706">
        <f>F22</f>
        <v>100</v>
      </c>
      <c r="T22" s="705" t="s">
        <v>14</v>
      </c>
      <c r="U22" s="706">
        <f>H22</f>
        <v>100</v>
      </c>
      <c r="V22" s="705" t="s">
        <v>14</v>
      </c>
      <c r="W22" s="706">
        <f>J22</f>
        <v>100</v>
      </c>
      <c r="X22" s="1355"/>
      <c r="Y22" s="365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0"/>
      <c r="Q23" s="1352">
        <f>B23</f>
        <v>111</v>
      </c>
      <c r="R23" s="705" t="s">
        <v>14</v>
      </c>
      <c r="S23" s="706">
        <f>F23</f>
        <v>100</v>
      </c>
      <c r="T23" s="705" t="s">
        <v>14</v>
      </c>
      <c r="U23" s="706">
        <f>H23</f>
        <v>100</v>
      </c>
      <c r="V23" s="705" t="s">
        <v>14</v>
      </c>
      <c r="W23" s="706">
        <f>J23</f>
        <v>100</v>
      </c>
      <c r="X23" s="1355"/>
      <c r="Y23" s="365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0"/>
      <c r="Q24" s="1352">
        <f t="shared" ref="Q24:Q36" si="11">B24</f>
        <v>111</v>
      </c>
      <c r="R24" s="705" t="s">
        <v>14</v>
      </c>
      <c r="S24" s="706">
        <f>F24</f>
        <v>100</v>
      </c>
      <c r="T24" s="705" t="s">
        <v>14</v>
      </c>
      <c r="U24" s="706">
        <f>H24</f>
        <v>100</v>
      </c>
      <c r="V24" s="705" t="s">
        <v>14</v>
      </c>
      <c r="W24" s="706">
        <f>J24</f>
        <v>100</v>
      </c>
      <c r="X24" s="1355"/>
      <c r="Y24" s="365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0"/>
      <c r="Q25" s="1343">
        <f t="shared" si="11"/>
        <v>111</v>
      </c>
      <c r="R25" s="701" t="s">
        <v>14</v>
      </c>
      <c r="S25" s="702">
        <f>F25</f>
        <v>100</v>
      </c>
      <c r="T25" s="701" t="s">
        <v>14</v>
      </c>
      <c r="U25" s="702">
        <f>H25</f>
        <v>100</v>
      </c>
      <c r="V25" s="701" t="s">
        <v>14</v>
      </c>
      <c r="W25" s="702">
        <f>J25</f>
        <v>100</v>
      </c>
      <c r="X25" s="703"/>
      <c r="Y25" s="3650"/>
      <c r="Z25" s="52">
        <f>Q25</f>
        <v>111</v>
      </c>
      <c r="AA25" s="1353">
        <f>D25/F25</f>
        <v>1</v>
      </c>
      <c r="AB25" s="1353">
        <f>D25/H25</f>
        <v>1</v>
      </c>
      <c r="AC25" s="1353">
        <f>D25/J25</f>
        <v>1</v>
      </c>
    </row>
    <row r="26" spans="1:29" ht="28.5">
      <c r="A26" s="600" t="s">
        <v>1694</v>
      </c>
      <c r="B26" s="62" t="s">
        <v>1836</v>
      </c>
      <c r="C26" s="1972" t="str">
        <f>B1</f>
        <v>车库</v>
      </c>
      <c r="D26" s="399">
        <v>100</v>
      </c>
      <c r="E26" s="398" t="s">
        <v>3338</v>
      </c>
      <c r="F26" s="400">
        <f>SUMIF(79:79,E26,80:80)-SUMIF(79:79,C26,80:80)+100</f>
        <v>100</v>
      </c>
      <c r="G26" s="398" t="s">
        <v>3338</v>
      </c>
      <c r="H26" s="399">
        <f>SUMIF(79:79,G26,80:80)-SUMIF(79:79,C26,80:80)+100</f>
        <v>100</v>
      </c>
      <c r="I26" s="398" t="s">
        <v>3338</v>
      </c>
      <c r="J26" s="399">
        <f>SUMIF(79:79,I26,80:80)-SUMIF(79:79,C26,80:80)+100</f>
        <v>100</v>
      </c>
      <c r="K26" s="561"/>
      <c r="L26" s="2720"/>
      <c r="M26" s="2714"/>
      <c r="N26" s="2714"/>
      <c r="O26" s="2714"/>
      <c r="P26" s="3651"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52" t="s">
        <v>1696</v>
      </c>
      <c r="Z26" s="1356" t="str">
        <f t="shared" ref="Z26:Z36" si="15">Q26</f>
        <v>配套类型</v>
      </c>
      <c r="AA26" s="1353">
        <f t="shared" si="3"/>
        <v>1</v>
      </c>
      <c r="AB26" s="1353">
        <f t="shared" si="4"/>
        <v>1</v>
      </c>
      <c r="AC26" s="1353">
        <f t="shared" si="5"/>
        <v>1</v>
      </c>
    </row>
    <row r="27" spans="1:29" s="422" customFormat="1" ht="15">
      <c r="A27" s="601"/>
      <c r="B27" s="602" t="s">
        <v>1837</v>
      </c>
      <c r="C27" s="603" t="s">
        <v>3414</v>
      </c>
      <c r="D27" s="127">
        <v>100</v>
      </c>
      <c r="E27" s="603" t="s">
        <v>3415</v>
      </c>
      <c r="F27" s="412">
        <f>SUMIF(81:81,E27,82:82)-SUMIF(81:81,C27,82:82)+100</f>
        <v>101</v>
      </c>
      <c r="G27" s="603" t="s">
        <v>3414</v>
      </c>
      <c r="H27" s="386">
        <f>SUMIF(81:81,G27,82:82)-SUMIF(81:81,C27,82:82)+100</f>
        <v>100</v>
      </c>
      <c r="I27" s="603" t="s">
        <v>3414</v>
      </c>
      <c r="J27" s="386">
        <f>SUMIF(81:81,I27,82:82)-SUMIF(81:81,C27,82:82)+100</f>
        <v>100</v>
      </c>
      <c r="K27" s="562"/>
      <c r="L27" s="2719"/>
      <c r="M27" s="2721"/>
      <c r="N27" s="2721"/>
      <c r="O27" s="2721"/>
      <c r="P27" s="3652"/>
      <c r="Q27" s="707" t="str">
        <f t="shared" si="11"/>
        <v>项目停车位配比</v>
      </c>
      <c r="R27" s="708" t="s">
        <v>14</v>
      </c>
      <c r="S27" s="709">
        <f t="shared" si="12"/>
        <v>101</v>
      </c>
      <c r="T27" s="708" t="s">
        <v>14</v>
      </c>
      <c r="U27" s="709">
        <f t="shared" si="13"/>
        <v>100</v>
      </c>
      <c r="V27" s="708" t="s">
        <v>14</v>
      </c>
      <c r="W27" s="709">
        <f t="shared" si="14"/>
        <v>100</v>
      </c>
      <c r="X27" s="710"/>
      <c r="Y27" s="3652"/>
      <c r="Z27" s="711" t="str">
        <f t="shared" si="15"/>
        <v>项目停车位配比</v>
      </c>
      <c r="AA27" s="1353">
        <f t="shared" si="3"/>
        <v>0.99009900990099009</v>
      </c>
      <c r="AB27" s="1353">
        <f t="shared" si="4"/>
        <v>1</v>
      </c>
      <c r="AC27" s="1353">
        <f t="shared" si="5"/>
        <v>1</v>
      </c>
    </row>
    <row r="28" spans="1:29" ht="15">
      <c r="A28" s="604"/>
      <c r="B28" s="602" t="s">
        <v>1838</v>
      </c>
      <c r="C28" s="411" t="s">
        <v>3418</v>
      </c>
      <c r="D28" s="386">
        <v>100</v>
      </c>
      <c r="E28" s="411" t="s">
        <v>3418</v>
      </c>
      <c r="F28" s="412">
        <f>SUMIF(83:83,E28,84:84)-SUMIF(83:83,C28,84:84)+100</f>
        <v>100</v>
      </c>
      <c r="G28" s="411" t="s">
        <v>3418</v>
      </c>
      <c r="H28" s="386">
        <f>SUMIF(83:83,G28,84:84)-SUMIF(83:83,C28,84:84)+100</f>
        <v>100</v>
      </c>
      <c r="I28" s="411" t="s">
        <v>3418</v>
      </c>
      <c r="J28" s="386">
        <f>SUMIF(83:83,I28,84:84)-SUMIF(83:83,C28,84:84)+100</f>
        <v>100</v>
      </c>
      <c r="K28" s="561"/>
      <c r="L28" s="2720"/>
      <c r="M28" s="2714"/>
      <c r="N28" s="2714"/>
      <c r="O28" s="2714"/>
      <c r="P28" s="3652"/>
      <c r="Q28" s="1352" t="str">
        <f t="shared" si="11"/>
        <v>公共部分装修</v>
      </c>
      <c r="R28" s="705" t="s">
        <v>14</v>
      </c>
      <c r="S28" s="706">
        <f t="shared" si="12"/>
        <v>100</v>
      </c>
      <c r="T28" s="705" t="s">
        <v>14</v>
      </c>
      <c r="U28" s="706">
        <f t="shared" si="13"/>
        <v>100</v>
      </c>
      <c r="V28" s="705" t="s">
        <v>14</v>
      </c>
      <c r="W28" s="706">
        <f t="shared" si="14"/>
        <v>100</v>
      </c>
      <c r="X28" s="1355"/>
      <c r="Y28" s="3652"/>
      <c r="Z28" s="1356" t="str">
        <f t="shared" si="15"/>
        <v>公共部分装修</v>
      </c>
      <c r="AA28" s="1353">
        <f t="shared" si="3"/>
        <v>1</v>
      </c>
      <c r="AB28" s="1353">
        <f t="shared" si="4"/>
        <v>1</v>
      </c>
      <c r="AC28" s="1353">
        <f t="shared" si="5"/>
        <v>1</v>
      </c>
    </row>
    <row r="29" spans="1:29" ht="15">
      <c r="A29" s="604"/>
      <c r="B29" s="602" t="s">
        <v>1839</v>
      </c>
      <c r="C29" s="425">
        <v>0.7</v>
      </c>
      <c r="D29" s="386">
        <v>100</v>
      </c>
      <c r="E29" s="425">
        <v>0.7</v>
      </c>
      <c r="F29" s="412">
        <f>LOOKUP(E29,86:86,87:87)-LOOKUP(C29,86:86,87:87)+100</f>
        <v>100</v>
      </c>
      <c r="G29" s="425">
        <v>0.7</v>
      </c>
      <c r="H29" s="412">
        <f>LOOKUP(G29,86:86,87:87)-LOOKUP(C29,86:86,87:87)+100</f>
        <v>100</v>
      </c>
      <c r="I29" s="425">
        <v>0.7</v>
      </c>
      <c r="J29" s="386">
        <f>LOOKUP(I29,86:86,87:87)-LOOKUP(C29,86:86,87:87)+100</f>
        <v>100</v>
      </c>
      <c r="K29" s="561"/>
      <c r="L29" s="2720"/>
      <c r="M29" s="2714"/>
      <c r="N29" s="2714"/>
      <c r="O29" s="2714"/>
      <c r="P29" s="3652"/>
      <c r="Q29" s="1352" t="str">
        <f t="shared" si="11"/>
        <v>成新率</v>
      </c>
      <c r="R29" s="705" t="s">
        <v>14</v>
      </c>
      <c r="S29" s="706">
        <f t="shared" si="12"/>
        <v>100</v>
      </c>
      <c r="T29" s="705" t="s">
        <v>14</v>
      </c>
      <c r="U29" s="706">
        <f t="shared" si="13"/>
        <v>100</v>
      </c>
      <c r="V29" s="705" t="s">
        <v>14</v>
      </c>
      <c r="W29" s="706">
        <f t="shared" si="14"/>
        <v>100</v>
      </c>
      <c r="X29" s="1355"/>
      <c r="Y29" s="3652"/>
      <c r="Z29" s="1356" t="str">
        <f t="shared" si="15"/>
        <v>成新率</v>
      </c>
      <c r="AA29" s="1353">
        <f t="shared" si="3"/>
        <v>1</v>
      </c>
      <c r="AB29" s="1353">
        <f t="shared" si="4"/>
        <v>1</v>
      </c>
      <c r="AC29" s="1353">
        <f t="shared" si="5"/>
        <v>1</v>
      </c>
    </row>
    <row r="30" spans="1:29" ht="15">
      <c r="A30" s="604"/>
      <c r="B30" s="602" t="s">
        <v>1840</v>
      </c>
      <c r="C30" s="605" t="s">
        <v>3423</v>
      </c>
      <c r="D30" s="386">
        <v>100</v>
      </c>
      <c r="E30" s="605" t="s">
        <v>3423</v>
      </c>
      <c r="F30" s="412">
        <f>SUMIF(88:88,E30,89:89)-SUMIF(88:88,C30,89:89)+100</f>
        <v>100</v>
      </c>
      <c r="G30" s="605" t="s">
        <v>3423</v>
      </c>
      <c r="H30" s="386">
        <f>SUMIF(88:88,E30,89:89)-SUMIF(88:88,C30,89:89)+100</f>
        <v>100</v>
      </c>
      <c r="I30" s="605" t="s">
        <v>3423</v>
      </c>
      <c r="J30" s="386">
        <f>SUMIF(88:88,E30,89:89)-SUMIF(88:88,C30,89:89)+100</f>
        <v>100</v>
      </c>
      <c r="K30" s="561"/>
      <c r="L30" s="2720"/>
      <c r="M30" s="2714"/>
      <c r="N30" s="2714"/>
      <c r="O30" s="2714"/>
      <c r="P30" s="3652"/>
      <c r="Q30" s="1352" t="str">
        <f t="shared" si="11"/>
        <v>物业等级</v>
      </c>
      <c r="R30" s="705" t="s">
        <v>14</v>
      </c>
      <c r="S30" s="706">
        <f t="shared" si="12"/>
        <v>100</v>
      </c>
      <c r="T30" s="705" t="s">
        <v>14</v>
      </c>
      <c r="U30" s="706">
        <f t="shared" si="13"/>
        <v>100</v>
      </c>
      <c r="V30" s="705" t="s">
        <v>14</v>
      </c>
      <c r="W30" s="706">
        <f t="shared" si="14"/>
        <v>100</v>
      </c>
      <c r="X30" s="1355"/>
      <c r="Y30" s="3652"/>
      <c r="Z30" s="1356" t="str">
        <f t="shared" si="15"/>
        <v>物业等级</v>
      </c>
      <c r="AA30" s="1353">
        <f t="shared" si="3"/>
        <v>1</v>
      </c>
      <c r="AB30" s="1353">
        <f t="shared" si="4"/>
        <v>1</v>
      </c>
      <c r="AC30" s="1353">
        <f t="shared" si="5"/>
        <v>1</v>
      </c>
    </row>
    <row r="31" spans="1:29" s="108" customFormat="1" ht="15">
      <c r="A31" s="606"/>
      <c r="B31" s="602" t="s">
        <v>1841</v>
      </c>
      <c r="C31" s="420">
        <f>'数据-汇总表'!G19</f>
        <v>29.35</v>
      </c>
      <c r="D31" s="127">
        <v>100</v>
      </c>
      <c r="E31" s="420">
        <v>13</v>
      </c>
      <c r="F31" s="412">
        <f>LOOKUP(E31,91:91,92:92)-LOOKUP(C31,91:91,92:92)+100</f>
        <v>95</v>
      </c>
      <c r="G31" s="420">
        <v>29</v>
      </c>
      <c r="H31" s="386">
        <f>LOOKUP(G31,91:91,92:92)-LOOKUP(C31,91:91,92:92)+100</f>
        <v>100</v>
      </c>
      <c r="I31" s="420">
        <v>36.700000000000003</v>
      </c>
      <c r="J31" s="386">
        <f>LOOKUP(I31,91:91,92:92)-LOOKUP(C31,91:91,92:92)+100</f>
        <v>105</v>
      </c>
      <c r="K31" s="561"/>
      <c r="L31" s="2715"/>
      <c r="M31" s="2716"/>
      <c r="N31" s="2716"/>
      <c r="O31" s="2716"/>
      <c r="P31" s="3652"/>
      <c r="Q31" s="1343" t="str">
        <f t="shared" si="11"/>
        <v>停车位面积</v>
      </c>
      <c r="R31" s="701" t="s">
        <v>14</v>
      </c>
      <c r="S31" s="702">
        <f t="shared" si="12"/>
        <v>95</v>
      </c>
      <c r="T31" s="701" t="s">
        <v>14</v>
      </c>
      <c r="U31" s="702">
        <f t="shared" si="13"/>
        <v>100</v>
      </c>
      <c r="V31" s="701" t="s">
        <v>14</v>
      </c>
      <c r="W31" s="702">
        <f t="shared" si="14"/>
        <v>105</v>
      </c>
      <c r="X31" s="703"/>
      <c r="Y31" s="3652"/>
      <c r="Z31" s="52" t="str">
        <f t="shared" si="15"/>
        <v>停车位面积</v>
      </c>
      <c r="AA31" s="704">
        <f t="shared" si="3"/>
        <v>1.0526315789473684</v>
      </c>
      <c r="AB31" s="704">
        <f t="shared" si="4"/>
        <v>1</v>
      </c>
      <c r="AC31" s="704">
        <f t="shared" si="5"/>
        <v>0.95238095238095233</v>
      </c>
    </row>
    <row r="32" spans="1:29" ht="15">
      <c r="A32" s="604"/>
      <c r="B32" s="602" t="s">
        <v>1842</v>
      </c>
      <c r="C32" s="411" t="s">
        <v>3420</v>
      </c>
      <c r="D32" s="386">
        <v>100</v>
      </c>
      <c r="E32" s="411" t="s">
        <v>3420</v>
      </c>
      <c r="F32" s="412">
        <f>SUMIF(93:93,E32,94:94)-SUMIF(93:93,C32,94:94)+100</f>
        <v>100</v>
      </c>
      <c r="G32" s="411" t="s">
        <v>3420</v>
      </c>
      <c r="H32" s="386">
        <f>SUMIF(93:93,G32,94:94)-SUMIF(93:93,C32,94:94)+100</f>
        <v>100</v>
      </c>
      <c r="I32" s="411" t="s">
        <v>3420</v>
      </c>
      <c r="J32" s="386">
        <f>SUMIF(93:93,I32,94:94)-SUMIF(93:93,C32,94:94)+100</f>
        <v>100</v>
      </c>
      <c r="K32" s="561"/>
      <c r="L32" s="2720"/>
      <c r="M32" s="2714"/>
      <c r="N32" s="2714"/>
      <c r="O32" s="2714"/>
      <c r="P32" s="3652" t="s">
        <v>1696</v>
      </c>
      <c r="Q32" s="1352" t="str">
        <f t="shared" si="11"/>
        <v>车位类型</v>
      </c>
      <c r="R32" s="705" t="s">
        <v>14</v>
      </c>
      <c r="S32" s="706">
        <f t="shared" si="12"/>
        <v>100</v>
      </c>
      <c r="T32" s="705" t="s">
        <v>14</v>
      </c>
      <c r="U32" s="706">
        <f t="shared" si="13"/>
        <v>100</v>
      </c>
      <c r="V32" s="705" t="s">
        <v>14</v>
      </c>
      <c r="W32" s="706">
        <f t="shared" si="14"/>
        <v>100</v>
      </c>
      <c r="X32" s="1355"/>
      <c r="Y32" s="3652" t="s">
        <v>1696</v>
      </c>
      <c r="Z32" s="1356" t="str">
        <f t="shared" si="15"/>
        <v>车位类型</v>
      </c>
      <c r="AA32" s="1353">
        <f t="shared" si="3"/>
        <v>1</v>
      </c>
      <c r="AB32" s="1353">
        <f t="shared" si="4"/>
        <v>1</v>
      </c>
      <c r="AC32" s="1353">
        <f t="shared" si="5"/>
        <v>1</v>
      </c>
    </row>
    <row r="33" spans="1:29" ht="15">
      <c r="A33" s="604"/>
      <c r="B33" s="602" t="s">
        <v>1843</v>
      </c>
      <c r="C33" s="411" t="s">
        <v>3400</v>
      </c>
      <c r="D33" s="386">
        <v>100</v>
      </c>
      <c r="E33" s="411" t="s">
        <v>3400</v>
      </c>
      <c r="F33" s="412">
        <f>SUMIF(95:95,E33,96:96)-SUMIF(95:95,C33,96:96)+100</f>
        <v>100</v>
      </c>
      <c r="G33" s="411" t="s">
        <v>3400</v>
      </c>
      <c r="H33" s="386">
        <f>SUMIF(95:95,G33,96:96)-SUMIF(95:95,C33,96:96)+100</f>
        <v>100</v>
      </c>
      <c r="I33" s="411" t="s">
        <v>3400</v>
      </c>
      <c r="J33" s="386">
        <f>SUMIF(95:95,I33,96:96)-SUMIF(95:95,C33,96:96)+100</f>
        <v>100</v>
      </c>
      <c r="K33" s="561"/>
      <c r="L33" s="2720"/>
      <c r="M33" s="2714"/>
      <c r="N33" s="2714"/>
      <c r="O33" s="2714"/>
      <c r="P33" s="3652"/>
      <c r="Q33" s="1352" t="str">
        <f t="shared" si="11"/>
        <v>是否直接入户</v>
      </c>
      <c r="R33" s="705" t="s">
        <v>14</v>
      </c>
      <c r="S33" s="706">
        <f t="shared" si="12"/>
        <v>100</v>
      </c>
      <c r="T33" s="705" t="s">
        <v>14</v>
      </c>
      <c r="U33" s="706">
        <f t="shared" si="13"/>
        <v>100</v>
      </c>
      <c r="V33" s="705" t="s">
        <v>14</v>
      </c>
      <c r="W33" s="706">
        <f t="shared" si="14"/>
        <v>100</v>
      </c>
      <c r="X33" s="1355"/>
      <c r="Y33" s="36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2"/>
      <c r="Q35" s="707">
        <f t="shared" si="11"/>
        <v>111</v>
      </c>
      <c r="R35" s="708" t="s">
        <v>14</v>
      </c>
      <c r="S35" s="709">
        <f t="shared" si="12"/>
        <v>100</v>
      </c>
      <c r="T35" s="708" t="s">
        <v>14</v>
      </c>
      <c r="U35" s="709">
        <f t="shared" si="13"/>
        <v>100</v>
      </c>
      <c r="V35" s="708" t="s">
        <v>14</v>
      </c>
      <c r="W35" s="709">
        <f t="shared" si="14"/>
        <v>100</v>
      </c>
      <c r="X35" s="710"/>
      <c r="Y35" s="36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2"/>
      <c r="Q36" s="1352">
        <f t="shared" si="11"/>
        <v>111</v>
      </c>
      <c r="R36" s="705" t="s">
        <v>14</v>
      </c>
      <c r="S36" s="706">
        <f t="shared" si="12"/>
        <v>100</v>
      </c>
      <c r="T36" s="705" t="s">
        <v>14</v>
      </c>
      <c r="U36" s="706">
        <f t="shared" si="13"/>
        <v>100</v>
      </c>
      <c r="V36" s="705" t="s">
        <v>14</v>
      </c>
      <c r="W36" s="706">
        <f t="shared" si="14"/>
        <v>100</v>
      </c>
      <c r="X36" s="1355"/>
      <c r="Y36" s="3652"/>
      <c r="Z36" s="1356">
        <f t="shared" si="15"/>
        <v>111</v>
      </c>
      <c r="AA36" s="1353">
        <f t="shared" si="3"/>
        <v>1</v>
      </c>
      <c r="AB36" s="1353">
        <f t="shared" si="4"/>
        <v>1</v>
      </c>
      <c r="AC36" s="1353">
        <f t="shared" si="5"/>
        <v>1</v>
      </c>
    </row>
    <row r="37" spans="1:29" ht="15">
      <c r="A37" s="430" t="s">
        <v>1844</v>
      </c>
      <c r="B37" s="1973" t="s">
        <v>3412</v>
      </c>
      <c r="C37" s="1154" t="s">
        <v>0</v>
      </c>
      <c r="D37" s="1155"/>
      <c r="E37" s="1156">
        <v>520000</v>
      </c>
      <c r="F37" s="1157"/>
      <c r="G37" s="1158">
        <v>650000</v>
      </c>
      <c r="H37" s="1159"/>
      <c r="I37" s="1156">
        <v>700000</v>
      </c>
      <c r="J37" s="1159"/>
      <c r="K37" s="568"/>
      <c r="L37" s="2722"/>
      <c r="M37" s="2723"/>
      <c r="N37" s="2714"/>
      <c r="O37" s="2723"/>
      <c r="P37" s="3644" t="str">
        <f>A37</f>
        <v>成交单价</v>
      </c>
      <c r="Q37" s="3644"/>
      <c r="R37" s="3645">
        <f>E37</f>
        <v>520000</v>
      </c>
      <c r="S37" s="3645"/>
      <c r="T37" s="3645">
        <f>G37</f>
        <v>650000</v>
      </c>
      <c r="U37" s="3645"/>
      <c r="V37" s="3645">
        <f>I37</f>
        <v>700000</v>
      </c>
      <c r="W37" s="3645"/>
      <c r="X37" s="690"/>
      <c r="Y37" s="712"/>
      <c r="Z37" s="690"/>
      <c r="AA37" s="690"/>
      <c r="AB37" s="690"/>
      <c r="AC37" s="690"/>
    </row>
    <row r="38" spans="1:29" ht="15.75" thickBot="1">
      <c r="A38" s="437" t="s">
        <v>1845</v>
      </c>
      <c r="B38" s="438" t="str">
        <f>B37</f>
        <v>元/车位</v>
      </c>
      <c r="C38" s="1160">
        <f>R39</f>
        <v>630822</v>
      </c>
      <c r="D38" s="2317" t="s">
        <v>2138</v>
      </c>
      <c r="E38" s="1161">
        <f>R38</f>
        <v>570473</v>
      </c>
      <c r="F38" s="2318"/>
      <c r="G38" s="1160">
        <f>T38</f>
        <v>651303</v>
      </c>
      <c r="H38" s="2318"/>
      <c r="I38" s="1161">
        <f>V38</f>
        <v>670691</v>
      </c>
      <c r="J38" s="2318"/>
      <c r="K38" s="2320">
        <f>F38+H38+J38</f>
        <v>0</v>
      </c>
      <c r="L38" s="2722"/>
      <c r="M38" s="2723"/>
      <c r="N38" s="2723"/>
      <c r="O38" s="2723"/>
      <c r="P38" s="3644" t="str">
        <f>A38</f>
        <v>比较价值（元/平方米）</v>
      </c>
      <c r="Q38" s="3644"/>
      <c r="R38" s="3645">
        <f>IF(F1="售价",ROUND(PRODUCT(R37,AA7:AA36),0),ROUND(PRODUCT(R37,AA7:AA36),1))</f>
        <v>570473</v>
      </c>
      <c r="S38" s="3645"/>
      <c r="T38" s="3645">
        <f>IF(F1="售价",ROUND(PRODUCT(T37,AB7:AB36),0),ROUND(PRODUCT(T37,AB7:AB36),1))</f>
        <v>651303</v>
      </c>
      <c r="U38" s="3645"/>
      <c r="V38" s="3645">
        <f>IF(F1="售价",ROUND(PRODUCT(V37,AC7:AC36),0),ROUND(PRODUCT(V37,AC7:AC36),1))</f>
        <v>670691</v>
      </c>
      <c r="W38" s="3645"/>
      <c r="X38" s="690"/>
      <c r="Y38" s="690"/>
      <c r="Z38" s="690"/>
      <c r="AA38" s="690"/>
      <c r="AB38" s="690"/>
      <c r="AC38" s="690"/>
    </row>
    <row r="39" spans="1:29" ht="15.75" thickBot="1">
      <c r="A39" s="441" t="s">
        <v>1846</v>
      </c>
      <c r="B39" s="442"/>
      <c r="C39" s="1163">
        <f>R39</f>
        <v>630822</v>
      </c>
      <c r="D39" s="1163"/>
      <c r="E39" s="1163"/>
      <c r="F39" s="1163"/>
      <c r="G39" s="1163"/>
      <c r="H39" s="1163"/>
      <c r="I39" s="1163"/>
      <c r="J39" s="1163"/>
      <c r="K39" s="569"/>
      <c r="L39" s="2722"/>
      <c r="M39" s="2723"/>
      <c r="N39" s="2723"/>
      <c r="O39" s="2723"/>
      <c r="P39" s="3646" t="str">
        <f>A39</f>
        <v>估价对象XX用房的比较价值（楼面单价，元/平方米）</v>
      </c>
      <c r="Q39" s="3647"/>
      <c r="R39" s="3648">
        <f>IF(F1="售价",ROUND(IF(D38="简单平均",AVERAGE(R38:W38),R38*F38+T38*H38+V38*J38),0),ROUND(IF(D38="简单平均",AVERAGE(R38:V38),R38*F38+T38*H38+V38*J38),1))</f>
        <v>630822</v>
      </c>
      <c r="S39" s="3648"/>
      <c r="T39" s="3648"/>
      <c r="U39" s="3648"/>
      <c r="V39" s="3648"/>
      <c r="W39" s="364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9.7063461538461571E-2</v>
      </c>
      <c r="F42" s="449" t="str">
        <f>IF(OR(E42&gt;=0.3,E42&lt;=-0.3),"超过30%","")</f>
        <v/>
      </c>
      <c r="G42" s="448">
        <f>IF(G37&lt;G38,G38/G37-1,G37/G38-1)</f>
        <v>2.0046153846153825E-3</v>
      </c>
      <c r="H42" s="449" t="str">
        <f>IF(OR(G42&gt;=0.3,G42&lt;=-0.3),"超过30%","")</f>
        <v/>
      </c>
      <c r="I42" s="448">
        <f>IF(I37&lt;I38,I38/I37-1,I37/I38-1)</f>
        <v>4.369970672038237E-2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0.14168944016631801</v>
      </c>
      <c r="F43" s="449" t="str">
        <f>IF(OR(E43&gt;=0.2,E43&lt;=-0.2),"超过20%","")</f>
        <v/>
      </c>
      <c r="G43" s="448">
        <f>IF(G38&lt;I38,I38/G38-1,G38/I38-1)</f>
        <v>2.9768018879077873E-2</v>
      </c>
      <c r="H43" s="449" t="str">
        <f>IF(OR(G43&gt;=0.2,G43&lt;=-0.2),"超过20%","")</f>
        <v/>
      </c>
      <c r="I43" s="448">
        <f>IF(I38&lt;E38,E38/I38-1,I38/E38-1)</f>
        <v>0.17567527297523289</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0.25</v>
      </c>
      <c r="F44" s="449" t="str">
        <f>IF(OR(E44&gt;=0.3,E44&lt;=-0.3),"超过30%","")</f>
        <v/>
      </c>
      <c r="G44" s="448">
        <f>IF(G37&lt;I37,I37/G37-1,G37/I37-1)</f>
        <v>7.6923076923076872E-2</v>
      </c>
      <c r="H44" s="449" t="str">
        <f>IF(OR(G44&gt;=0.3,G44&lt;=-0.3),"超过30%","")</f>
        <v/>
      </c>
      <c r="I44" s="448">
        <f>IF(I37&lt;E37,E37/I37-1,I37/E37-1)</f>
        <v>0.34615384615384626</v>
      </c>
      <c r="J44" s="449" t="str">
        <f>IF(OR(I44&gt;=0.3,I44&lt;=-0.3),"超过30%","")</f>
        <v>超过30%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3453">
        <f t="shared" ref="P48" si="17">EDATE(O48,-1)</f>
        <v>44593</v>
      </c>
      <c r="Q48" s="3453">
        <f t="shared" ref="Q48" si="18">EDATE(P48,-1)</f>
        <v>44562</v>
      </c>
      <c r="R48" s="3453">
        <f t="shared" ref="R48" si="19">EDATE(Q48,-1)</f>
        <v>44531</v>
      </c>
      <c r="S48" s="3453">
        <f t="shared" ref="S48" si="20">EDATE(R48,-1)</f>
        <v>44501</v>
      </c>
      <c r="T48" s="3453">
        <f t="shared" ref="T48" si="21">EDATE(S48,-1)</f>
        <v>44470</v>
      </c>
      <c r="U48" s="3453">
        <f t="shared" ref="U48" si="22">EDATE(T48,-1)</f>
        <v>44440</v>
      </c>
      <c r="V48" s="3453">
        <f t="shared" ref="V48" si="23">EDATE(U48,-1)</f>
        <v>44409</v>
      </c>
      <c r="W48" s="3453">
        <f t="shared" ref="W48" si="24">EDATE(V48,-1)</f>
        <v>44378</v>
      </c>
      <c r="X48" s="3453">
        <f t="shared" ref="X48" si="25">EDATE(W48,-1)</f>
        <v>44348</v>
      </c>
      <c r="Y48" s="3453">
        <f t="shared" ref="Y48" si="26">EDATE(X48,-1)</f>
        <v>44317</v>
      </c>
      <c r="Z48" s="3453">
        <f t="shared" ref="Z48:AA48" si="27">EDATE(Y48,-1)</f>
        <v>44287</v>
      </c>
      <c r="AA48" s="3453">
        <f t="shared" si="27"/>
        <v>44256</v>
      </c>
      <c r="AB48" s="2739"/>
      <c r="AC48" s="2739"/>
    </row>
    <row r="49" spans="1:29" s="108" customFormat="1" ht="15">
      <c r="A49" s="458"/>
      <c r="B49" s="459"/>
      <c r="C49" s="1177">
        <v>100</v>
      </c>
      <c r="D49" s="461">
        <v>100</v>
      </c>
      <c r="E49" s="461">
        <v>100</v>
      </c>
      <c r="F49" s="461">
        <v>100</v>
      </c>
      <c r="G49" s="461">
        <v>100</v>
      </c>
      <c r="H49" s="461">
        <v>100</v>
      </c>
      <c r="I49" s="461">
        <v>99.8</v>
      </c>
      <c r="J49" s="461">
        <v>99.8</v>
      </c>
      <c r="K49" s="461">
        <v>99.8</v>
      </c>
      <c r="L49" s="461">
        <v>99.8</v>
      </c>
      <c r="M49" s="462">
        <v>99.8</v>
      </c>
      <c r="N49" s="461">
        <v>99.8</v>
      </c>
      <c r="O49" s="462">
        <v>99.6</v>
      </c>
      <c r="P49" s="462">
        <v>99.6</v>
      </c>
      <c r="Q49" s="2659">
        <v>99.6</v>
      </c>
      <c r="R49" s="2659">
        <v>99.6</v>
      </c>
      <c r="S49" s="2659">
        <v>99.6</v>
      </c>
      <c r="T49" s="2659">
        <v>99.6</v>
      </c>
      <c r="U49" s="2659">
        <v>99.4</v>
      </c>
      <c r="V49" s="2659">
        <v>99.4</v>
      </c>
      <c r="W49" s="2659">
        <v>99.4</v>
      </c>
      <c r="X49" s="2659">
        <v>99.4</v>
      </c>
      <c r="Y49" s="2659">
        <v>99.4</v>
      </c>
      <c r="Z49" s="2659">
        <v>99.4</v>
      </c>
      <c r="AA49" s="2659">
        <v>99.2</v>
      </c>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95</v>
      </c>
      <c r="E64" s="493">
        <f>D64-$K14</f>
        <v>90</v>
      </c>
      <c r="F64" s="493">
        <f>E64-$K14</f>
        <v>85</v>
      </c>
      <c r="G64" s="493">
        <f>F64-$K14</f>
        <v>80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28">C80-$K26</f>
        <v>100</v>
      </c>
      <c r="E80" s="493">
        <f t="shared" si="28"/>
        <v>100</v>
      </c>
      <c r="F80" s="493">
        <f t="shared" si="28"/>
        <v>100</v>
      </c>
      <c r="G80" s="493">
        <f t="shared" si="28"/>
        <v>100</v>
      </c>
      <c r="H80" s="493">
        <f t="shared" si="28"/>
        <v>100</v>
      </c>
      <c r="I80" s="493">
        <f t="shared" si="28"/>
        <v>100</v>
      </c>
      <c r="J80" s="493">
        <f t="shared" si="28"/>
        <v>100</v>
      </c>
      <c r="K80" s="493">
        <f t="shared" si="28"/>
        <v>100</v>
      </c>
      <c r="L80" s="493">
        <f t="shared" si="28"/>
        <v>100</v>
      </c>
      <c r="M80" s="494">
        <f t="shared" si="28"/>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3414</v>
      </c>
      <c r="D81" s="609" t="s">
        <v>3415</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485">
        <v>101</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4" t="s">
        <v>3417</v>
      </c>
      <c r="D83" s="3454" t="s">
        <v>3419</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29">C84-$K28</f>
        <v>100</v>
      </c>
      <c r="E84" s="493">
        <f t="shared" si="29"/>
        <v>100</v>
      </c>
      <c r="F84" s="493">
        <f t="shared" si="29"/>
        <v>100</v>
      </c>
      <c r="G84" s="493">
        <f t="shared" si="29"/>
        <v>100</v>
      </c>
      <c r="H84" s="493">
        <f t="shared" si="29"/>
        <v>100</v>
      </c>
      <c r="I84" s="493">
        <f t="shared" si="29"/>
        <v>100</v>
      </c>
      <c r="J84" s="493">
        <f t="shared" si="29"/>
        <v>100</v>
      </c>
      <c r="K84" s="493">
        <f t="shared" si="29"/>
        <v>100</v>
      </c>
      <c r="L84" s="493">
        <f t="shared" si="29"/>
        <v>100</v>
      </c>
      <c r="M84" s="494">
        <f t="shared" si="29"/>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30">D87+$K$29</f>
        <v>100</v>
      </c>
      <c r="F87" s="493">
        <f t="shared" si="30"/>
        <v>100</v>
      </c>
      <c r="G87" s="493">
        <f t="shared" si="30"/>
        <v>100</v>
      </c>
      <c r="H87" s="493">
        <f t="shared" si="30"/>
        <v>100</v>
      </c>
      <c r="I87" s="493">
        <f t="shared" si="30"/>
        <v>100</v>
      </c>
      <c r="J87" s="493">
        <f t="shared" si="30"/>
        <v>100</v>
      </c>
      <c r="K87" s="493">
        <f t="shared" si="30"/>
        <v>100</v>
      </c>
      <c r="L87" s="493">
        <f t="shared" si="30"/>
        <v>100</v>
      </c>
      <c r="M87" s="493">
        <f t="shared" si="30"/>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55" t="s">
        <v>3424</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31">C89+$K30</f>
        <v>100</v>
      </c>
      <c r="E89" s="493">
        <f t="shared" si="31"/>
        <v>100</v>
      </c>
      <c r="F89" s="493">
        <f t="shared" si="31"/>
        <v>100</v>
      </c>
      <c r="G89" s="493">
        <f t="shared" si="31"/>
        <v>100</v>
      </c>
      <c r="H89" s="493">
        <f t="shared" si="31"/>
        <v>100</v>
      </c>
      <c r="I89" s="493">
        <f t="shared" si="31"/>
        <v>100</v>
      </c>
      <c r="J89" s="493">
        <f t="shared" si="31"/>
        <v>100</v>
      </c>
      <c r="K89" s="493">
        <f t="shared" si="31"/>
        <v>100</v>
      </c>
      <c r="L89" s="493">
        <f t="shared" si="31"/>
        <v>100</v>
      </c>
      <c r="M89" s="493">
        <f t="shared" si="31"/>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0(含)-20</v>
      </c>
      <c r="D90" s="527" t="str">
        <f t="shared" ref="D90:L90" si="32">D91&amp;"(含)"&amp;"-"&amp;E91</f>
        <v>20(含)-30</v>
      </c>
      <c r="E90" s="527" t="str">
        <f t="shared" si="32"/>
        <v>30(含)-40</v>
      </c>
      <c r="F90" s="527" t="str">
        <f t="shared" si="32"/>
        <v>40(含)-</v>
      </c>
      <c r="G90" s="527" t="str">
        <f t="shared" si="32"/>
        <v>(含)-</v>
      </c>
      <c r="H90" s="527" t="str">
        <f t="shared" si="32"/>
        <v>(含)-</v>
      </c>
      <c r="I90" s="527" t="str">
        <f t="shared" si="32"/>
        <v>(含)-</v>
      </c>
      <c r="J90" s="527" t="str">
        <f t="shared" si="32"/>
        <v>(含)-</v>
      </c>
      <c r="K90" s="527" t="str">
        <f t="shared" si="32"/>
        <v>(含)-</v>
      </c>
      <c r="L90" s="527" t="str">
        <f t="shared" si="32"/>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20</v>
      </c>
      <c r="E91" s="544">
        <v>30</v>
      </c>
      <c r="F91" s="544">
        <v>40</v>
      </c>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485">
        <v>105</v>
      </c>
      <c r="E92" s="485">
        <v>110</v>
      </c>
      <c r="F92" s="485">
        <v>115</v>
      </c>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4" t="s">
        <v>3421</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33">C94-$K32</f>
        <v>100</v>
      </c>
      <c r="E94" s="493">
        <f t="shared" si="33"/>
        <v>100</v>
      </c>
      <c r="F94" s="493">
        <f t="shared" si="33"/>
        <v>100</v>
      </c>
      <c r="G94" s="493">
        <f t="shared" si="33"/>
        <v>100</v>
      </c>
      <c r="H94" s="493">
        <f t="shared" si="33"/>
        <v>100</v>
      </c>
      <c r="I94" s="493">
        <f t="shared" si="33"/>
        <v>100</v>
      </c>
      <c r="J94" s="493">
        <f t="shared" si="33"/>
        <v>100</v>
      </c>
      <c r="K94" s="493">
        <f t="shared" si="33"/>
        <v>100</v>
      </c>
      <c r="L94" s="493">
        <f t="shared" si="33"/>
        <v>100</v>
      </c>
      <c r="M94" s="494">
        <f t="shared" si="33"/>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3455" t="s">
        <v>3422</v>
      </c>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67" priority="18" stopIfTrue="1" operator="containsText" text="超过">
      <formula>NOT(ISERROR(SEARCH("超过",F42)))</formula>
    </cfRule>
  </conditionalFormatting>
  <conditionalFormatting sqref="J44">
    <cfRule type="containsText" dxfId="166" priority="17" stopIfTrue="1" operator="containsText" text="超过">
      <formula>NOT(ISERROR(SEARCH("超过",J44)))</formula>
    </cfRule>
  </conditionalFormatting>
  <conditionalFormatting sqref="H44">
    <cfRule type="containsText" dxfId="165" priority="16" stopIfTrue="1" operator="containsText" text="超过">
      <formula>NOT(ISERROR(SEARCH("超过",H44)))</formula>
    </cfRule>
  </conditionalFormatting>
  <conditionalFormatting sqref="F44">
    <cfRule type="containsText" dxfId="164" priority="15" stopIfTrue="1" operator="containsText" text="超过">
      <formula>NOT(ISERROR(SEARCH("超过",F44)))</formula>
    </cfRule>
  </conditionalFormatting>
  <conditionalFormatting sqref="F43 H43 J43">
    <cfRule type="containsText" dxfId="163" priority="14" stopIfTrue="1" operator="containsText" text="超过">
      <formula>NOT(ISERROR(SEARCH("超过",F43)))</formula>
    </cfRule>
  </conditionalFormatting>
  <conditionalFormatting sqref="E42">
    <cfRule type="expression" dxfId="162" priority="13" stopIfTrue="1">
      <formula>$F$42="超过30%"</formula>
    </cfRule>
  </conditionalFormatting>
  <conditionalFormatting sqref="G44">
    <cfRule type="expression" dxfId="161" priority="12" stopIfTrue="1">
      <formula>$H$54+$H$44="超过30%"</formula>
    </cfRule>
  </conditionalFormatting>
  <conditionalFormatting sqref="E43">
    <cfRule type="expression" dxfId="160" priority="11" stopIfTrue="1">
      <formula>$F$43="超过20%"</formula>
    </cfRule>
  </conditionalFormatting>
  <conditionalFormatting sqref="E44">
    <cfRule type="expression" dxfId="159" priority="10" stopIfTrue="1">
      <formula>$F$44="超过30%"</formula>
    </cfRule>
  </conditionalFormatting>
  <conditionalFormatting sqref="G42">
    <cfRule type="expression" dxfId="158" priority="9" stopIfTrue="1">
      <formula>$H$52+$H$42="超过30%"</formula>
    </cfRule>
  </conditionalFormatting>
  <conditionalFormatting sqref="G43">
    <cfRule type="expression" dxfId="157" priority="8" stopIfTrue="1">
      <formula>$H$43="超过20%"</formula>
    </cfRule>
  </conditionalFormatting>
  <conditionalFormatting sqref="I42">
    <cfRule type="expression" dxfId="156" priority="7" stopIfTrue="1">
      <formula>$J$52+$J$42="超过30%"</formula>
    </cfRule>
  </conditionalFormatting>
  <conditionalFormatting sqref="I43">
    <cfRule type="expression" dxfId="155" priority="6" stopIfTrue="1">
      <formula>$J$53+$J$43="超过20%"</formula>
    </cfRule>
  </conditionalFormatting>
  <conditionalFormatting sqref="I44">
    <cfRule type="expression" dxfId="154" priority="5" stopIfTrue="1">
      <formula>$J$44="超过30%"</formula>
    </cfRule>
  </conditionalFormatting>
  <conditionalFormatting sqref="F38">
    <cfRule type="expression" dxfId="153" priority="4">
      <formula>$D$38="简单平均"</formula>
    </cfRule>
  </conditionalFormatting>
  <conditionalFormatting sqref="H38">
    <cfRule type="expression" dxfId="152" priority="3">
      <formula>$D$38="简单平均"</formula>
    </cfRule>
  </conditionalFormatting>
  <conditionalFormatting sqref="J38">
    <cfRule type="expression" dxfId="151" priority="2">
      <formula>$D$38="简单平均"</formula>
    </cfRule>
  </conditionalFormatting>
  <conditionalFormatting sqref="F7:F36 H7:H36 J7:J36">
    <cfRule type="cellIs" dxfId="15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F40" sqref="F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32.198599999999999</v>
      </c>
      <c r="C2" s="1387" t="s">
        <v>879</v>
      </c>
      <c r="D2" s="1471">
        <f ca="1">C40+J29+L46</f>
        <v>321986</v>
      </c>
      <c r="E2" s="1388" t="s">
        <v>880</v>
      </c>
      <c r="F2" s="1389"/>
      <c r="G2" s="2704"/>
      <c r="H2" s="2693"/>
      <c r="I2" s="2693"/>
      <c r="J2" s="2693"/>
      <c r="K2" s="2694"/>
      <c r="L2" s="2693"/>
      <c r="M2" s="2693"/>
    </row>
    <row r="3" spans="1:37" ht="18" customHeight="1" thickBot="1">
      <c r="A3" s="1390" t="s">
        <v>881</v>
      </c>
      <c r="B3" s="1391">
        <f ca="1">IF(ISERROR(D2/F43),0,ROUND(D2/F43,0))</f>
        <v>10971</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15980</v>
      </c>
      <c r="D5" s="1364" t="s">
        <v>889</v>
      </c>
      <c r="E5" s="1071"/>
      <c r="F5" s="1072"/>
      <c r="G5" s="1384"/>
      <c r="H5" s="299">
        <v>1</v>
      </c>
      <c r="I5" s="300" t="s">
        <v>888</v>
      </c>
      <c r="J5" s="1070">
        <f ca="1">J6+J10+J12</f>
        <v>0</v>
      </c>
      <c r="K5" s="1364" t="s">
        <v>889</v>
      </c>
      <c r="L5" s="1071"/>
      <c r="M5" s="1072"/>
    </row>
    <row r="6" spans="1:37" ht="18" customHeight="1">
      <c r="A6" s="1069" t="s">
        <v>398</v>
      </c>
      <c r="B6" s="3685" t="s">
        <v>694</v>
      </c>
      <c r="C6" s="1074">
        <f ca="1">ROUND(F6*F8*F7*(1-F9),0)</f>
        <v>15960</v>
      </c>
      <c r="D6" s="155" t="s">
        <v>2106</v>
      </c>
      <c r="E6" s="302" t="s">
        <v>696</v>
      </c>
      <c r="F6" s="303">
        <f ca="1">INDIRECT("'数据-取费表'!u"&amp;$G$1)</f>
        <v>1400</v>
      </c>
      <c r="G6" s="1384"/>
      <c r="H6" s="1069" t="s">
        <v>398</v>
      </c>
      <c r="I6" s="3685" t="s">
        <v>694</v>
      </c>
      <c r="J6" s="301">
        <f ca="1">ROUND(M6*M8*M7*(1-M9),0)</f>
        <v>0</v>
      </c>
      <c r="K6" s="1376" t="s">
        <v>2107</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1</v>
      </c>
      <c r="G7" s="1384"/>
      <c r="H7" s="304"/>
      <c r="I7" s="3686"/>
      <c r="J7" s="306"/>
      <c r="K7" s="307"/>
      <c r="L7" s="302" t="s">
        <v>697</v>
      </c>
      <c r="M7" s="303">
        <f ca="1">F7</f>
        <v>1</v>
      </c>
    </row>
    <row r="8" spans="1:37" ht="18" customHeight="1">
      <c r="A8" s="304"/>
      <c r="B8" s="3686"/>
      <c r="C8" s="306"/>
      <c r="D8" s="307"/>
      <c r="E8" s="302" t="s">
        <v>698</v>
      </c>
      <c r="F8" s="303">
        <f ca="1">INDIRECT("'数据-取费表'!ai"&amp;$G$1)</f>
        <v>12</v>
      </c>
      <c r="G8" s="1384"/>
      <c r="H8" s="304"/>
      <c r="I8" s="3686"/>
      <c r="J8" s="306"/>
      <c r="K8" s="307"/>
      <c r="L8" s="302" t="s">
        <v>698</v>
      </c>
      <c r="M8" s="303">
        <f ca="1">INDIRECT("'数据-取费表'!ai"&amp;$G$1)</f>
        <v>12</v>
      </c>
    </row>
    <row r="9" spans="1:37" ht="18" customHeight="1">
      <c r="A9" s="304"/>
      <c r="B9" s="3687"/>
      <c r="C9" s="306"/>
      <c r="D9" s="307"/>
      <c r="E9" s="302" t="s">
        <v>699</v>
      </c>
      <c r="F9" s="312">
        <f ca="1">INDIRECT("'数据-取费表'!w"&amp;$G$1)</f>
        <v>0.05</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20</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88682</v>
      </c>
      <c r="D13" s="1081" t="s">
        <v>705</v>
      </c>
      <c r="E13" s="1081" t="s">
        <v>706</v>
      </c>
      <c r="F13" s="1082">
        <f ca="1">INDIRECT("'数据-取费表'!y"&amp;$G$1)</f>
        <v>0.71499999999999997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88050</v>
      </c>
      <c r="D14" s="1345" t="s">
        <v>708</v>
      </c>
      <c r="E14" s="1342"/>
      <c r="F14" s="319"/>
      <c r="G14" s="1384"/>
      <c r="H14" s="982" t="s">
        <v>398</v>
      </c>
      <c r="I14" s="302" t="s">
        <v>709</v>
      </c>
      <c r="J14" s="21">
        <f ca="1">C29</f>
        <v>124031</v>
      </c>
      <c r="K14" s="12"/>
      <c r="L14" s="807"/>
      <c r="M14" s="808"/>
    </row>
    <row r="15" spans="1:37" s="1397" customFormat="1" ht="18" customHeight="1" thickBot="1">
      <c r="A15" s="982" t="s">
        <v>399</v>
      </c>
      <c r="B15" s="302" t="s">
        <v>710</v>
      </c>
      <c r="C15" s="21">
        <f ca="1">ROUND(C14*F15,0)</f>
        <v>2642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992</v>
      </c>
      <c r="K16" s="1087" t="s">
        <v>715</v>
      </c>
      <c r="L16" s="1088"/>
      <c r="M16" s="1072"/>
    </row>
    <row r="17" spans="1:37" s="1397" customFormat="1" ht="18" customHeight="1">
      <c r="A17" s="982" t="s">
        <v>681</v>
      </c>
      <c r="B17" s="302" t="s">
        <v>716</v>
      </c>
      <c r="C17" s="21">
        <f ca="1">ROUND(F17*(F43+INDIRECT("'数据-取费表'!S"&amp;$G$1)),0)</f>
        <v>5870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97883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1958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992</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4742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-992</v>
      </c>
      <c r="K25" s="1095" t="s">
        <v>753</v>
      </c>
      <c r="L25" s="1096"/>
      <c r="M25" s="1097"/>
    </row>
    <row r="26" spans="1:37" ht="18" customHeight="1">
      <c r="A26" s="982" t="s">
        <v>397</v>
      </c>
      <c r="B26" s="302" t="s">
        <v>754</v>
      </c>
      <c r="C26" s="21">
        <f ca="1">ROUND((C19+C20)*F26,0)</f>
        <v>9984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3.5000000000000003E-2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124031</v>
      </c>
      <c r="D29" s="1092"/>
      <c r="E29" s="1090"/>
      <c r="F29" s="1093"/>
      <c r="G29" s="1396"/>
      <c r="H29" s="334" t="s">
        <v>396</v>
      </c>
      <c r="I29" s="335" t="s">
        <v>768</v>
      </c>
      <c r="J29" s="336">
        <f ca="1">ROUND(J26/(1+F40)^F41,0)</f>
        <v>0</v>
      </c>
      <c r="K29" s="337" t="s">
        <v>769</v>
      </c>
      <c r="L29" s="338"/>
      <c r="M29" s="339">
        <f ca="1">INDIRECT("'数据-取费表'!k"&amp;$G$1)</f>
        <v>29.35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2255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1064</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992</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71</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128</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13725</v>
      </c>
      <c r="D39" s="1095" t="s">
        <v>773</v>
      </c>
      <c r="E39" s="1096"/>
      <c r="F39" s="1097"/>
      <c r="G39" s="1384"/>
      <c r="H39" s="2698"/>
      <c r="I39" s="1398"/>
      <c r="J39" s="1399"/>
      <c r="K39" s="2702"/>
      <c r="L39" s="2698"/>
      <c r="M39" s="2698"/>
    </row>
    <row r="40" spans="1:18" ht="18" customHeight="1">
      <c r="A40" s="299" t="s">
        <v>395</v>
      </c>
      <c r="B40" s="300" t="s">
        <v>774</v>
      </c>
      <c r="C40" s="301">
        <f ca="1">ROUND(C39*(1-((1+F42)/(1+F40))^F41)/(F40-F42),0)</f>
        <v>306189</v>
      </c>
      <c r="D40" s="324" t="s">
        <v>758</v>
      </c>
      <c r="E40" s="302" t="s">
        <v>759</v>
      </c>
      <c r="F40" s="312">
        <f ca="1">INDIRECT("'数据-取费表'!I"&amp;$G$1)</f>
        <v>3.5000000000000003E-2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10432</v>
      </c>
      <c r="D43" s="337" t="s">
        <v>777</v>
      </c>
      <c r="E43" s="338" t="s">
        <v>778</v>
      </c>
      <c r="F43" s="339">
        <f ca="1">INDIRECT("'数据-取费表'!k"&amp;$G$1)</f>
        <v>29.35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-32.414299999999997</v>
      </c>
      <c r="D45" s="3430" t="s">
        <v>3358</v>
      </c>
      <c r="E45" s="1400"/>
      <c r="F45" s="1400"/>
      <c r="O45" s="1403" t="s">
        <v>808</v>
      </c>
      <c r="P45" s="1461"/>
      <c r="Q45" s="1461"/>
      <c r="R45" s="1461"/>
    </row>
    <row r="46" spans="1:18" s="1384" customFormat="1" ht="13.5" thickBot="1">
      <c r="A46" s="1404" t="s">
        <v>809</v>
      </c>
      <c r="C46" s="1405">
        <f ca="1">ROUND(C45,0)</f>
        <v>-32</v>
      </c>
      <c r="D46" s="1406" t="str">
        <f>C2</f>
        <v>万元</v>
      </c>
      <c r="I46" s="1407" t="s">
        <v>810</v>
      </c>
      <c r="J46" s="1408"/>
      <c r="K46" s="1409"/>
      <c r="L46" s="1410">
        <f ca="1">IF(M47="住宅",0,IF(L48&gt;J51,L60,J60))</f>
        <v>15797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306189</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26</v>
      </c>
      <c r="O48" s="1418" t="s">
        <v>404</v>
      </c>
      <c r="P48" s="1419" t="s">
        <v>821</v>
      </c>
      <c r="Q48" s="1420">
        <f ca="1">J60</f>
        <v>15797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124031</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38</v>
      </c>
      <c r="K51" s="1434" t="s">
        <v>830</v>
      </c>
      <c r="L51" s="1435">
        <f ca="1">ROUND(-PV(INDIRECT("'数据-取费表'!h"&amp;$G$1),J51,(C39-C13*C76),0),0)</f>
        <v>171357</v>
      </c>
      <c r="M51" s="1436"/>
      <c r="O51" s="1428" t="s">
        <v>407</v>
      </c>
      <c r="P51" s="1419" t="s">
        <v>831</v>
      </c>
      <c r="Q51" s="1431">
        <f ca="1">J52</f>
        <v>4.5000000000000005E-2</v>
      </c>
      <c r="R51" s="1420"/>
    </row>
    <row r="52" spans="1:18" s="1384" customFormat="1" ht="13.5" thickBot="1">
      <c r="A52" s="977"/>
      <c r="B52" s="979"/>
      <c r="C52" s="980"/>
      <c r="D52" s="953"/>
      <c r="E52" s="981" t="s">
        <v>699</v>
      </c>
      <c r="F52" s="1054"/>
      <c r="I52" s="1437" t="s">
        <v>832</v>
      </c>
      <c r="J52" s="3799">
        <f ca="1">F40+1%</f>
        <v>4.5000000000000005E-2</v>
      </c>
      <c r="K52" s="1437" t="s">
        <v>833</v>
      </c>
      <c r="L52" s="1438"/>
      <c r="O52" s="1428" t="s">
        <v>408</v>
      </c>
      <c r="P52" s="1419" t="s">
        <v>834</v>
      </c>
      <c r="Q52" s="1420">
        <f ca="1">J53</f>
        <v>26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v>
      </c>
      <c r="K53" s="3688" t="s">
        <v>837</v>
      </c>
      <c r="L53" s="3689"/>
      <c r="O53" s="1418" t="s">
        <v>409</v>
      </c>
      <c r="P53" s="1419" t="s">
        <v>838</v>
      </c>
      <c r="Q53" s="1420">
        <f ca="1">Q47+Q48</f>
        <v>321986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88682</v>
      </c>
      <c r="D56" s="1447"/>
      <c r="E56" s="1448"/>
      <c r="F56" s="1440"/>
      <c r="I56" s="1449" t="s">
        <v>842</v>
      </c>
      <c r="J56" s="1450" t="s">
        <v>3400</v>
      </c>
      <c r="K56" s="1421" t="s">
        <v>843</v>
      </c>
      <c r="L56" s="1424" t="str">
        <f ca="1">IF(L48&lt;J51,"——",L48-J51)</f>
        <v>——</v>
      </c>
      <c r="O56" s="1418" t="s">
        <v>403</v>
      </c>
      <c r="P56" s="1419" t="s">
        <v>817</v>
      </c>
      <c r="Q56" s="1420">
        <f ca="1">C40+J29</f>
        <v>306189</v>
      </c>
      <c r="R56" s="1420" t="s">
        <v>818</v>
      </c>
    </row>
    <row r="57" spans="1:18" s="1384" customFormat="1" ht="24.75" thickBot="1">
      <c r="A57" s="1451"/>
      <c r="B57" s="950" t="s">
        <v>767</v>
      </c>
      <c r="C57" s="238">
        <f ca="1">C29</f>
        <v>124031</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1063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49612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15797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306189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992</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71</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306189</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-1063</v>
      </c>
      <c r="D67" s="963" t="s">
        <v>753</v>
      </c>
      <c r="E67" s="968"/>
      <c r="F67" s="969"/>
      <c r="O67" s="1428" t="s">
        <v>405</v>
      </c>
      <c r="P67" s="1419" t="s">
        <v>850</v>
      </c>
      <c r="Q67" s="1466">
        <f ca="1">L51</f>
        <v>171357</v>
      </c>
      <c r="R67" s="1420" t="s">
        <v>870</v>
      </c>
    </row>
    <row r="68" spans="1:18" s="1384" customFormat="1" ht="16.5" thickBot="1">
      <c r="A68" s="947" t="s">
        <v>395</v>
      </c>
      <c r="B68" s="948" t="s">
        <v>774</v>
      </c>
      <c r="C68" s="301">
        <f ca="1">ROUND(C67*(1-((1+F70)/(1+F68))^F69)/(F68-F70),0)</f>
        <v>-17954</v>
      </c>
      <c r="D68" s="965" t="s">
        <v>758</v>
      </c>
      <c r="E68" s="950" t="s">
        <v>759</v>
      </c>
      <c r="F68" s="312">
        <f ca="1">F40</f>
        <v>3.5000000000000003E-2</v>
      </c>
      <c r="O68" s="1428" t="s">
        <v>406</v>
      </c>
      <c r="P68" s="1467" t="s">
        <v>871</v>
      </c>
      <c r="Q68" s="1420">
        <f ca="1">ROUND(Q69-Q70*Q71,0)</f>
        <v>8847</v>
      </c>
      <c r="R68" s="1420" t="s">
        <v>414</v>
      </c>
    </row>
    <row r="69" spans="1:18" s="1384" customFormat="1" ht="13.5" thickBot="1">
      <c r="A69" s="951"/>
      <c r="B69" s="952"/>
      <c r="C69" s="306"/>
      <c r="D69" s="970" t="s">
        <v>762</v>
      </c>
      <c r="E69" s="950" t="s">
        <v>763</v>
      </c>
      <c r="F69" s="333">
        <f ca="1">F41</f>
        <v>26</v>
      </c>
      <c r="O69" s="1428" t="s">
        <v>411</v>
      </c>
      <c r="P69" s="1467" t="s">
        <v>872</v>
      </c>
      <c r="Q69" s="1420">
        <f ca="1">C39</f>
        <v>13725</v>
      </c>
      <c r="R69" s="1420" t="s">
        <v>818</v>
      </c>
    </row>
    <row r="70" spans="1:18" s="1384" customFormat="1" ht="13.5" thickBot="1">
      <c r="A70" s="954"/>
      <c r="B70" s="955"/>
      <c r="C70" s="310"/>
      <c r="D70" s="966"/>
      <c r="E70" s="950" t="s">
        <v>766</v>
      </c>
      <c r="F70" s="1054"/>
      <c r="O70" s="1428" t="s">
        <v>412</v>
      </c>
      <c r="P70" s="1467" t="s">
        <v>873</v>
      </c>
      <c r="Q70" s="1420">
        <f ca="1">C13</f>
        <v>88682</v>
      </c>
      <c r="R70" s="1420" t="s">
        <v>818</v>
      </c>
    </row>
    <row r="71" spans="1:18" s="1384" customFormat="1" ht="13.5" thickBot="1">
      <c r="A71" s="971" t="s">
        <v>396</v>
      </c>
      <c r="B71" s="972" t="s">
        <v>776</v>
      </c>
      <c r="C71" s="336">
        <f ca="1">ROUND(C68/F71,0)</f>
        <v>-612</v>
      </c>
      <c r="D71" s="973" t="s">
        <v>777</v>
      </c>
      <c r="E71" s="974" t="s">
        <v>778</v>
      </c>
      <c r="F71" s="339">
        <f ca="1">F43</f>
        <v>29.35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4878</v>
      </c>
      <c r="D75" s="1384"/>
      <c r="E75" s="1384"/>
      <c r="F75" s="1384"/>
      <c r="K75" s="1402"/>
      <c r="L75" s="1384"/>
      <c r="O75" s="1418" t="s">
        <v>409</v>
      </c>
      <c r="P75" s="1419" t="s">
        <v>838</v>
      </c>
      <c r="Q75" s="1420">
        <f ca="1">Q65+Q66</f>
        <v>306189</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0.64500000000000002</v>
      </c>
    </row>
    <row r="80" spans="1:18">
      <c r="B80" s="340" t="s">
        <v>800</v>
      </c>
      <c r="C80" s="274">
        <f ca="1">ROUND(C75/C39,3)</f>
        <v>0.35499999999999998</v>
      </c>
    </row>
    <row r="81" spans="2:3">
      <c r="B81" s="270" t="s">
        <v>801</v>
      </c>
      <c r="C81" s="238"/>
    </row>
    <row r="82" spans="2:3">
      <c r="B82" s="273" t="s">
        <v>802</v>
      </c>
      <c r="C82" s="275">
        <f ca="1">1-C83</f>
        <v>0.71</v>
      </c>
    </row>
    <row r="83" spans="2:3">
      <c r="B83" s="273" t="s">
        <v>803</v>
      </c>
      <c r="C83" s="274">
        <f ca="1">ROUND(C13/C40,3)</f>
        <v>0.28999999999999998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L26" sqref="L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3382</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29.360800000000001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10004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155130</v>
      </c>
      <c r="D5" s="211" t="s">
        <v>1469</v>
      </c>
      <c r="E5" s="212" t="s">
        <v>1470</v>
      </c>
      <c r="F5" s="212" t="s">
        <v>1471</v>
      </c>
      <c r="G5" s="213"/>
    </row>
    <row r="6" spans="1:8" s="214" customFormat="1" ht="13.5" customHeight="1">
      <c r="A6" s="778" t="s">
        <v>1472</v>
      </c>
      <c r="B6" s="215" t="s">
        <v>1473</v>
      </c>
      <c r="C6" s="216">
        <f>ROUND(基准地价修正!C42*基准地价修正!D42,0)</f>
        <v>144842</v>
      </c>
      <c r="D6" s="217"/>
      <c r="E6" s="218"/>
      <c r="F6" s="218"/>
      <c r="G6" s="219"/>
    </row>
    <row r="7" spans="1:8" s="214" customFormat="1" ht="13.5" customHeight="1">
      <c r="A7" s="778" t="s">
        <v>1474</v>
      </c>
      <c r="B7" s="215" t="s">
        <v>1475</v>
      </c>
      <c r="C7" s="220">
        <f>ROUND(C6*F7,0)</f>
        <v>4418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5870</v>
      </c>
      <c r="D8" s="222"/>
      <c r="E8" s="220"/>
      <c r="F8" s="221"/>
      <c r="G8" s="1856" t="s">
        <v>3388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5870</v>
      </c>
      <c r="D10" s="845">
        <f ca="1">IF(B1="",'数据-汇总表'!E6,IF(INDIRECT("'数据-取费表'!c"&amp;$G$1)="住宅",INDIRECT("'数据-取费表'!s"&amp;$G$1),INDIRECT("'数据-取费表'!k"&amp;$G$1)+INDIRECT("'数据-取费表'!s"&amp;$G$1)))</f>
        <v>29.35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29.35</v>
      </c>
      <c r="E19" s="211">
        <f>'数据-取费表'!B31</f>
        <v>200</v>
      </c>
      <c r="F19" s="231"/>
      <c r="G19" s="1856" t="s">
        <v>3389</v>
      </c>
    </row>
    <row r="20" spans="1:7" s="214" customFormat="1" ht="13.5" customHeight="1">
      <c r="A20" s="255" t="s">
        <v>1574</v>
      </c>
      <c r="B20" s="210" t="s">
        <v>1575</v>
      </c>
      <c r="C20" s="232">
        <f ca="1">ROUND((C5+C19)*F20,0)</f>
        <v>3103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15234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15087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15823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15823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204926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97883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88050</v>
      </c>
      <c r="D34" s="217"/>
      <c r="E34" s="220"/>
      <c r="F34" s="257"/>
      <c r="G34" s="219"/>
    </row>
    <row r="35" spans="1:7" ht="13.5" customHeight="1">
      <c r="A35" s="780" t="s">
        <v>351</v>
      </c>
      <c r="B35" s="215" t="s">
        <v>1527</v>
      </c>
      <c r="C35" s="220">
        <f ca="1">ROUND(C34*F35,0)</f>
        <v>2642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5870</v>
      </c>
      <c r="D37" s="217">
        <f ca="1">D19</f>
        <v>29.35</v>
      </c>
      <c r="E37" s="249">
        <f>'数据-取费表'!B35</f>
        <v>200</v>
      </c>
      <c r="F37" s="259"/>
      <c r="G37" s="261"/>
    </row>
    <row r="38" spans="1:7" ht="13.5" customHeight="1">
      <c r="A38" s="780" t="s">
        <v>354</v>
      </c>
      <c r="B38" s="215" t="s">
        <v>1533</v>
      </c>
      <c r="C38" s="220">
        <f ca="1">ROUND(C34*F38,0)</f>
        <v>1321</v>
      </c>
      <c r="D38" s="220"/>
      <c r="E38" s="220"/>
      <c r="F38" s="259">
        <f>'数据-取费表'!B36</f>
        <v>1.4999999999999999E-2</v>
      </c>
      <c r="G38" s="219" t="s">
        <v>1528</v>
      </c>
    </row>
    <row r="39" spans="1:7" s="214" customFormat="1" ht="13.5" customHeight="1">
      <c r="A39" s="255" t="s">
        <v>1534</v>
      </c>
      <c r="B39" s="210" t="s">
        <v>1535</v>
      </c>
      <c r="C39" s="232">
        <f ca="1">ROUND(C33*F20,0)</f>
        <v>1958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4742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4649</v>
      </c>
      <c r="D42" s="238"/>
      <c r="E42" s="238"/>
      <c r="F42" s="239"/>
      <c r="G42" s="3641" t="s">
        <v>1591</v>
      </c>
    </row>
    <row r="43" spans="1:7" ht="13.5" customHeight="1">
      <c r="A43" s="780" t="s">
        <v>347</v>
      </c>
      <c r="B43" s="215" t="s">
        <v>1545</v>
      </c>
      <c r="C43" s="238">
        <f ca="1">ROUND(IF('数据-取费表'!B22&lt;=1,C39*F22*'数据-取费表'!B20/2,C39*(POWER((1+F22),'数据-取费表'!B20/2)-1)),0)</f>
        <v>93</v>
      </c>
      <c r="D43" s="238"/>
      <c r="E43" s="238"/>
      <c r="F43" s="239"/>
      <c r="G43" s="3642"/>
    </row>
    <row r="44" spans="1:7" ht="13.5" customHeight="1">
      <c r="A44" s="780" t="s">
        <v>348</v>
      </c>
      <c r="B44" s="215" t="s">
        <v>1546</v>
      </c>
      <c r="C44" s="238">
        <f ca="1">ROUND(IF('数据-取费表'!B22&lt;=1,C40*F22*'数据-取费表'!B20/2,C40*(POWER((1+F22),'数据-取费表'!B20/2)-1)),4)</f>
        <v>1E-3</v>
      </c>
      <c r="D44" s="238"/>
      <c r="E44" s="238"/>
      <c r="F44" s="239"/>
      <c r="G44" s="3643"/>
    </row>
    <row r="45" spans="1:7" s="214" customFormat="1" ht="13.5" customHeight="1">
      <c r="A45" s="255" t="s">
        <v>1547</v>
      </c>
      <c r="B45" s="244" t="s">
        <v>1513</v>
      </c>
      <c r="C45" s="245">
        <f ca="1">C46</f>
        <v>9984</v>
      </c>
      <c r="D45" s="235">
        <f ca="1">C47</f>
        <v>2E-3</v>
      </c>
      <c r="E45" s="236" t="s">
        <v>1539</v>
      </c>
      <c r="F45" s="246">
        <f ca="1">F27</f>
        <v>0.1</v>
      </c>
      <c r="G45" s="247" t="s">
        <v>1548</v>
      </c>
    </row>
    <row r="46" spans="1:7" s="214" customFormat="1" ht="13.5" customHeight="1">
      <c r="A46" s="780" t="s">
        <v>346</v>
      </c>
      <c r="B46" s="248" t="s">
        <v>1549</v>
      </c>
      <c r="C46" s="249">
        <f ca="1">ROUND((C33+C39)*F27,0)</f>
        <v>9984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124031</v>
      </c>
      <c r="D49" s="232"/>
      <c r="E49" s="232"/>
      <c r="F49" s="264"/>
      <c r="G49" s="234" t="s">
        <v>1554</v>
      </c>
    </row>
    <row r="50" spans="1:7" s="258" customFormat="1">
      <c r="A50" s="255" t="s">
        <v>1555</v>
      </c>
      <c r="B50" s="210" t="s">
        <v>1556</v>
      </c>
      <c r="C50" s="232"/>
      <c r="D50" s="232"/>
      <c r="E50" s="232"/>
      <c r="F50" s="264">
        <f>IF('数据-取费表'!B24=0,'数据-取费表'!N16,1)</f>
        <v>0.71499999999999997</v>
      </c>
      <c r="G50" s="247"/>
    </row>
    <row r="51" spans="1:7" ht="16.5" customHeight="1">
      <c r="A51" s="255" t="s">
        <v>1558</v>
      </c>
      <c r="B51" s="210" t="s">
        <v>1593</v>
      </c>
      <c r="C51" s="232">
        <f ca="1">ROUND(C49*F50,0)</f>
        <v>88682</v>
      </c>
      <c r="D51" s="232"/>
      <c r="E51" s="232"/>
      <c r="F51" s="264"/>
      <c r="G51" s="234" t="s">
        <v>1560</v>
      </c>
    </row>
    <row r="52" spans="1:7" s="208" customFormat="1" ht="16.5" thickBot="1">
      <c r="A52" s="265" t="s">
        <v>1561</v>
      </c>
      <c r="B52" s="266"/>
      <c r="C52" s="267">
        <f ca="1">C31+C51</f>
        <v>293608</v>
      </c>
      <c r="D52" s="266"/>
      <c r="E52" s="266"/>
      <c r="F52" s="266"/>
      <c r="G52" s="268"/>
    </row>
    <row r="55" spans="1:7" ht="15">
      <c r="B55" s="270" t="s">
        <v>1562</v>
      </c>
      <c r="C55" s="271"/>
    </row>
    <row r="56" spans="1:7">
      <c r="B56" s="273" t="s">
        <v>802</v>
      </c>
      <c r="C56" s="275">
        <f ca="1">1-C57</f>
        <v>0.69799999999999995</v>
      </c>
    </row>
    <row r="57" spans="1:7">
      <c r="B57" s="273" t="s">
        <v>803</v>
      </c>
      <c r="C57" s="274">
        <f ca="1">ROUND(C51/C52,3)</f>
        <v>0.30199999999999999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6" zoomScaleNormal="80" zoomScaleSheetLayoutView="100" workbookViewId="0">
      <selection activeCell="F42" sqref="F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29.35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t="s">
        <v>3384</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Ⅱ—03</v>
      </c>
      <c r="J2" s="2002"/>
      <c r="K2" s="1119"/>
      <c r="L2" s="2003"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t="s">
        <v>3390</v>
      </c>
      <c r="F3" s="2004" t="s">
        <v>3391</v>
      </c>
      <c r="G3" s="752">
        <f>IF(F3="宗地容积率",'数据-汇总表'!I4,IF(F3="估价对象容积率",'数据-汇总表'!I6,'数据-汇总表'!I7))</f>
        <v>2.4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697"/>
      <c r="B4" s="3698"/>
      <c r="C4" s="3698"/>
      <c r="D4" s="3699"/>
      <c r="E4" s="3699"/>
      <c r="F4" s="3699"/>
      <c r="G4" s="3699"/>
      <c r="H4" s="3699"/>
      <c r="I4" s="3699"/>
      <c r="J4" s="370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35587</v>
      </c>
      <c r="D5" s="1339">
        <f>ROUND(C6*C17+C20,0)</f>
        <v>28010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28010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t="str">
        <f>G2</f>
        <v>二级</v>
      </c>
      <c r="Y7" s="1214" t="s">
        <v>1956</v>
      </c>
      <c r="Z7" s="1215">
        <f>G3</f>
        <v>2.4</v>
      </c>
      <c r="AA7" s="1216"/>
      <c r="AB7" s="1216"/>
      <c r="AC7" s="1217"/>
      <c r="AD7" s="1218"/>
      <c r="AE7" s="1218"/>
      <c r="AF7" s="1218"/>
      <c r="AG7" s="1218"/>
      <c r="AH7" s="1218"/>
      <c r="AI7" s="1218"/>
      <c r="AJ7" s="1219"/>
    </row>
    <row r="8" spans="1:36" ht="25.5">
      <c r="A8" s="3297"/>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694" t="s">
        <v>1960</v>
      </c>
      <c r="X8" s="369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696"/>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69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1982</v>
      </c>
      <c r="C13" s="755">
        <f>ROUND(C16*D16*E16*F16*G16*H16*I16*J16,4)</f>
        <v>1.2705</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t="s">
        <v>3393</v>
      </c>
      <c r="D15" s="2044" t="s">
        <v>3393</v>
      </c>
      <c r="E15" s="2045" t="s">
        <v>3408</v>
      </c>
      <c r="F15" s="3311" t="s">
        <v>3249</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1.1000000000000001</v>
      </c>
      <c r="D16" s="3316">
        <v>1.05</v>
      </c>
      <c r="E16" s="3316">
        <v>1.1000000000000001</v>
      </c>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01" t="s">
        <v>3259</v>
      </c>
      <c r="B20" s="167" t="s">
        <v>1994</v>
      </c>
      <c r="C20" s="3323">
        <f>ROUND(IF(F21="与级别开发程度一致",0,(G21-E21)/C21),0)</f>
        <v>0</v>
      </c>
      <c r="D20" s="3339" t="s">
        <v>1998</v>
      </c>
      <c r="E20" s="3340"/>
      <c r="F20" s="3707" t="s">
        <v>1995</v>
      </c>
      <c r="G20" s="3708"/>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0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2002</v>
      </c>
      <c r="E23" s="761">
        <v>44197</v>
      </c>
      <c r="F23" s="2054" t="s">
        <v>2003</v>
      </c>
      <c r="G23" s="762">
        <f>'数据-取费表'!B2</f>
        <v>45012</v>
      </c>
      <c r="H23" s="3341" t="s">
        <v>3261</v>
      </c>
      <c r="I23" s="3342" t="str">
        <f>IF(H23="季度增幅（自定义）",SUMIF(N25:N28,E2,O25:O28),"")</f>
        <v/>
      </c>
      <c r="J23" s="3444" t="s">
        <v>3260</v>
      </c>
      <c r="K23" s="1125"/>
      <c r="L23" s="2055" t="s">
        <v>2004</v>
      </c>
      <c r="M23" s="1328">
        <f>ROUND(SUMIF(地价!B2:G2,E2,地价!B16:G16),0)</f>
        <v>687</v>
      </c>
      <c r="N23" s="2056" t="s">
        <v>2005</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3340</v>
      </c>
      <c r="C25" s="771">
        <f>IF(B25="容积率修正",IF(G3&lt;10,D26,J26),C27)</f>
        <v>1.0078</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3262</v>
      </c>
      <c r="D26" s="1352">
        <f>IF(E26=G26,F26,IF(G3&lt;10,ROUND(F26+(H26-F26)*(G3-E26)/(G26-E26),4),"——"))</f>
        <v>1.0078</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1.0078</v>
      </c>
      <c r="I26" s="3343" t="s">
        <v>3263</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1.0536000000000001</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3265</v>
      </c>
      <c r="G33" s="2099"/>
      <c r="H33" s="2099"/>
      <c r="I33" s="2099"/>
      <c r="J33" s="2100"/>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5"/>
      <c r="B37" s="2113" t="s">
        <v>2036</v>
      </c>
      <c r="C37" s="175" t="e">
        <f>ROUND(D5*C22*C23*C24*C28*F37,0)</f>
        <v>#DIV/0!</v>
      </c>
      <c r="D37" s="2098"/>
      <c r="E37" s="171" t="e">
        <f>ROUND(C37*D37/10000,0)</f>
        <v>#DIV/0!</v>
      </c>
      <c r="F37" s="171">
        <f>SUMIF(修正!A57:A68,G2,修正!B57:B68)</f>
        <v>0.7</v>
      </c>
      <c r="G37" s="171" t="e">
        <f>ROUND(IF(E2="工业",C37*$M$42,C37*$M$41),0)</f>
        <v>#DIV/0!</v>
      </c>
      <c r="H37" s="171">
        <f>D37</f>
        <v>0</v>
      </c>
      <c r="I37" s="171" t="e">
        <f>ROUND(G37*H37/10000,0)</f>
        <v>#DIV/0!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6"/>
      <c r="B38" s="2041" t="s">
        <v>2037</v>
      </c>
      <c r="C38" s="175" t="e">
        <f>ROUND(D5*C22*C23*C24*C28*F38,0)</f>
        <v>#DIV/0!</v>
      </c>
      <c r="D38" s="2098"/>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06"/>
      <c r="B39" s="2041" t="s">
        <v>3264</v>
      </c>
      <c r="C39" s="175" t="e">
        <f>ROUND(D5*C22*C23*C24*C28*F39,0)</f>
        <v>#DIV/0!</v>
      </c>
      <c r="D39" s="2098"/>
      <c r="E39" s="171" t="e">
        <f t="shared" si="4"/>
        <v>#DIV/0!</v>
      </c>
      <c r="F39" s="171">
        <f>SUMIF(修正!A57:A68,G2,修正!D57:D68)</f>
        <v>0.3</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0.3</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7402</v>
      </c>
      <c r="D41" s="2098"/>
      <c r="E41" s="171">
        <f t="shared" si="4"/>
        <v>0</v>
      </c>
      <c r="F41" s="175">
        <f>SUMIF(修正!A57:A68,G2,修正!F57:F68)</f>
        <v>0.3</v>
      </c>
      <c r="G41" s="171">
        <f>ROUND(IF(E2="工业",C41*$M$42,C41*$M$41),0)</f>
        <v>1851</v>
      </c>
      <c r="H41" s="171">
        <f t="shared" si="5"/>
        <v>0</v>
      </c>
      <c r="I41" s="171">
        <f t="shared" si="6"/>
        <v>0</v>
      </c>
      <c r="J41" s="2114"/>
      <c r="L41" s="3358"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4935</v>
      </c>
      <c r="D42" s="2103">
        <f>'数据-基础表'!I13</f>
        <v>29.35</v>
      </c>
      <c r="E42" s="187">
        <f t="shared" si="4"/>
        <v>14</v>
      </c>
      <c r="F42" s="767">
        <f>SUMIF(修正!A57:A68,G2,修正!G57:G68)</f>
        <v>0.2</v>
      </c>
      <c r="G42" s="187">
        <f>ROUND(IF(E2="工业",C42*$M$42,C42*$M$41),0)</f>
        <v>1234</v>
      </c>
      <c r="H42" s="187">
        <f t="shared" si="5"/>
        <v>29.35</v>
      </c>
      <c r="I42" s="187">
        <f t="shared" si="6"/>
        <v>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0.78739999999999999</v>
      </c>
      <c r="D44" s="171" t="s">
        <v>1999</v>
      </c>
      <c r="E44" s="2153">
        <f>G24</f>
        <v>0.05</v>
      </c>
      <c r="F44" s="171" t="s">
        <v>2008</v>
      </c>
      <c r="G44" s="183">
        <f>项目基本情况!F15</f>
        <v>26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hidden="1">
      <c r="A51" s="2130" t="s">
        <v>2053</v>
      </c>
      <c r="B51" s="2134" t="str">
        <f>估价对象房地状况!C18</f>
        <v>紧临城市主干道——紫竹院路，临近城市快速路——西三环北路，距离16号线万寿寺站约500米，距离国家图书馆站（4、9、16换乘站）约900米，有74路、300路、323路、394路等公交线路，交通便捷度好。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主干道-紫竹院路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91.25" hidden="1">
      <c r="A56" s="2137" t="s">
        <v>2059</v>
      </c>
      <c r="B5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8" t="s">
        <v>2061</v>
      </c>
      <c r="B58" s="2139" t="str">
        <f>估价对象房地状况!C20</f>
        <v xml:space="preserve">自然环境：紫竹院公园、北京动物园
人文环境：国家图书馆。
综上，环境状况好。
</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hidden="1">
      <c r="A62" s="2130" t="s">
        <v>2053</v>
      </c>
      <c r="B62" s="2134" t="str">
        <f>估价对象房地状况!C18</f>
        <v>紧临城市主干道——紫竹院路，临近城市快速路——西三环北路，距离16号线万寿寺站约500米，距离国家图书馆站（4、9、16换乘站）约900米，有74路、300路、323路、394路等公交线路，交通便捷度好。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主干道-紫竹院路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91.25" hidden="1">
      <c r="A67" s="2130" t="s">
        <v>2059</v>
      </c>
      <c r="B67"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 xml:space="preserve">自然环境：紫竹院公园、北京动物园
人文环境：国家图书馆。
综上，环境状况好。
</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1.0536000000000001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周边有紫竹院路62号院、三虎桥5号院、世纪新景园、紫竹花园等住宅小区，住宅小区较集中，居住社区成熟度较好。</v>
      </c>
      <c r="C72" s="2044" t="s">
        <v>3401</v>
      </c>
      <c r="D72" s="1065">
        <f t="shared" ref="D72:D80" si="17">SUMIF($J$71:$N$71,C72,J72:N72)</f>
        <v>7.1999999999999998E-3</v>
      </c>
      <c r="E72" s="744">
        <f>ROUND(SUM(D72:D80),4)</f>
        <v>5.3600000000000002E-2</v>
      </c>
      <c r="F72" s="1814">
        <f>IF(E2="住宅",SUMIF(L1:L12,G2,N1:N12),"——")</f>
        <v>7.1999999999999995E-2</v>
      </c>
      <c r="G72" s="3448">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紧临城市主干道——紫竹院路，临近城市快速路——西三环北路，距离16号线万寿寺站约500米，距离国家图书馆站（4、9、16换乘站）约900米，有74路、300路、323路、394路等公交线路，交通便捷度好。</v>
      </c>
      <c r="C73" s="2044" t="s">
        <v>3406</v>
      </c>
      <c r="D73" s="1065">
        <f t="shared" si="17"/>
        <v>1.8599999999999998E-2</v>
      </c>
      <c r="E73" s="747"/>
      <c r="F73" s="1814"/>
      <c r="G73" s="3448">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7" customFormat="1" ht="36">
      <c r="A74" s="3367" t="s">
        <v>3274</v>
      </c>
      <c r="B74" s="2134">
        <f>估价对象房地状况!C19</f>
        <v>0</v>
      </c>
      <c r="C74" s="2044" t="s">
        <v>3401</v>
      </c>
      <c r="D74" s="1065">
        <f t="shared" si="17"/>
        <v>3.5999999999999999E-3</v>
      </c>
      <c r="E74" s="747"/>
      <c r="F74" s="1814"/>
      <c r="G74" s="3448">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主干道-紫竹院路</v>
      </c>
      <c r="C75" s="2044" t="s">
        <v>3407</v>
      </c>
      <c r="D75" s="1065">
        <f t="shared" si="17"/>
        <v>0</v>
      </c>
      <c r="E75" s="747"/>
      <c r="F75" s="1814"/>
      <c r="G75" s="3448">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7"/>
      <c r="Z75" s="1998"/>
      <c r="AA75" s="2053"/>
      <c r="AG75" s="1121"/>
      <c r="AK75" s="2053"/>
    </row>
    <row r="76" spans="1:37" ht="191.25">
      <c r="A76" s="2130" t="s">
        <v>2059</v>
      </c>
      <c r="B7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76" s="2044" t="s">
        <v>3406</v>
      </c>
      <c r="D76" s="1065">
        <f t="shared" si="17"/>
        <v>5.5999999999999999E-3</v>
      </c>
      <c r="E76" s="747"/>
      <c r="F76" s="1814"/>
      <c r="G76" s="3448">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8"/>
      <c r="AA76" s="2053"/>
      <c r="AG76" s="1121"/>
      <c r="AK76" s="2053"/>
    </row>
    <row r="77" spans="1:37" ht="25.5">
      <c r="A77" s="2130" t="s">
        <v>2060</v>
      </c>
      <c r="B77" s="1326" t="str">
        <f>估价对象房地状况!C22</f>
        <v>估价对象所在区域基础设施水平</v>
      </c>
      <c r="C77" s="2044" t="s">
        <v>3406</v>
      </c>
      <c r="D77" s="1065">
        <f t="shared" si="17"/>
        <v>6.4000000000000003E-3</v>
      </c>
      <c r="E77" s="747"/>
      <c r="F77" s="1814"/>
      <c r="G77" s="3448">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8"/>
      <c r="AA77" s="2053"/>
      <c r="AG77" s="1121"/>
      <c r="AK77" s="2053"/>
    </row>
    <row r="78" spans="1:37" ht="24">
      <c r="A78" s="2130" t="s">
        <v>2057</v>
      </c>
      <c r="B78" s="2136" t="s">
        <v>2058</v>
      </c>
      <c r="C78" s="2044" t="s">
        <v>3401</v>
      </c>
      <c r="D78" s="1065">
        <f t="shared" si="17"/>
        <v>1.8E-3</v>
      </c>
      <c r="E78" s="747"/>
      <c r="F78" s="1814"/>
      <c r="G78" s="3448">
        <v>1.8E-3</v>
      </c>
      <c r="H78" s="1066">
        <f t="shared" si="18"/>
        <v>1.8E-3</v>
      </c>
      <c r="I78" s="3365">
        <v>0.05</v>
      </c>
      <c r="J78" s="1064">
        <f t="shared" si="19"/>
        <v>3.5999999999999999E-3</v>
      </c>
      <c r="K78" s="1064">
        <f t="shared" si="20"/>
        <v>1.8E-3</v>
      </c>
      <c r="L78" s="1064">
        <v>0</v>
      </c>
      <c r="M78" s="1064">
        <f t="shared" si="21"/>
        <v>-1.8E-3</v>
      </c>
      <c r="N78" s="1064">
        <f t="shared" si="21"/>
        <v>-3.5999999999999999E-3</v>
      </c>
      <c r="O78" s="1997"/>
      <c r="P78" s="1997"/>
      <c r="Z78" s="1998"/>
      <c r="AA78" s="2053"/>
      <c r="AG78" s="1121"/>
      <c r="AK78" s="2053"/>
    </row>
    <row r="79" spans="1:37" ht="63.75">
      <c r="A79" s="2130" t="s">
        <v>2061</v>
      </c>
      <c r="B79" s="2133" t="str">
        <f>估价对象房地状况!C20</f>
        <v xml:space="preserve">自然环境：紫竹院公园、北京动物园
人文环境：国家图书馆。
综上，环境状况好。
</v>
      </c>
      <c r="C79" s="2044" t="s">
        <v>3406</v>
      </c>
      <c r="D79" s="1065">
        <f t="shared" si="17"/>
        <v>8.6E-3</v>
      </c>
      <c r="E79" s="747"/>
      <c r="F79" s="1814"/>
      <c r="G79" s="3448">
        <v>4.3E-3</v>
      </c>
      <c r="H79" s="1066">
        <f t="shared" si="18"/>
        <v>4.3E-3</v>
      </c>
      <c r="I79" s="3365">
        <v>0.12</v>
      </c>
      <c r="J79" s="1064">
        <f t="shared" si="19"/>
        <v>8.6E-3</v>
      </c>
      <c r="K79" s="1064">
        <f t="shared" si="20"/>
        <v>4.3E-3</v>
      </c>
      <c r="L79" s="1064">
        <v>0</v>
      </c>
      <c r="M79" s="1064">
        <f t="shared" si="21"/>
        <v>-4.3E-3</v>
      </c>
      <c r="N79" s="1064">
        <f t="shared" si="21"/>
        <v>-8.6E-3</v>
      </c>
      <c r="Z79" s="1998"/>
      <c r="AA79" s="2053"/>
      <c r="AG79" s="1121"/>
      <c r="AK79" s="2053"/>
    </row>
    <row r="80" spans="1:37" ht="24.75" thickBot="1">
      <c r="A80" s="2138" t="s">
        <v>2068</v>
      </c>
      <c r="B80" s="2142"/>
      <c r="C80" s="2044" t="s">
        <v>3401</v>
      </c>
      <c r="D80" s="1065">
        <f t="shared" si="17"/>
        <v>1.8E-3</v>
      </c>
      <c r="E80" s="748"/>
      <c r="F80" s="1814"/>
      <c r="G80" s="3448">
        <v>1.8E-3</v>
      </c>
      <c r="H80" s="1066">
        <f t="shared" si="18"/>
        <v>1.8E-3</v>
      </c>
      <c r="I80" s="3366">
        <v>0.05</v>
      </c>
      <c r="J80" s="1064">
        <f t="shared" si="19"/>
        <v>3.5999999999999999E-3</v>
      </c>
      <c r="K80" s="1064">
        <f t="shared" si="20"/>
        <v>1.8E-3</v>
      </c>
      <c r="L80" s="1064">
        <v>0</v>
      </c>
      <c r="M80" s="1064">
        <f t="shared" si="21"/>
        <v>-1.8E-3</v>
      </c>
      <c r="N80" s="1064">
        <f t="shared" si="21"/>
        <v>-3.5999999999999999E-3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3275</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3278</v>
      </c>
      <c r="B94" s="3368" t="str">
        <f>估价对象房地状况!C18</f>
        <v>紧临城市主干道——紫竹院路，临近城市快速路——西三环北路，距离16号线万寿寺站约500米，距离国家图书馆站（4、9、16换乘站）约900米，有74路、300路、323路、394路等公交线路，交通便捷度好。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t="str">
        <f>估价对象房地状况!C24</f>
        <v>主干道-紫竹院路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91.25">
      <c r="A99" s="3377" t="s">
        <v>3282</v>
      </c>
      <c r="B99" s="3368"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3284</v>
      </c>
      <c r="B101" s="3385" t="str">
        <f>估价对象房地状况!C20</f>
        <v xml:space="preserve">自然环境：紫竹院公园、北京动物园
人文环境：国家图书馆。
综上，环境状况好。
</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03" t="s">
        <v>3299</v>
      </c>
      <c r="B103" s="3703"/>
      <c r="C103" s="3703"/>
      <c r="D103" s="3703"/>
      <c r="E103" s="3703"/>
      <c r="F103" s="3703"/>
      <c r="G103" s="3703"/>
      <c r="H103" s="3703"/>
      <c r="I103" s="3703"/>
      <c r="J103" s="3703"/>
      <c r="K103" s="3388"/>
      <c r="L103" s="3388"/>
      <c r="M103" s="3388"/>
      <c r="N103" s="3388"/>
    </row>
    <row r="104" spans="1:14">
      <c r="A104" s="3704" t="s">
        <v>3300</v>
      </c>
      <c r="B104" s="3704" t="s">
        <v>3301</v>
      </c>
      <c r="C104" s="3389" t="s">
        <v>3302</v>
      </c>
      <c r="D104" s="3390"/>
      <c r="E104" s="3390"/>
      <c r="F104" s="3390"/>
      <c r="G104" s="3390"/>
      <c r="H104" s="3390"/>
      <c r="I104" s="3390"/>
      <c r="J104" s="3391"/>
      <c r="K104" s="3392"/>
      <c r="L104" s="3392"/>
      <c r="M104" s="3392"/>
      <c r="N104" s="3392"/>
    </row>
    <row r="105" spans="1:14">
      <c r="A105" s="3704"/>
      <c r="B105" s="3704"/>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690"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9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9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9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9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91"/>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9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93" t="s">
        <v>3316</v>
      </c>
      <c r="B113" s="3693"/>
      <c r="C113" s="3693"/>
      <c r="D113" s="3693"/>
      <c r="E113" s="3693"/>
      <c r="F113" s="3693"/>
      <c r="G113" s="3693"/>
      <c r="H113" s="3693"/>
      <c r="I113" s="3693"/>
      <c r="J113" s="369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2.4</v>
      </c>
      <c r="C116" s="3398" t="s">
        <v>3318</v>
      </c>
      <c r="D116" s="3399">
        <f>SUMPRODUCT((A118:A122=F116)*(B117:M117=H116)*B118:M122)</f>
        <v>0.91720000000000002</v>
      </c>
      <c r="E116" s="2000" t="s">
        <v>3319</v>
      </c>
      <c r="F116" s="3400" t="str">
        <f>E2</f>
        <v>住宅</v>
      </c>
      <c r="G116" s="2000" t="s">
        <v>3320</v>
      </c>
      <c r="H116" s="3400" t="str">
        <f>G2</f>
        <v>二级</v>
      </c>
      <c r="I116" s="2000"/>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0.97040000000000004</v>
      </c>
      <c r="C118" s="3386">
        <f>B118</f>
        <v>0.97040000000000004</v>
      </c>
      <c r="D118" s="3386">
        <f>ROUND(0.949-0.014*B116,4)</f>
        <v>0.91539999999999999</v>
      </c>
      <c r="E118" s="3386">
        <f>D118</f>
        <v>0.91539999999999999</v>
      </c>
      <c r="F118" s="3386">
        <f>E118</f>
        <v>0.91539999999999999</v>
      </c>
      <c r="G118" s="3386">
        <f>F118</f>
        <v>0.91539999999999999</v>
      </c>
      <c r="H118" s="3386">
        <f>G118</f>
        <v>0.91539999999999999</v>
      </c>
      <c r="I118" s="3386">
        <f>ROUND(0.8486-0.018*B116,4)</f>
        <v>0.8054</v>
      </c>
      <c r="J118" s="3386">
        <f t="shared" ref="J118:M122" si="35">I118</f>
        <v>0.8054</v>
      </c>
      <c r="K118" s="3386">
        <f t="shared" si="35"/>
        <v>0.8054</v>
      </c>
      <c r="L118" s="3386">
        <f t="shared" si="35"/>
        <v>0.8054</v>
      </c>
      <c r="M118" s="3409">
        <f t="shared" si="35"/>
        <v>0.8054</v>
      </c>
      <c r="N118" s="3396"/>
    </row>
    <row r="119" spans="1:14">
      <c r="A119" s="3408" t="s">
        <v>3334</v>
      </c>
      <c r="B119" s="3386">
        <f>ROUND(0.993-0.0112*B116,4)</f>
        <v>0.96609999999999996</v>
      </c>
      <c r="C119" s="3386">
        <f>B119</f>
        <v>0.96609999999999996</v>
      </c>
      <c r="D119" s="3386">
        <f>ROUND(0.9415-0.0142*B116,4)</f>
        <v>0.90739999999999998</v>
      </c>
      <c r="E119" s="3386">
        <f t="shared" ref="E119:H120" si="36">D119</f>
        <v>0.90739999999999998</v>
      </c>
      <c r="F119" s="3386">
        <f t="shared" si="36"/>
        <v>0.90739999999999998</v>
      </c>
      <c r="G119" s="3386">
        <f t="shared" si="36"/>
        <v>0.90739999999999998</v>
      </c>
      <c r="H119" s="3386">
        <f t="shared" si="36"/>
        <v>0.90739999999999998</v>
      </c>
      <c r="I119" s="3386">
        <f>ROUND(0.838-0.0182*B116,4)</f>
        <v>0.79430000000000001</v>
      </c>
      <c r="J119" s="3386">
        <f t="shared" si="35"/>
        <v>0.79430000000000001</v>
      </c>
      <c r="K119" s="3386">
        <f t="shared" si="35"/>
        <v>0.79430000000000001</v>
      </c>
      <c r="L119" s="3386">
        <f t="shared" si="35"/>
        <v>0.79430000000000001</v>
      </c>
      <c r="M119" s="3409">
        <f t="shared" si="35"/>
        <v>0.79430000000000001</v>
      </c>
      <c r="N119" s="3396"/>
    </row>
    <row r="120" spans="1:14">
      <c r="A120" s="3408" t="s">
        <v>3335</v>
      </c>
      <c r="B120" s="3386">
        <f>ROUND(0.9448-0.0115*B116,4)</f>
        <v>0.91720000000000002</v>
      </c>
      <c r="C120" s="3386">
        <f>B120</f>
        <v>0.91720000000000002</v>
      </c>
      <c r="D120" s="3386">
        <f>ROUND(0.937-0.0145*B116,4)</f>
        <v>0.9022</v>
      </c>
      <c r="E120" s="3386">
        <f t="shared" si="36"/>
        <v>0.9022</v>
      </c>
      <c r="F120" s="3386">
        <f t="shared" si="36"/>
        <v>0.9022</v>
      </c>
      <c r="G120" s="3386">
        <f t="shared" si="36"/>
        <v>0.9022</v>
      </c>
      <c r="H120" s="3386">
        <f t="shared" si="36"/>
        <v>0.9022</v>
      </c>
      <c r="I120" s="3386">
        <f>ROUND(0.7965-0.0185*B116,4)</f>
        <v>0.75209999999999999</v>
      </c>
      <c r="J120" s="3386">
        <f t="shared" si="35"/>
        <v>0.75209999999999999</v>
      </c>
      <c r="K120" s="3386">
        <f t="shared" si="35"/>
        <v>0.75209999999999999</v>
      </c>
      <c r="L120" s="3386">
        <f t="shared" si="35"/>
        <v>0.75209999999999999</v>
      </c>
      <c r="M120" s="3409">
        <f t="shared" si="35"/>
        <v>0.75209999999999999</v>
      </c>
      <c r="N120" s="3396"/>
    </row>
    <row r="121" spans="1:14" ht="13.5" thickBot="1">
      <c r="A121" s="3410" t="s">
        <v>3336</v>
      </c>
      <c r="B121" s="3411">
        <f>ROUND(0.7836-0.012*B116,4)</f>
        <v>0.75480000000000003</v>
      </c>
      <c r="C121" s="3411">
        <f>B121</f>
        <v>0.75480000000000003</v>
      </c>
      <c r="D121" s="3411">
        <f>ROUND(0.753-0.015*B116,4)</f>
        <v>0.71699999999999997</v>
      </c>
      <c r="E121" s="3411">
        <f>D121</f>
        <v>0.71699999999999997</v>
      </c>
      <c r="F121" s="3411">
        <f>E121</f>
        <v>0.71699999999999997</v>
      </c>
      <c r="G121" s="3411">
        <f>ROUND(0.6612-0.018*B116,4)</f>
        <v>0.61799999999999999</v>
      </c>
      <c r="H121" s="3411">
        <f>G121</f>
        <v>0.61799999999999999</v>
      </c>
      <c r="I121" s="3411">
        <f>ROUND(0.5905-0.019*B116,4)</f>
        <v>0.54490000000000005</v>
      </c>
      <c r="J121" s="3411">
        <f t="shared" si="35"/>
        <v>0.54490000000000005</v>
      </c>
      <c r="K121" s="3411">
        <f t="shared" si="35"/>
        <v>0.54490000000000005</v>
      </c>
      <c r="L121" s="3411">
        <f t="shared" si="35"/>
        <v>0.54490000000000005</v>
      </c>
      <c r="M121" s="3412">
        <f t="shared" si="35"/>
        <v>0.54490000000000005</v>
      </c>
      <c r="N121" s="3396"/>
    </row>
    <row r="122" spans="1:14">
      <c r="A122" s="3413" t="s">
        <v>2613</v>
      </c>
      <c r="B122" s="3386">
        <f>ROUND(0.9404-0.0106*B116,4)</f>
        <v>0.91500000000000004</v>
      </c>
      <c r="C122" s="3386">
        <f>B122</f>
        <v>0.91500000000000004</v>
      </c>
      <c r="D122" s="3386">
        <f>ROUND(0.8955-0.0135*B116,4)</f>
        <v>0.86309999999999998</v>
      </c>
      <c r="E122" s="3386">
        <f t="shared" ref="E122:H122" si="37">D122</f>
        <v>0.86309999999999998</v>
      </c>
      <c r="F122" s="3386">
        <f t="shared" si="37"/>
        <v>0.86309999999999998</v>
      </c>
      <c r="G122" s="3386">
        <f t="shared" si="37"/>
        <v>0.86309999999999998</v>
      </c>
      <c r="H122" s="3386">
        <f t="shared" si="37"/>
        <v>0.86309999999999998</v>
      </c>
      <c r="I122" s="3386">
        <f>ROUND(0.7632-0.0166*B116,4)</f>
        <v>0.72340000000000004</v>
      </c>
      <c r="J122" s="3386">
        <f t="shared" si="35"/>
        <v>0.72340000000000004</v>
      </c>
      <c r="K122" s="3386">
        <f t="shared" si="35"/>
        <v>0.72340000000000004</v>
      </c>
      <c r="L122" s="3386">
        <f t="shared" si="35"/>
        <v>0.72340000000000004</v>
      </c>
      <c r="M122" s="3409">
        <f t="shared" si="35"/>
        <v>0.72340000000000004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7" stopIfTrue="1" operator="notEqual">
      <formula>"——"</formula>
    </cfRule>
  </conditionalFormatting>
  <conditionalFormatting sqref="F61">
    <cfRule type="cellIs" dxfId="143" priority="6" stopIfTrue="1" operator="notEqual">
      <formula>"——"</formula>
    </cfRule>
  </conditionalFormatting>
  <conditionalFormatting sqref="F72">
    <cfRule type="cellIs" dxfId="142" priority="5" stopIfTrue="1" operator="notEqual">
      <formula>"——"</formula>
    </cfRule>
  </conditionalFormatting>
  <conditionalFormatting sqref="F83">
    <cfRule type="cellIs" dxfId="141" priority="4" stopIfTrue="1" operator="notEqual">
      <formula>"——"</formula>
    </cfRule>
  </conditionalFormatting>
  <conditionalFormatting sqref="H50:H58 H61:H69 H72:H80 H83:H91">
    <cfRule type="cellIs" dxfId="140" priority="3" operator="notEqual">
      <formula>"——"</formula>
    </cfRule>
  </conditionalFormatting>
  <conditionalFormatting sqref="H93:H101">
    <cfRule type="cellIs" dxfId="139" priority="2" operator="notEqual">
      <formula>"——"</formula>
    </cfRule>
  </conditionalFormatting>
  <conditionalFormatting sqref="G72:G80">
    <cfRule type="cellIs" dxfId="1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6399</v>
      </c>
      <c r="C2" s="276" t="s">
        <v>1595</v>
      </c>
      <c r="D2" s="276"/>
      <c r="E2" s="2804"/>
      <c r="F2" s="2804"/>
      <c r="G2" s="2804"/>
      <c r="H2" s="2804"/>
      <c r="I2" s="2804"/>
      <c r="J2" s="2804"/>
      <c r="K2" s="2804"/>
    </row>
    <row r="3" spans="1:33" ht="18" customHeight="1" thickBot="1">
      <c r="A3" s="203" t="s">
        <v>1464</v>
      </c>
      <c r="B3" s="204">
        <f ca="1">ROUND(B2*10000/IF(C1="",'数据-汇总表'!E3,INDIRECT("'数据-取费表'!K"&amp;$K$1)),0)</f>
        <v>2180239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29.35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29.35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29.35</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-599</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6399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5" t="s">
        <v>694</v>
      </c>
      <c r="C6" s="1074">
        <f ca="1">ROUND(F6*F8*F7*(1-F9)/10000,0)</f>
        <v>0</v>
      </c>
      <c r="D6" s="155" t="s">
        <v>2109</v>
      </c>
      <c r="E6" s="302" t="s">
        <v>696</v>
      </c>
      <c r="F6" s="303">
        <f ca="1">INDIRECT("'数据-取费表'!u"&amp;$G$1)</f>
        <v>0</v>
      </c>
      <c r="G6" s="1384"/>
      <c r="H6" s="1069" t="s">
        <v>398</v>
      </c>
      <c r="I6" s="3685" t="s">
        <v>694</v>
      </c>
      <c r="J6" s="301">
        <f ca="1">ROUND(M6*M8*M7*(1-M9)/10000,0)</f>
        <v>0</v>
      </c>
      <c r="K6" s="155" t="s">
        <v>2108</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0</v>
      </c>
      <c r="G7" s="1384"/>
      <c r="H7" s="304"/>
      <c r="I7" s="3686"/>
      <c r="J7" s="306"/>
      <c r="K7" s="307"/>
      <c r="L7" s="302" t="s">
        <v>697</v>
      </c>
      <c r="M7" s="303">
        <f ca="1">F7</f>
        <v>0</v>
      </c>
    </row>
    <row r="8" spans="1:37" ht="18" customHeight="1">
      <c r="A8" s="304"/>
      <c r="B8" s="3686"/>
      <c r="C8" s="306"/>
      <c r="D8" s="307"/>
      <c r="E8" s="302" t="s">
        <v>698</v>
      </c>
      <c r="F8" s="303">
        <f ca="1">INDIRECT("'数据-取费表'!ai"&amp;$G$1)</f>
        <v>0</v>
      </c>
      <c r="G8" s="1384"/>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8" t="s">
        <v>837</v>
      </c>
      <c r="L53" s="368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3363</v>
      </c>
      <c r="E2" s="3442"/>
      <c r="F2" s="2844"/>
      <c r="G2" s="2845"/>
      <c r="H2" s="2846"/>
      <c r="I2" s="2847"/>
      <c r="J2" s="3715" t="s">
        <v>2318</v>
      </c>
      <c r="K2" s="3716"/>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17" t="s">
        <v>2328</v>
      </c>
      <c r="K3" s="3718"/>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17" t="s">
        <v>2330</v>
      </c>
      <c r="K4" s="3718"/>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23" t="s">
        <v>2334</v>
      </c>
      <c r="B6" s="3724"/>
      <c r="C6" s="3725"/>
      <c r="D6" s="2868"/>
      <c r="E6" s="2869"/>
      <c r="F6" s="2870"/>
      <c r="G6" s="2871"/>
      <c r="H6" s="2846"/>
      <c r="I6" s="2847"/>
      <c r="J6" s="3709">
        <v>1</v>
      </c>
      <c r="K6" s="3710"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09"/>
      <c r="K7" s="3711"/>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26" t="s">
        <v>2348</v>
      </c>
      <c r="C8" s="3727"/>
      <c r="D8" s="2887" t="s">
        <v>2349</v>
      </c>
      <c r="E8" s="2888" t="s">
        <v>2350</v>
      </c>
      <c r="F8" s="2889" t="s">
        <v>2351</v>
      </c>
      <c r="G8" s="2890"/>
      <c r="H8" s="2846"/>
      <c r="I8" s="2847"/>
      <c r="J8" s="3709"/>
      <c r="K8" s="3711"/>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26" t="s">
        <v>2354</v>
      </c>
      <c r="C9" s="3727"/>
      <c r="D9" s="2887">
        <f>ROUND(D6*E9,0)</f>
        <v>0</v>
      </c>
      <c r="E9" s="2891"/>
      <c r="F9" s="2892" t="s">
        <v>2355</v>
      </c>
      <c r="G9" s="2871"/>
      <c r="H9" s="2846"/>
      <c r="I9" s="2847"/>
      <c r="J9" s="3709"/>
      <c r="K9" s="3711"/>
      <c r="L9" s="2881" t="s">
        <v>2356</v>
      </c>
      <c r="M9" s="2882"/>
      <c r="N9" s="2858"/>
      <c r="O9" s="2883"/>
      <c r="P9" s="2883"/>
      <c r="Q9" s="2884">
        <v>365</v>
      </c>
      <c r="R9" s="2885">
        <f t="shared" si="0"/>
        <v>0</v>
      </c>
      <c r="S9" s="2839"/>
      <c r="T9" s="2839"/>
      <c r="U9" s="2839"/>
      <c r="V9" s="2847"/>
    </row>
    <row r="10" spans="1:22" s="2851" customFormat="1" ht="13.15" customHeight="1">
      <c r="A10" s="2886">
        <v>2</v>
      </c>
      <c r="B10" s="3726" t="s">
        <v>2357</v>
      </c>
      <c r="C10" s="3727"/>
      <c r="D10" s="2887">
        <f>ROUND(D6*E10,0)</f>
        <v>0</v>
      </c>
      <c r="E10" s="2891"/>
      <c r="F10" s="2892" t="s">
        <v>2358</v>
      </c>
      <c r="G10" s="2871"/>
      <c r="H10" s="2846"/>
      <c r="I10" s="2847"/>
      <c r="J10" s="3709"/>
      <c r="K10" s="3711"/>
      <c r="L10" s="2881" t="s">
        <v>2359</v>
      </c>
      <c r="M10" s="2882"/>
      <c r="N10" s="2858"/>
      <c r="O10" s="2883"/>
      <c r="P10" s="2883"/>
      <c r="Q10" s="2884">
        <v>365</v>
      </c>
      <c r="R10" s="2885">
        <f t="shared" si="0"/>
        <v>0</v>
      </c>
      <c r="S10" s="2839"/>
      <c r="T10" s="2839"/>
      <c r="U10" s="2839"/>
      <c r="V10" s="2847"/>
    </row>
    <row r="11" spans="1:22" s="2851" customFormat="1" ht="13.15" customHeight="1">
      <c r="A11" s="2886">
        <v>3</v>
      </c>
      <c r="B11" s="3726" t="s">
        <v>2360</v>
      </c>
      <c r="C11" s="3727"/>
      <c r="D11" s="2887">
        <f>D12+D14+D15+D16</f>
        <v>0</v>
      </c>
      <c r="E11" s="2893" t="e">
        <f>D11/D6</f>
        <v>#DIV/0!</v>
      </c>
      <c r="F11" s="2889"/>
      <c r="G11" s="2890"/>
      <c r="H11" s="2846"/>
      <c r="I11" s="2847"/>
      <c r="J11" s="3709"/>
      <c r="K11" s="3711"/>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19" t="s">
        <v>2363</v>
      </c>
      <c r="C12" s="3720"/>
      <c r="D12" s="2895">
        <f>ROUND(D13*1.2%*(1-30%),0)</f>
        <v>0</v>
      </c>
      <c r="E12" s="2896">
        <v>1.2E-2</v>
      </c>
      <c r="F12" s="2889" t="s">
        <v>2364</v>
      </c>
      <c r="G12" s="2890"/>
      <c r="H12" s="2846"/>
      <c r="I12" s="2847"/>
      <c r="J12" s="3709"/>
      <c r="K12" s="3711"/>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09"/>
      <c r="K13" s="3711"/>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19" t="s">
        <v>2369</v>
      </c>
      <c r="C14" s="3720"/>
      <c r="D14" s="2895">
        <f>ROUND(E14*B5/10000,0)</f>
        <v>0</v>
      </c>
      <c r="E14" s="2884"/>
      <c r="F14" s="2889" t="s">
        <v>2370</v>
      </c>
      <c r="G14" s="2890"/>
      <c r="H14" s="2846"/>
      <c r="I14" s="2847"/>
      <c r="J14" s="3709"/>
      <c r="K14" s="3712"/>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19" t="s">
        <v>2373</v>
      </c>
      <c r="C15" s="3720"/>
      <c r="D15" s="2895">
        <f>ROUND(D6*E15,0)</f>
        <v>0</v>
      </c>
      <c r="E15" s="2896">
        <v>5.5E-2</v>
      </c>
      <c r="F15" s="2889" t="s">
        <v>2374</v>
      </c>
      <c r="G15" s="2871"/>
      <c r="H15" s="2846"/>
      <c r="I15" s="2847"/>
      <c r="J15" s="3709">
        <v>2</v>
      </c>
      <c r="K15" s="3710"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19" t="s">
        <v>2382</v>
      </c>
      <c r="C16" s="3720"/>
      <c r="D16" s="2906">
        <f>D6*E16</f>
        <v>0</v>
      </c>
      <c r="E16" s="2907"/>
      <c r="F16" s="2892" t="s">
        <v>2383</v>
      </c>
      <c r="G16" s="2871"/>
      <c r="H16" s="2846"/>
      <c r="I16" s="2847"/>
      <c r="J16" s="3709"/>
      <c r="K16" s="3711"/>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21" t="s">
        <v>2385</v>
      </c>
      <c r="C17" s="3722"/>
      <c r="D17" s="2909">
        <f>ROUND(D6*E17,0)</f>
        <v>0</v>
      </c>
      <c r="E17" s="2910"/>
      <c r="F17" s="2911" t="s">
        <v>2386</v>
      </c>
      <c r="G17" s="2871"/>
      <c r="H17" s="2846"/>
      <c r="I17" s="2847"/>
      <c r="J17" s="3709"/>
      <c r="K17" s="3711"/>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09"/>
      <c r="K18" s="3711"/>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09"/>
      <c r="K19" s="3712"/>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9">
        <v>3</v>
      </c>
      <c r="K20" s="3710"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09"/>
      <c r="K21" s="3711"/>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09"/>
      <c r="K22" s="3711"/>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09"/>
      <c r="K23" s="3711"/>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09"/>
      <c r="K24" s="3712"/>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13">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1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15" t="s">
        <v>2318</v>
      </c>
      <c r="K32" s="3716"/>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17" t="s">
        <v>2328</v>
      </c>
      <c r="K33" s="3718"/>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17" t="s">
        <v>2330</v>
      </c>
      <c r="K34" s="371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09">
        <v>1</v>
      </c>
      <c r="K36" s="3710"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09"/>
      <c r="K37" s="3711"/>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9"/>
      <c r="K38" s="3711"/>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09"/>
      <c r="K39" s="3711"/>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09"/>
      <c r="K40" s="3712"/>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3">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1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32.198599999999999</v>
      </c>
      <c r="C2" s="1872" t="s">
        <v>1651</v>
      </c>
      <c r="D2" s="1873" t="s">
        <v>1652</v>
      </c>
      <c r="E2" s="2605">
        <f>SUM(E6:E13)</f>
        <v>29.35</v>
      </c>
      <c r="F2" s="2705"/>
      <c r="G2" s="1489"/>
      <c r="H2" s="1489"/>
      <c r="I2" s="1489"/>
      <c r="J2" s="1489"/>
      <c r="K2" s="1489"/>
      <c r="L2" s="1489"/>
      <c r="M2" s="1489"/>
      <c r="N2" s="1489"/>
      <c r="O2" s="1489"/>
      <c r="P2" s="1489"/>
      <c r="Q2" s="1489"/>
      <c r="R2" s="1489"/>
      <c r="S2" s="1489"/>
    </row>
    <row r="3" spans="1:22" ht="15.75">
      <c r="A3" s="1870" t="s">
        <v>686</v>
      </c>
      <c r="B3" s="2599">
        <f ca="1">ROUND(B2*10000/E2,0)</f>
        <v>10971</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28" t="s">
        <v>1654</v>
      </c>
      <c r="C5" s="3729"/>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32.198599999999999</v>
      </c>
      <c r="C6" s="1872" t="s">
        <v>1651</v>
      </c>
      <c r="D6" s="2707"/>
      <c r="E6" s="2604">
        <f>IF(OR(A6=0,F6="否"),0,'数据-取费表'!K6+'数据-取费表'!S6)</f>
        <v>29.35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29.35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56" t="s">
        <v>1667</v>
      </c>
      <c r="D4" s="3657"/>
      <c r="E4" s="3658" t="s">
        <v>1668</v>
      </c>
      <c r="F4" s="3659"/>
      <c r="G4" s="3656" t="s">
        <v>1669</v>
      </c>
      <c r="H4" s="3657"/>
      <c r="I4" s="3656" t="s">
        <v>1670</v>
      </c>
      <c r="J4" s="3657"/>
      <c r="K4" s="1889" t="s">
        <v>1671</v>
      </c>
      <c r="L4" s="2713"/>
      <c r="M4" s="2714"/>
      <c r="N4" s="2714"/>
      <c r="O4" s="2714"/>
      <c r="P4" s="3660" t="s">
        <v>1672</v>
      </c>
      <c r="Q4" s="3661"/>
      <c r="R4" s="3666" t="s">
        <v>1668</v>
      </c>
      <c r="S4" s="3667"/>
      <c r="T4" s="3666" t="s">
        <v>1669</v>
      </c>
      <c r="U4" s="3667"/>
      <c r="V4" s="3672" t="s">
        <v>1670</v>
      </c>
      <c r="W4" s="3672"/>
      <c r="X4" s="1355"/>
      <c r="Y4" s="3666" t="s">
        <v>1672</v>
      </c>
      <c r="Z4" s="3667"/>
      <c r="AA4" s="3653" t="s">
        <v>1668</v>
      </c>
      <c r="AB4" s="3653" t="s">
        <v>1669</v>
      </c>
      <c r="AC4" s="3653" t="s">
        <v>1670</v>
      </c>
    </row>
    <row r="5" spans="1:29" ht="15">
      <c r="A5" s="358"/>
      <c r="B5" s="359"/>
      <c r="C5" s="3680" t="s">
        <v>1673</v>
      </c>
      <c r="D5" s="3676"/>
      <c r="E5" s="3738" t="s">
        <v>1674</v>
      </c>
      <c r="F5" s="3684"/>
      <c r="G5" s="3680" t="s">
        <v>1675</v>
      </c>
      <c r="H5" s="3676"/>
      <c r="I5" s="3680" t="s">
        <v>1676</v>
      </c>
      <c r="J5" s="3676"/>
      <c r="K5" s="1890"/>
      <c r="L5" s="2713"/>
      <c r="M5" s="2714"/>
      <c r="N5" s="2714"/>
      <c r="O5" s="2714"/>
      <c r="P5" s="3662"/>
      <c r="Q5" s="3663"/>
      <c r="R5" s="3668"/>
      <c r="S5" s="3669"/>
      <c r="T5" s="3668"/>
      <c r="U5" s="3669"/>
      <c r="V5" s="3672"/>
      <c r="W5" s="3672"/>
      <c r="X5" s="1355"/>
      <c r="Y5" s="3668"/>
      <c r="Z5" s="3669"/>
      <c r="AA5" s="3654"/>
      <c r="AB5" s="3654"/>
      <c r="AC5" s="3654"/>
    </row>
    <row r="6" spans="1:29" ht="15.75" thickBot="1">
      <c r="A6" s="360"/>
      <c r="B6" s="361"/>
      <c r="C6" s="3673" t="s">
        <v>1677</v>
      </c>
      <c r="D6" s="3674"/>
      <c r="E6" s="3681" t="s">
        <v>1677</v>
      </c>
      <c r="F6" s="3682"/>
      <c r="G6" s="3673" t="s">
        <v>1677</v>
      </c>
      <c r="H6" s="3674"/>
      <c r="I6" s="3673" t="s">
        <v>1677</v>
      </c>
      <c r="J6" s="3674"/>
      <c r="K6" s="1890" t="s">
        <v>1678</v>
      </c>
      <c r="L6" s="2713"/>
      <c r="M6" s="2714"/>
      <c r="N6" s="2714"/>
      <c r="O6" s="2714"/>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77" t="s">
        <v>1680</v>
      </c>
      <c r="Q7" s="3679"/>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37"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37"/>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37"/>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37"/>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37"/>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37"/>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99.75">
      <c r="A15" s="391" t="s">
        <v>1690</v>
      </c>
      <c r="B15" s="61" t="s">
        <v>1257</v>
      </c>
      <c r="C15" s="1896" t="str">
        <f>估价对象房地状况!C3</f>
        <v>周边有紫竹院路62号院、三虎桥5号院、世纪新景园、紫竹花园等住宅小区，住宅小区较集中，居住社区成熟度较好。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5" t="s">
        <v>1691</v>
      </c>
      <c r="Q15" s="1352" t="str">
        <f t="shared" si="6"/>
        <v>居住社区成熟度</v>
      </c>
      <c r="R15" s="705" t="s">
        <v>18</v>
      </c>
      <c r="S15" s="706">
        <f t="shared" si="0"/>
        <v>100</v>
      </c>
      <c r="T15" s="705" t="s">
        <v>18</v>
      </c>
      <c r="U15" s="706">
        <f t="shared" si="1"/>
        <v>100</v>
      </c>
      <c r="V15" s="705" t="s">
        <v>18</v>
      </c>
      <c r="W15" s="706">
        <f t="shared" si="2"/>
        <v>100</v>
      </c>
      <c r="X15" s="1355"/>
      <c r="Y15" s="364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36"/>
      <c r="Q16" s="1352"/>
      <c r="R16" s="705"/>
      <c r="S16" s="706"/>
      <c r="T16" s="705"/>
      <c r="U16" s="706"/>
      <c r="V16" s="705"/>
      <c r="W16" s="706"/>
      <c r="X16" s="1355"/>
      <c r="Y16" s="3650"/>
      <c r="Z16" s="1356"/>
      <c r="AA16" s="1353">
        <v>1</v>
      </c>
      <c r="AB16" s="1353">
        <v>1</v>
      </c>
      <c r="AC16" s="1353">
        <v>1</v>
      </c>
    </row>
    <row r="17" spans="1:29" ht="171">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6"/>
      <c r="Q17" s="1352" t="str">
        <f>B17</f>
        <v>交通便捷度</v>
      </c>
      <c r="R17" s="705" t="s">
        <v>18</v>
      </c>
      <c r="S17" s="706">
        <f>F17</f>
        <v>100</v>
      </c>
      <c r="T17" s="705" t="s">
        <v>18</v>
      </c>
      <c r="U17" s="706">
        <f>H17</f>
        <v>100</v>
      </c>
      <c r="V17" s="705" t="s">
        <v>18</v>
      </c>
      <c r="W17" s="706">
        <f>J17</f>
        <v>100</v>
      </c>
      <c r="X17" s="1355"/>
      <c r="Y17" s="365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36"/>
      <c r="Q18" s="1352"/>
      <c r="R18" s="705"/>
      <c r="S18" s="706"/>
      <c r="T18" s="705"/>
      <c r="U18" s="706"/>
      <c r="V18" s="705"/>
      <c r="W18" s="706"/>
      <c r="X18" s="1355"/>
      <c r="Y18" s="3650"/>
      <c r="Z18" s="1356"/>
      <c r="AA18" s="1353">
        <v>1</v>
      </c>
      <c r="AB18" s="1353">
        <v>1</v>
      </c>
      <c r="AC18" s="1353">
        <v>1</v>
      </c>
    </row>
    <row r="19" spans="1:29" ht="299.25">
      <c r="A19" s="379"/>
      <c r="B19" s="402" t="s">
        <v>1258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6"/>
      <c r="Q19" s="1352" t="str">
        <f>B19</f>
        <v>公共配套设施</v>
      </c>
      <c r="R19" s="705" t="s">
        <v>18</v>
      </c>
      <c r="S19" s="706">
        <f>F19</f>
        <v>100</v>
      </c>
      <c r="T19" s="705" t="s">
        <v>18</v>
      </c>
      <c r="U19" s="706">
        <f>H19</f>
        <v>100</v>
      </c>
      <c r="V19" s="705" t="s">
        <v>18</v>
      </c>
      <c r="W19" s="706">
        <f>J19</f>
        <v>100</v>
      </c>
      <c r="X19" s="1355"/>
      <c r="Y19" s="365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36"/>
      <c r="Q20" s="1352"/>
      <c r="R20" s="705"/>
      <c r="S20" s="706"/>
      <c r="T20" s="705"/>
      <c r="U20" s="706"/>
      <c r="V20" s="705"/>
      <c r="W20" s="706"/>
      <c r="X20" s="1355"/>
      <c r="Y20" s="365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6"/>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36"/>
      <c r="Q22" s="1352"/>
      <c r="R22" s="705"/>
      <c r="S22" s="706"/>
      <c r="T22" s="705"/>
      <c r="U22" s="706"/>
      <c r="V22" s="705"/>
      <c r="W22" s="706"/>
      <c r="X22" s="1355"/>
      <c r="Y22" s="3650"/>
      <c r="Z22" s="1356"/>
      <c r="AA22" s="1353">
        <v>1</v>
      </c>
      <c r="AB22" s="1353">
        <v>1</v>
      </c>
      <c r="AC22" s="1353">
        <v>1</v>
      </c>
    </row>
    <row r="23" spans="1:29" ht="99.75">
      <c r="A23" s="379"/>
      <c r="B23" s="402" t="s">
        <v>1261</v>
      </c>
      <c r="C23" s="1900" t="str">
        <f>估价对象房地状况!C9</f>
        <v xml:space="preserve">自然环境：紫竹院公园、北京动物园
人文环境：国家图书馆。
综上，环境状况好。
</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6"/>
      <c r="Q23" s="1352" t="str">
        <f>B23</f>
        <v>自然及人文环境</v>
      </c>
      <c r="R23" s="705" t="s">
        <v>18</v>
      </c>
      <c r="S23" s="706">
        <f>F23</f>
        <v>100</v>
      </c>
      <c r="T23" s="705" t="s">
        <v>18</v>
      </c>
      <c r="U23" s="706">
        <f>H23</f>
        <v>100</v>
      </c>
      <c r="V23" s="705" t="s">
        <v>18</v>
      </c>
      <c r="W23" s="706">
        <f>J23</f>
        <v>100</v>
      </c>
      <c r="X23" s="1355"/>
      <c r="Y23" s="365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36"/>
      <c r="Q24" s="1352"/>
      <c r="R24" s="705"/>
      <c r="S24" s="706"/>
      <c r="T24" s="705"/>
      <c r="U24" s="706"/>
      <c r="V24" s="705"/>
      <c r="W24" s="706"/>
      <c r="X24" s="1355"/>
      <c r="Y24" s="365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6"/>
      <c r="Q26" s="1352" t="str">
        <f t="shared" si="11"/>
        <v>朝向</v>
      </c>
      <c r="R26" s="705" t="s">
        <v>18</v>
      </c>
      <c r="S26" s="706">
        <f t="shared" si="12"/>
        <v>100</v>
      </c>
      <c r="T26" s="705" t="s">
        <v>18</v>
      </c>
      <c r="U26" s="706">
        <f t="shared" si="13"/>
        <v>100</v>
      </c>
      <c r="V26" s="705" t="s">
        <v>18</v>
      </c>
      <c r="W26" s="706">
        <f t="shared" si="14"/>
        <v>100</v>
      </c>
      <c r="X26" s="1355"/>
      <c r="Y26" s="365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6"/>
      <c r="Q27" s="1343">
        <f t="shared" si="11"/>
        <v>111</v>
      </c>
      <c r="R27" s="701" t="s">
        <v>18</v>
      </c>
      <c r="S27" s="702">
        <f t="shared" si="12"/>
        <v>100</v>
      </c>
      <c r="T27" s="701" t="s">
        <v>18</v>
      </c>
      <c r="U27" s="702">
        <f t="shared" si="13"/>
        <v>100</v>
      </c>
      <c r="V27" s="701" t="s">
        <v>18</v>
      </c>
      <c r="W27" s="702">
        <f t="shared" si="14"/>
        <v>100</v>
      </c>
      <c r="X27" s="703"/>
      <c r="Y27" s="365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6"/>
      <c r="Q28" s="1352">
        <f t="shared" si="11"/>
        <v>111</v>
      </c>
      <c r="R28" s="705" t="s">
        <v>18</v>
      </c>
      <c r="S28" s="706">
        <f t="shared" si="12"/>
        <v>100</v>
      </c>
      <c r="T28" s="705" t="s">
        <v>18</v>
      </c>
      <c r="U28" s="706">
        <f t="shared" si="13"/>
        <v>100</v>
      </c>
      <c r="V28" s="705" t="s">
        <v>18</v>
      </c>
      <c r="W28" s="706">
        <f t="shared" si="14"/>
        <v>100</v>
      </c>
      <c r="X28" s="1355"/>
      <c r="Y28" s="365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6"/>
      <c r="Q29" s="1352">
        <f t="shared" si="11"/>
        <v>111</v>
      </c>
      <c r="R29" s="705" t="s">
        <v>18</v>
      </c>
      <c r="S29" s="706">
        <f t="shared" si="12"/>
        <v>100</v>
      </c>
      <c r="T29" s="705" t="s">
        <v>18</v>
      </c>
      <c r="U29" s="706">
        <f t="shared" si="13"/>
        <v>100</v>
      </c>
      <c r="V29" s="705" t="s">
        <v>18</v>
      </c>
      <c r="W29" s="706">
        <f t="shared" si="14"/>
        <v>100</v>
      </c>
      <c r="X29" s="1355"/>
      <c r="Y29" s="365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6"/>
      <c r="Q30" s="1352">
        <f t="shared" si="11"/>
        <v>111</v>
      </c>
      <c r="R30" s="705" t="s">
        <v>18</v>
      </c>
      <c r="S30" s="706">
        <f t="shared" si="12"/>
        <v>100</v>
      </c>
      <c r="T30" s="705" t="s">
        <v>18</v>
      </c>
      <c r="U30" s="706">
        <f t="shared" si="13"/>
        <v>100</v>
      </c>
      <c r="V30" s="705" t="s">
        <v>18</v>
      </c>
      <c r="W30" s="706">
        <f t="shared" si="14"/>
        <v>100</v>
      </c>
      <c r="X30" s="1355"/>
      <c r="Y30" s="365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6"/>
      <c r="Q31" s="1352">
        <f t="shared" si="11"/>
        <v>111</v>
      </c>
      <c r="R31" s="705" t="s">
        <v>18</v>
      </c>
      <c r="S31" s="706">
        <f t="shared" si="12"/>
        <v>100</v>
      </c>
      <c r="T31" s="705" t="s">
        <v>18</v>
      </c>
      <c r="U31" s="706">
        <f t="shared" si="13"/>
        <v>100</v>
      </c>
      <c r="V31" s="705" t="s">
        <v>18</v>
      </c>
      <c r="W31" s="706">
        <f t="shared" si="14"/>
        <v>100</v>
      </c>
      <c r="X31" s="1355"/>
      <c r="Y31" s="365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31" t="s">
        <v>1696</v>
      </c>
      <c r="Q32" s="1352" t="str">
        <f t="shared" si="11"/>
        <v>建筑类型</v>
      </c>
      <c r="R32" s="705" t="s">
        <v>18</v>
      </c>
      <c r="S32" s="706">
        <f t="shared" si="12"/>
        <v>100</v>
      </c>
      <c r="T32" s="705" t="s">
        <v>18</v>
      </c>
      <c r="U32" s="706">
        <f t="shared" si="13"/>
        <v>100</v>
      </c>
      <c r="V32" s="705" t="s">
        <v>18</v>
      </c>
      <c r="W32" s="706">
        <f t="shared" si="14"/>
        <v>100</v>
      </c>
      <c r="X32" s="1355"/>
      <c r="Y32" s="365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32"/>
      <c r="Q33" s="707" t="str">
        <f t="shared" si="11"/>
        <v>项目建筑规模</v>
      </c>
      <c r="R33" s="708" t="s">
        <v>18</v>
      </c>
      <c r="S33" s="709" t="e">
        <f t="shared" si="12"/>
        <v>#N/A</v>
      </c>
      <c r="T33" s="708" t="s">
        <v>18</v>
      </c>
      <c r="U33" s="709" t="e">
        <f t="shared" si="13"/>
        <v>#N/A</v>
      </c>
      <c r="V33" s="708" t="s">
        <v>18</v>
      </c>
      <c r="W33" s="709" t="e">
        <f t="shared" si="14"/>
        <v>#N/A</v>
      </c>
      <c r="X33" s="710"/>
      <c r="Y33" s="365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32"/>
      <c r="Q34" s="1352" t="str">
        <f t="shared" si="11"/>
        <v>建筑结构</v>
      </c>
      <c r="R34" s="705" t="s">
        <v>18</v>
      </c>
      <c r="S34" s="706">
        <f t="shared" si="12"/>
        <v>100</v>
      </c>
      <c r="T34" s="705" t="s">
        <v>18</v>
      </c>
      <c r="U34" s="706">
        <f t="shared" si="13"/>
        <v>100</v>
      </c>
      <c r="V34" s="705" t="s">
        <v>18</v>
      </c>
      <c r="W34" s="706">
        <f t="shared" si="14"/>
        <v>100</v>
      </c>
      <c r="X34" s="1355"/>
      <c r="Y34" s="365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32"/>
      <c r="Q35" s="1352" t="str">
        <f t="shared" si="11"/>
        <v>建筑品质</v>
      </c>
      <c r="R35" s="705" t="s">
        <v>18</v>
      </c>
      <c r="S35" s="706">
        <f t="shared" si="12"/>
        <v>100</v>
      </c>
      <c r="T35" s="705" t="s">
        <v>18</v>
      </c>
      <c r="U35" s="706">
        <f t="shared" si="13"/>
        <v>100</v>
      </c>
      <c r="V35" s="705" t="s">
        <v>18</v>
      </c>
      <c r="W35" s="706">
        <f t="shared" si="14"/>
        <v>100</v>
      </c>
      <c r="X35" s="1355"/>
      <c r="Y35" s="365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32"/>
      <c r="Q36" s="1352" t="str">
        <f t="shared" si="11"/>
        <v>公共部分装修</v>
      </c>
      <c r="R36" s="705" t="s">
        <v>18</v>
      </c>
      <c r="S36" s="706">
        <f t="shared" si="12"/>
        <v>100</v>
      </c>
      <c r="T36" s="705" t="s">
        <v>18</v>
      </c>
      <c r="U36" s="706">
        <f t="shared" si="13"/>
        <v>100</v>
      </c>
      <c r="V36" s="705" t="s">
        <v>18</v>
      </c>
      <c r="W36" s="706">
        <f t="shared" si="14"/>
        <v>100</v>
      </c>
      <c r="X36" s="1355"/>
      <c r="Y36" s="365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2"/>
      <c r="Q37" s="1343" t="str">
        <f t="shared" si="11"/>
        <v>成新度</v>
      </c>
      <c r="R37" s="701" t="s">
        <v>18</v>
      </c>
      <c r="S37" s="702" t="e">
        <f t="shared" si="12"/>
        <v>#N/A</v>
      </c>
      <c r="T37" s="701" t="s">
        <v>18</v>
      </c>
      <c r="U37" s="702" t="e">
        <f t="shared" si="13"/>
        <v>#N/A</v>
      </c>
      <c r="V37" s="701" t="s">
        <v>18</v>
      </c>
      <c r="W37" s="702" t="e">
        <f t="shared" si="14"/>
        <v>#N/A</v>
      </c>
      <c r="X37" s="703"/>
      <c r="Y37" s="365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2" t="s">
        <v>1696</v>
      </c>
      <c r="Q38" s="1352" t="str">
        <f t="shared" si="11"/>
        <v>物业管理</v>
      </c>
      <c r="R38" s="705" t="s">
        <v>18</v>
      </c>
      <c r="S38" s="706">
        <f t="shared" si="12"/>
        <v>100</v>
      </c>
      <c r="T38" s="705" t="s">
        <v>18</v>
      </c>
      <c r="U38" s="706">
        <f t="shared" si="13"/>
        <v>100</v>
      </c>
      <c r="V38" s="705" t="s">
        <v>18</v>
      </c>
      <c r="W38" s="706">
        <f t="shared" si="14"/>
        <v>100</v>
      </c>
      <c r="X38" s="1355"/>
      <c r="Y38" s="365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2"/>
      <c r="Q39" s="1352" t="str">
        <f t="shared" si="11"/>
        <v>市政基础设施</v>
      </c>
      <c r="R39" s="705" t="s">
        <v>18</v>
      </c>
      <c r="S39" s="706">
        <f t="shared" si="12"/>
        <v>100</v>
      </c>
      <c r="T39" s="705" t="s">
        <v>18</v>
      </c>
      <c r="U39" s="706">
        <f t="shared" si="13"/>
        <v>100</v>
      </c>
      <c r="V39" s="705" t="s">
        <v>18</v>
      </c>
      <c r="W39" s="706">
        <f t="shared" si="14"/>
        <v>100</v>
      </c>
      <c r="X39" s="1355"/>
      <c r="Y39" s="365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2"/>
      <c r="Q40" s="1352" t="str">
        <f t="shared" si="11"/>
        <v>房型</v>
      </c>
      <c r="R40" s="705" t="s">
        <v>18</v>
      </c>
      <c r="S40" s="706">
        <f t="shared" si="12"/>
        <v>100</v>
      </c>
      <c r="T40" s="705" t="s">
        <v>18</v>
      </c>
      <c r="U40" s="706">
        <f t="shared" si="13"/>
        <v>100</v>
      </c>
      <c r="V40" s="705" t="s">
        <v>18</v>
      </c>
      <c r="W40" s="706">
        <f t="shared" si="14"/>
        <v>100</v>
      </c>
      <c r="X40" s="1355"/>
      <c r="Y40" s="365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2"/>
      <c r="Q41" s="707" t="str">
        <f t="shared" si="11"/>
        <v>单套/主力户型建筑面积</v>
      </c>
      <c r="R41" s="708" t="s">
        <v>18</v>
      </c>
      <c r="S41" s="709">
        <f t="shared" si="12"/>
        <v>100</v>
      </c>
      <c r="T41" s="708" t="s">
        <v>18</v>
      </c>
      <c r="U41" s="709">
        <f t="shared" si="13"/>
        <v>100</v>
      </c>
      <c r="V41" s="708" t="s">
        <v>18</v>
      </c>
      <c r="W41" s="709">
        <f t="shared" si="14"/>
        <v>100</v>
      </c>
      <c r="X41" s="710"/>
      <c r="Y41" s="365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2"/>
      <c r="Q42" s="1352" t="str">
        <f t="shared" si="11"/>
        <v>内部装修</v>
      </c>
      <c r="R42" s="705" t="s">
        <v>18</v>
      </c>
      <c r="S42" s="706">
        <f t="shared" si="12"/>
        <v>100</v>
      </c>
      <c r="T42" s="705" t="s">
        <v>18</v>
      </c>
      <c r="U42" s="706">
        <f t="shared" si="13"/>
        <v>100</v>
      </c>
      <c r="V42" s="705" t="s">
        <v>18</v>
      </c>
      <c r="W42" s="706">
        <f t="shared" si="14"/>
        <v>100</v>
      </c>
      <c r="X42" s="1355"/>
      <c r="Y42" s="365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2"/>
      <c r="Q43" s="1352" t="str">
        <f t="shared" si="11"/>
        <v>内部装修维护情况</v>
      </c>
      <c r="R43" s="705" t="s">
        <v>18</v>
      </c>
      <c r="S43" s="706">
        <f t="shared" si="12"/>
        <v>100</v>
      </c>
      <c r="T43" s="705" t="s">
        <v>18</v>
      </c>
      <c r="U43" s="706">
        <f t="shared" si="13"/>
        <v>100</v>
      </c>
      <c r="V43" s="705" t="s">
        <v>18</v>
      </c>
      <c r="W43" s="706">
        <f t="shared" si="14"/>
        <v>100</v>
      </c>
      <c r="X43" s="1355"/>
      <c r="Y43" s="36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2"/>
      <c r="Q44" s="1343">
        <f t="shared" si="11"/>
        <v>111</v>
      </c>
      <c r="R44" s="701" t="s">
        <v>18</v>
      </c>
      <c r="S44" s="702">
        <f t="shared" si="12"/>
        <v>100</v>
      </c>
      <c r="T44" s="701" t="s">
        <v>18</v>
      </c>
      <c r="U44" s="702">
        <f t="shared" si="13"/>
        <v>100</v>
      </c>
      <c r="V44" s="701" t="s">
        <v>18</v>
      </c>
      <c r="W44" s="702">
        <f t="shared" si="14"/>
        <v>100</v>
      </c>
      <c r="X44" s="703"/>
      <c r="Y44" s="36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2"/>
      <c r="Q45" s="1352">
        <f t="shared" si="11"/>
        <v>111</v>
      </c>
      <c r="R45" s="705" t="s">
        <v>18</v>
      </c>
      <c r="S45" s="706">
        <f t="shared" si="12"/>
        <v>100</v>
      </c>
      <c r="T45" s="705" t="s">
        <v>18</v>
      </c>
      <c r="U45" s="706">
        <f t="shared" si="13"/>
        <v>100</v>
      </c>
      <c r="V45" s="705" t="s">
        <v>18</v>
      </c>
      <c r="W45" s="706">
        <f t="shared" si="14"/>
        <v>100</v>
      </c>
      <c r="X45" s="1355"/>
      <c r="Y45" s="365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3"/>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44" t="str">
        <f>A47</f>
        <v>成交单价（元/平方米）</v>
      </c>
      <c r="Q47" s="3644"/>
      <c r="R47" s="3645">
        <f>E47</f>
        <v>0</v>
      </c>
      <c r="S47" s="3645"/>
      <c r="T47" s="3645">
        <f>G47</f>
        <v>0</v>
      </c>
      <c r="U47" s="3645"/>
      <c r="V47" s="3645">
        <f>I47</f>
        <v>0</v>
      </c>
      <c r="W47" s="364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46" t="str">
        <f>A49</f>
        <v>估价对象XX用房的比较价值（楼面单价，元/平方米）</v>
      </c>
      <c r="Q49" s="3647"/>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29.35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5"/>
      <c r="Y4" s="3666" t="s">
        <v>1775</v>
      </c>
      <c r="Z4" s="3667"/>
      <c r="AA4" s="3653" t="s">
        <v>1771</v>
      </c>
      <c r="AB4" s="3672" t="s">
        <v>1772</v>
      </c>
      <c r="AC4" s="3653" t="s">
        <v>1773</v>
      </c>
    </row>
    <row r="5" spans="1:29" ht="15">
      <c r="A5" s="358"/>
      <c r="B5" s="359"/>
      <c r="C5" s="3680" t="s">
        <v>1673</v>
      </c>
      <c r="D5" s="3676"/>
      <c r="E5" s="3738" t="s">
        <v>1674</v>
      </c>
      <c r="F5" s="3684"/>
      <c r="G5" s="3680" t="s">
        <v>1675</v>
      </c>
      <c r="H5" s="3676"/>
      <c r="I5" s="3680" t="s">
        <v>1676</v>
      </c>
      <c r="J5" s="3676"/>
      <c r="K5" s="559"/>
      <c r="L5" s="2713"/>
      <c r="M5" s="2714"/>
      <c r="N5" s="2714"/>
      <c r="O5" s="2714"/>
      <c r="P5" s="3662"/>
      <c r="Q5" s="3663"/>
      <c r="R5" s="3668"/>
      <c r="S5" s="3669"/>
      <c r="T5" s="3668"/>
      <c r="U5" s="3669"/>
      <c r="V5" s="3672"/>
      <c r="W5" s="3672"/>
      <c r="X5" s="1355"/>
      <c r="Y5" s="3668"/>
      <c r="Z5" s="3669"/>
      <c r="AA5" s="3654"/>
      <c r="AB5" s="3672"/>
      <c r="AC5" s="3654"/>
    </row>
    <row r="6" spans="1:29" ht="15.7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5"/>
      <c r="Y6" s="3670"/>
      <c r="Z6" s="3671"/>
      <c r="AA6" s="3655"/>
      <c r="AB6" s="3672"/>
      <c r="AC6" s="3655"/>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7"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7"/>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7"/>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7"/>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7"/>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7"/>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5" t="s">
        <v>1691</v>
      </c>
      <c r="Q15" s="1352" t="str">
        <f t="shared" si="6"/>
        <v>商业繁华度</v>
      </c>
      <c r="R15" s="705" t="s">
        <v>14</v>
      </c>
      <c r="S15" s="706">
        <f t="shared" si="0"/>
        <v>100</v>
      </c>
      <c r="T15" s="705" t="s">
        <v>14</v>
      </c>
      <c r="U15" s="706">
        <f t="shared" si="1"/>
        <v>100</v>
      </c>
      <c r="V15" s="705" t="s">
        <v>14</v>
      </c>
      <c r="W15" s="706">
        <f t="shared" si="2"/>
        <v>100</v>
      </c>
      <c r="X15" s="1355"/>
      <c r="Y15" s="364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6"/>
      <c r="Q16" s="1352"/>
      <c r="R16" s="705"/>
      <c r="S16" s="706"/>
      <c r="T16" s="705"/>
      <c r="U16" s="706"/>
      <c r="V16" s="705"/>
      <c r="W16" s="706"/>
      <c r="X16" s="1355"/>
      <c r="Y16" s="3650"/>
      <c r="Z16" s="1356"/>
      <c r="AA16" s="1353">
        <v>1</v>
      </c>
      <c r="AB16" s="1353">
        <v>1</v>
      </c>
      <c r="AC16" s="1353">
        <v>1</v>
      </c>
    </row>
    <row r="17" spans="1:29" ht="185.25">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6"/>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36"/>
      <c r="Q18" s="1352"/>
      <c r="R18" s="705"/>
      <c r="S18" s="706"/>
      <c r="T18" s="705"/>
      <c r="U18" s="706"/>
      <c r="V18" s="705"/>
      <c r="W18" s="706"/>
      <c r="X18" s="1355"/>
      <c r="Y18" s="3650"/>
      <c r="Z18" s="1356"/>
      <c r="AA18" s="1353">
        <v>1</v>
      </c>
      <c r="AB18" s="1353">
        <v>1</v>
      </c>
      <c r="AC18" s="1353">
        <v>1</v>
      </c>
    </row>
    <row r="19" spans="1:29" ht="370.5">
      <c r="A19" s="379"/>
      <c r="B19" s="402" t="s">
        <v>1778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6"/>
      <c r="Q19" s="1352" t="str">
        <f>B19</f>
        <v>公共配套设施</v>
      </c>
      <c r="R19" s="705" t="s">
        <v>14</v>
      </c>
      <c r="S19" s="706">
        <f>F19</f>
        <v>100</v>
      </c>
      <c r="T19" s="705" t="s">
        <v>14</v>
      </c>
      <c r="U19" s="706">
        <f>H19</f>
        <v>100</v>
      </c>
      <c r="V19" s="705" t="s">
        <v>14</v>
      </c>
      <c r="W19" s="706">
        <f>J19</f>
        <v>100</v>
      </c>
      <c r="X19" s="1355"/>
      <c r="Y19" s="365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36"/>
      <c r="Q20" s="1352"/>
      <c r="R20" s="705"/>
      <c r="S20" s="706"/>
      <c r="T20" s="705"/>
      <c r="U20" s="706"/>
      <c r="V20" s="705"/>
      <c r="W20" s="706"/>
      <c r="X20" s="1355"/>
      <c r="Y20" s="365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6"/>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36"/>
      <c r="Q22" s="1352"/>
      <c r="R22" s="705"/>
      <c r="S22" s="706"/>
      <c r="T22" s="705"/>
      <c r="U22" s="706"/>
      <c r="V22" s="705"/>
      <c r="W22" s="706"/>
      <c r="X22" s="1355"/>
      <c r="Y22" s="3650"/>
      <c r="Z22" s="1356"/>
      <c r="AA22" s="1353">
        <v>1</v>
      </c>
      <c r="AB22" s="1353">
        <v>1</v>
      </c>
      <c r="AC22" s="1353">
        <v>1</v>
      </c>
    </row>
    <row r="23" spans="1:29" ht="114">
      <c r="A23" s="379"/>
      <c r="B23" s="402" t="s">
        <v>1261</v>
      </c>
      <c r="C23" s="1955" t="str">
        <f>估价对象房地状况!C9</f>
        <v xml:space="preserve">自然环境：紫竹院公园、北京动物园
人文环境：国家图书馆。
综上，环境状况好。
</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6"/>
      <c r="Q23" s="1352" t="str">
        <f>B23</f>
        <v>自然及人文环境</v>
      </c>
      <c r="R23" s="705" t="s">
        <v>14</v>
      </c>
      <c r="S23" s="706">
        <f>F23</f>
        <v>100</v>
      </c>
      <c r="T23" s="705" t="s">
        <v>14</v>
      </c>
      <c r="U23" s="706">
        <f>H23</f>
        <v>100</v>
      </c>
      <c r="V23" s="705" t="s">
        <v>14</v>
      </c>
      <c r="W23" s="706">
        <f>J23</f>
        <v>100</v>
      </c>
      <c r="X23" s="1355"/>
      <c r="Y23" s="365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36"/>
      <c r="Q24" s="1352"/>
      <c r="R24" s="705"/>
      <c r="S24" s="706"/>
      <c r="T24" s="705"/>
      <c r="U24" s="706"/>
      <c r="V24" s="705"/>
      <c r="W24" s="706"/>
      <c r="X24" s="1355"/>
      <c r="Y24" s="365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6"/>
      <c r="Q25" s="1352" t="str">
        <f t="shared" ref="Q25:Q46" si="11">B25</f>
        <v>临街状况</v>
      </c>
      <c r="R25" s="705" t="s">
        <v>14</v>
      </c>
      <c r="S25" s="706">
        <f>F25</f>
        <v>100</v>
      </c>
      <c r="T25" s="705" t="s">
        <v>14</v>
      </c>
      <c r="U25" s="706">
        <f>H25</f>
        <v>100</v>
      </c>
      <c r="V25" s="705" t="s">
        <v>14</v>
      </c>
      <c r="W25" s="706">
        <f>J25</f>
        <v>100</v>
      </c>
      <c r="X25" s="1355"/>
      <c r="Y25" s="365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6"/>
      <c r="Q26" s="1352" t="str">
        <f t="shared" si="11"/>
        <v>平面位置/可视性</v>
      </c>
      <c r="R26" s="705" t="s">
        <v>14</v>
      </c>
      <c r="S26" s="706">
        <f>F26</f>
        <v>100</v>
      </c>
      <c r="T26" s="705" t="s">
        <v>14</v>
      </c>
      <c r="U26" s="706">
        <f>H26</f>
        <v>100</v>
      </c>
      <c r="V26" s="705" t="s">
        <v>14</v>
      </c>
      <c r="W26" s="706">
        <f>J26</f>
        <v>100</v>
      </c>
      <c r="X26" s="1355"/>
      <c r="Y26" s="365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36"/>
      <c r="Q27" s="1343" t="str">
        <f t="shared" si="11"/>
        <v>人流量</v>
      </c>
      <c r="R27" s="701" t="s">
        <v>14</v>
      </c>
      <c r="S27" s="702">
        <f>F27</f>
        <v>100</v>
      </c>
      <c r="T27" s="701" t="s">
        <v>14</v>
      </c>
      <c r="U27" s="702">
        <f>H27</f>
        <v>100</v>
      </c>
      <c r="V27" s="701" t="s">
        <v>14</v>
      </c>
      <c r="W27" s="702">
        <f>J27</f>
        <v>100</v>
      </c>
      <c r="X27" s="703"/>
      <c r="Y27" s="365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6"/>
      <c r="Q29" s="1352">
        <f t="shared" si="11"/>
        <v>111</v>
      </c>
      <c r="R29" s="705" t="s">
        <v>14</v>
      </c>
      <c r="S29" s="706">
        <f t="shared" si="12"/>
        <v>100</v>
      </c>
      <c r="T29" s="705" t="s">
        <v>14</v>
      </c>
      <c r="U29" s="706">
        <f t="shared" si="13"/>
        <v>100</v>
      </c>
      <c r="V29" s="705" t="s">
        <v>14</v>
      </c>
      <c r="W29" s="706">
        <f t="shared" si="14"/>
        <v>100</v>
      </c>
      <c r="X29" s="1355"/>
      <c r="Y29" s="365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6"/>
      <c r="Q30" s="1352">
        <f t="shared" si="11"/>
        <v>111</v>
      </c>
      <c r="R30" s="705" t="s">
        <v>14</v>
      </c>
      <c r="S30" s="706">
        <f t="shared" si="12"/>
        <v>100</v>
      </c>
      <c r="T30" s="705" t="s">
        <v>14</v>
      </c>
      <c r="U30" s="706">
        <f t="shared" si="13"/>
        <v>100</v>
      </c>
      <c r="V30" s="705" t="s">
        <v>14</v>
      </c>
      <c r="W30" s="706">
        <f t="shared" si="14"/>
        <v>100</v>
      </c>
      <c r="X30" s="1355"/>
      <c r="Y30" s="365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6"/>
      <c r="Q31" s="1352">
        <f t="shared" si="11"/>
        <v>111</v>
      </c>
      <c r="R31" s="705" t="s">
        <v>14</v>
      </c>
      <c r="S31" s="706">
        <f t="shared" si="12"/>
        <v>100</v>
      </c>
      <c r="T31" s="705" t="s">
        <v>14</v>
      </c>
      <c r="U31" s="706">
        <f t="shared" si="13"/>
        <v>100</v>
      </c>
      <c r="V31" s="705" t="s">
        <v>14</v>
      </c>
      <c r="W31" s="706">
        <f t="shared" si="14"/>
        <v>100</v>
      </c>
      <c r="X31" s="1355"/>
      <c r="Y31" s="365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31" t="s">
        <v>1696</v>
      </c>
      <c r="Q32" s="1352" t="str">
        <f t="shared" si="11"/>
        <v>商业类型</v>
      </c>
      <c r="R32" s="705" t="s">
        <v>14</v>
      </c>
      <c r="S32" s="706">
        <f t="shared" si="12"/>
        <v>100</v>
      </c>
      <c r="T32" s="705" t="s">
        <v>14</v>
      </c>
      <c r="U32" s="706">
        <f t="shared" si="13"/>
        <v>100</v>
      </c>
      <c r="V32" s="705" t="s">
        <v>14</v>
      </c>
      <c r="W32" s="706">
        <f t="shared" si="14"/>
        <v>100</v>
      </c>
      <c r="X32" s="1355"/>
      <c r="Y32" s="365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2"/>
      <c r="Q33" s="707" t="str">
        <f t="shared" si="11"/>
        <v>项目建筑规模</v>
      </c>
      <c r="R33" s="708" t="s">
        <v>14</v>
      </c>
      <c r="S33" s="709" t="e">
        <f t="shared" si="12"/>
        <v>#N/A</v>
      </c>
      <c r="T33" s="708" t="s">
        <v>14</v>
      </c>
      <c r="U33" s="709" t="e">
        <f t="shared" si="13"/>
        <v>#N/A</v>
      </c>
      <c r="V33" s="708" t="s">
        <v>14</v>
      </c>
      <c r="W33" s="709" t="e">
        <f t="shared" si="14"/>
        <v>#N/A</v>
      </c>
      <c r="X33" s="710"/>
      <c r="Y33" s="365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32"/>
      <c r="Q34" s="1352" t="str">
        <f t="shared" si="11"/>
        <v>建筑结构</v>
      </c>
      <c r="R34" s="705" t="s">
        <v>14</v>
      </c>
      <c r="S34" s="706">
        <f t="shared" si="12"/>
        <v>100</v>
      </c>
      <c r="T34" s="705" t="s">
        <v>14</v>
      </c>
      <c r="U34" s="706">
        <f t="shared" si="13"/>
        <v>100</v>
      </c>
      <c r="V34" s="705" t="s">
        <v>14</v>
      </c>
      <c r="W34" s="706">
        <f t="shared" si="14"/>
        <v>100</v>
      </c>
      <c r="X34" s="1355"/>
      <c r="Y34" s="365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32"/>
      <c r="Q35" s="1352" t="str">
        <f t="shared" si="11"/>
        <v>公共部分装修</v>
      </c>
      <c r="R35" s="705" t="s">
        <v>14</v>
      </c>
      <c r="S35" s="706">
        <f t="shared" si="12"/>
        <v>100</v>
      </c>
      <c r="T35" s="705" t="s">
        <v>14</v>
      </c>
      <c r="U35" s="706">
        <f t="shared" si="13"/>
        <v>100</v>
      </c>
      <c r="V35" s="705" t="s">
        <v>14</v>
      </c>
      <c r="W35" s="706">
        <f t="shared" si="14"/>
        <v>100</v>
      </c>
      <c r="X35" s="1355"/>
      <c r="Y35" s="365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2"/>
      <c r="Q36" s="1352" t="str">
        <f t="shared" si="11"/>
        <v>成新度</v>
      </c>
      <c r="R36" s="705" t="s">
        <v>14</v>
      </c>
      <c r="S36" s="706" t="e">
        <f t="shared" si="12"/>
        <v>#N/A</v>
      </c>
      <c r="T36" s="705" t="s">
        <v>14</v>
      </c>
      <c r="U36" s="706" t="e">
        <f t="shared" si="13"/>
        <v>#N/A</v>
      </c>
      <c r="V36" s="705" t="s">
        <v>14</v>
      </c>
      <c r="W36" s="706" t="e">
        <f t="shared" si="14"/>
        <v>#N/A</v>
      </c>
      <c r="X36" s="1355"/>
      <c r="Y36" s="365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32"/>
      <c r="Q37" s="1343" t="str">
        <f t="shared" si="11"/>
        <v>市政基础设施</v>
      </c>
      <c r="R37" s="701" t="s">
        <v>14</v>
      </c>
      <c r="S37" s="702">
        <f t="shared" si="12"/>
        <v>100</v>
      </c>
      <c r="T37" s="701" t="s">
        <v>14</v>
      </c>
      <c r="U37" s="702">
        <f t="shared" si="13"/>
        <v>100</v>
      </c>
      <c r="V37" s="701" t="s">
        <v>14</v>
      </c>
      <c r="W37" s="702">
        <f t="shared" si="14"/>
        <v>100</v>
      </c>
      <c r="X37" s="703"/>
      <c r="Y37" s="365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32" t="s">
        <v>1696</v>
      </c>
      <c r="Q38" s="1352" t="str">
        <f t="shared" si="11"/>
        <v>业态</v>
      </c>
      <c r="R38" s="705" t="s">
        <v>14</v>
      </c>
      <c r="S38" s="706">
        <f t="shared" si="12"/>
        <v>100</v>
      </c>
      <c r="T38" s="705" t="s">
        <v>14</v>
      </c>
      <c r="U38" s="706">
        <f t="shared" si="13"/>
        <v>100</v>
      </c>
      <c r="V38" s="705" t="s">
        <v>14</v>
      </c>
      <c r="W38" s="706">
        <f t="shared" si="14"/>
        <v>100</v>
      </c>
      <c r="X38" s="1355"/>
      <c r="Y38" s="365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32"/>
      <c r="Q39" s="1352" t="str">
        <f t="shared" si="11"/>
        <v>层高</v>
      </c>
      <c r="R39" s="705" t="s">
        <v>14</v>
      </c>
      <c r="S39" s="706">
        <f t="shared" si="12"/>
        <v>100</v>
      </c>
      <c r="T39" s="705" t="s">
        <v>14</v>
      </c>
      <c r="U39" s="706">
        <f t="shared" si="13"/>
        <v>100</v>
      </c>
      <c r="V39" s="705" t="s">
        <v>14</v>
      </c>
      <c r="W39" s="706">
        <f t="shared" si="14"/>
        <v>100</v>
      </c>
      <c r="X39" s="1355"/>
      <c r="Y39" s="365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2"/>
      <c r="Q40" s="1352" t="str">
        <f t="shared" si="11"/>
        <v>单套建筑面积</v>
      </c>
      <c r="R40" s="705" t="s">
        <v>14</v>
      </c>
      <c r="S40" s="706">
        <f t="shared" si="12"/>
        <v>100</v>
      </c>
      <c r="T40" s="705" t="s">
        <v>14</v>
      </c>
      <c r="U40" s="706">
        <f t="shared" si="13"/>
        <v>100</v>
      </c>
      <c r="V40" s="705" t="s">
        <v>14</v>
      </c>
      <c r="W40" s="706">
        <f t="shared" si="14"/>
        <v>100</v>
      </c>
      <c r="X40" s="1355"/>
      <c r="Y40" s="365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2"/>
      <c r="Q41" s="707" t="str">
        <f t="shared" si="11"/>
        <v>进深比</v>
      </c>
      <c r="R41" s="708" t="s">
        <v>14</v>
      </c>
      <c r="S41" s="709">
        <f t="shared" si="12"/>
        <v>100</v>
      </c>
      <c r="T41" s="708" t="s">
        <v>14</v>
      </c>
      <c r="U41" s="709">
        <f t="shared" si="13"/>
        <v>100</v>
      </c>
      <c r="V41" s="708" t="s">
        <v>14</v>
      </c>
      <c r="W41" s="709">
        <f t="shared" si="14"/>
        <v>100</v>
      </c>
      <c r="X41" s="710"/>
      <c r="Y41" s="365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32"/>
      <c r="Q42" s="1352" t="str">
        <f t="shared" si="11"/>
        <v>内部装修</v>
      </c>
      <c r="R42" s="705" t="s">
        <v>14</v>
      </c>
      <c r="S42" s="706">
        <f t="shared" si="12"/>
        <v>100</v>
      </c>
      <c r="T42" s="705" t="s">
        <v>14</v>
      </c>
      <c r="U42" s="706">
        <f t="shared" si="13"/>
        <v>100</v>
      </c>
      <c r="V42" s="705" t="s">
        <v>14</v>
      </c>
      <c r="W42" s="706">
        <f t="shared" si="14"/>
        <v>100</v>
      </c>
      <c r="X42" s="1355"/>
      <c r="Y42" s="365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32"/>
      <c r="Q43" s="1352" t="str">
        <f t="shared" si="11"/>
        <v>内部装修维护情况</v>
      </c>
      <c r="R43" s="705" t="s">
        <v>14</v>
      </c>
      <c r="S43" s="706">
        <f t="shared" si="12"/>
        <v>100</v>
      </c>
      <c r="T43" s="705" t="s">
        <v>14</v>
      </c>
      <c r="U43" s="706">
        <f t="shared" si="13"/>
        <v>100</v>
      </c>
      <c r="V43" s="705" t="s">
        <v>14</v>
      </c>
      <c r="W43" s="706">
        <f t="shared" si="14"/>
        <v>100</v>
      </c>
      <c r="X43" s="1355"/>
      <c r="Y43" s="36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2"/>
      <c r="Q44" s="1343">
        <f t="shared" si="11"/>
        <v>111</v>
      </c>
      <c r="R44" s="701" t="s">
        <v>14</v>
      </c>
      <c r="S44" s="702">
        <f t="shared" si="12"/>
        <v>100</v>
      </c>
      <c r="T44" s="701" t="s">
        <v>14</v>
      </c>
      <c r="U44" s="702">
        <f t="shared" si="13"/>
        <v>100</v>
      </c>
      <c r="V44" s="701" t="s">
        <v>14</v>
      </c>
      <c r="W44" s="702">
        <f t="shared" si="14"/>
        <v>100</v>
      </c>
      <c r="X44" s="703"/>
      <c r="Y44" s="36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2"/>
      <c r="Q45" s="1352">
        <f t="shared" si="11"/>
        <v>111</v>
      </c>
      <c r="R45" s="705" t="s">
        <v>14</v>
      </c>
      <c r="S45" s="706">
        <f t="shared" si="12"/>
        <v>100</v>
      </c>
      <c r="T45" s="705" t="s">
        <v>14</v>
      </c>
      <c r="U45" s="706">
        <f t="shared" si="13"/>
        <v>100</v>
      </c>
      <c r="V45" s="705" t="s">
        <v>14</v>
      </c>
      <c r="W45" s="706">
        <f t="shared" si="14"/>
        <v>100</v>
      </c>
      <c r="X45" s="1355"/>
      <c r="Y45" s="36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3"/>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44" t="str">
        <f>A47</f>
        <v>成交单价（元/平方米）</v>
      </c>
      <c r="Q47" s="3644"/>
      <c r="R47" s="3672">
        <f>E47</f>
        <v>0</v>
      </c>
      <c r="S47" s="3672"/>
      <c r="T47" s="3672">
        <f>G47</f>
        <v>0</v>
      </c>
      <c r="U47" s="3672"/>
      <c r="V47" s="3672">
        <f>I47</f>
        <v>0</v>
      </c>
      <c r="W47" s="367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46" t="str">
        <f>A49</f>
        <v>估价对象XX用房的比较价值（楼面单价，元/平方米）</v>
      </c>
      <c r="Q49" s="3647"/>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29.35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745" t="s">
        <v>1775</v>
      </c>
      <c r="Q4" s="3746"/>
      <c r="R4" s="3749" t="s">
        <v>1771</v>
      </c>
      <c r="S4" s="3750"/>
      <c r="T4" s="3749" t="s">
        <v>1772</v>
      </c>
      <c r="U4" s="3750"/>
      <c r="V4" s="3751" t="s">
        <v>1773</v>
      </c>
      <c r="W4" s="3751"/>
      <c r="X4" s="1958"/>
      <c r="Y4" s="3749" t="s">
        <v>1775</v>
      </c>
      <c r="Z4" s="3750"/>
      <c r="AA4" s="3753" t="s">
        <v>1771</v>
      </c>
      <c r="AB4" s="3753" t="s">
        <v>1772</v>
      </c>
      <c r="AC4" s="3742" t="s">
        <v>1773</v>
      </c>
    </row>
    <row r="5" spans="1:29" ht="15">
      <c r="A5" s="358"/>
      <c r="B5" s="359"/>
      <c r="C5" s="3680" t="s">
        <v>1673</v>
      </c>
      <c r="D5" s="3676"/>
      <c r="E5" s="3738" t="s">
        <v>1674</v>
      </c>
      <c r="F5" s="3684"/>
      <c r="G5" s="3680" t="s">
        <v>1675</v>
      </c>
      <c r="H5" s="3676"/>
      <c r="I5" s="3680" t="s">
        <v>1676</v>
      </c>
      <c r="J5" s="3676"/>
      <c r="K5" s="559"/>
      <c r="L5" s="2713"/>
      <c r="M5" s="2714"/>
      <c r="N5" s="2714"/>
      <c r="O5" s="2714"/>
      <c r="P5" s="3747"/>
      <c r="Q5" s="3663"/>
      <c r="R5" s="3668"/>
      <c r="S5" s="3669"/>
      <c r="T5" s="3668"/>
      <c r="U5" s="3669"/>
      <c r="V5" s="3672"/>
      <c r="W5" s="3672"/>
      <c r="X5" s="1355"/>
      <c r="Y5" s="3668"/>
      <c r="Z5" s="3669"/>
      <c r="AA5" s="3654"/>
      <c r="AB5" s="3654"/>
      <c r="AC5" s="3743"/>
    </row>
    <row r="6" spans="1:29" ht="15.75" thickBot="1">
      <c r="A6" s="360"/>
      <c r="B6" s="361"/>
      <c r="C6" s="3673" t="s">
        <v>1677</v>
      </c>
      <c r="D6" s="3674"/>
      <c r="E6" s="3681" t="s">
        <v>1677</v>
      </c>
      <c r="F6" s="3682"/>
      <c r="G6" s="3673" t="s">
        <v>1677</v>
      </c>
      <c r="H6" s="3674"/>
      <c r="I6" s="3673" t="s">
        <v>1677</v>
      </c>
      <c r="J6" s="3674"/>
      <c r="K6" s="559" t="s">
        <v>1678</v>
      </c>
      <c r="L6" s="2713"/>
      <c r="M6" s="2714"/>
      <c r="N6" s="2714"/>
      <c r="O6" s="2714"/>
      <c r="P6" s="3748"/>
      <c r="Q6" s="3665"/>
      <c r="R6" s="3668"/>
      <c r="S6" s="3669"/>
      <c r="T6" s="3670"/>
      <c r="U6" s="3671"/>
      <c r="V6" s="3672"/>
      <c r="W6" s="3672"/>
      <c r="X6" s="1355"/>
      <c r="Y6" s="3670"/>
      <c r="Z6" s="3671"/>
      <c r="AA6" s="3655"/>
      <c r="AB6" s="3655"/>
      <c r="AC6" s="3744"/>
    </row>
    <row r="7" spans="1:29" s="108" customFormat="1" ht="15.75" thickBot="1">
      <c r="A7" s="362" t="s">
        <v>1679</v>
      </c>
      <c r="B7" s="363"/>
      <c r="C7" s="364">
        <f>'数据-取费表'!B2</f>
        <v>45012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2"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2"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7"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7"/>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7"/>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37"/>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37"/>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37"/>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5" t="s">
        <v>1691</v>
      </c>
      <c r="Q15" s="1352" t="str">
        <f t="shared" si="6"/>
        <v>办公集聚程度</v>
      </c>
      <c r="R15" s="705" t="s">
        <v>14</v>
      </c>
      <c r="S15" s="706">
        <f t="shared" si="0"/>
        <v>100</v>
      </c>
      <c r="T15" s="705" t="s">
        <v>14</v>
      </c>
      <c r="U15" s="706">
        <f t="shared" si="1"/>
        <v>100</v>
      </c>
      <c r="V15" s="705" t="s">
        <v>14</v>
      </c>
      <c r="W15" s="706">
        <f t="shared" si="2"/>
        <v>100</v>
      </c>
      <c r="X15" s="1355"/>
      <c r="Y15" s="364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36"/>
      <c r="Q16" s="1352"/>
      <c r="R16" s="705"/>
      <c r="S16" s="706"/>
      <c r="T16" s="705"/>
      <c r="U16" s="706"/>
      <c r="V16" s="705"/>
      <c r="W16" s="706"/>
      <c r="X16" s="1355"/>
      <c r="Y16" s="3650"/>
      <c r="Z16" s="1356"/>
      <c r="AA16" s="1353">
        <v>1</v>
      </c>
      <c r="AB16" s="1353">
        <v>1</v>
      </c>
      <c r="AC16" s="1962">
        <v>1</v>
      </c>
    </row>
    <row r="17" spans="1:29" ht="185.25">
      <c r="A17" s="379"/>
      <c r="B17" s="579" t="s">
        <v>1259</v>
      </c>
      <c r="C17" s="1963"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6"/>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36"/>
      <c r="Q18" s="1352"/>
      <c r="R18" s="705"/>
      <c r="S18" s="706"/>
      <c r="T18" s="705"/>
      <c r="U18" s="706"/>
      <c r="V18" s="705"/>
      <c r="W18" s="706"/>
      <c r="X18" s="1355"/>
      <c r="Y18" s="3650"/>
      <c r="Z18" s="1356"/>
      <c r="AA18" s="1353">
        <v>1</v>
      </c>
      <c r="AB18" s="1353">
        <v>1</v>
      </c>
      <c r="AC18" s="1962">
        <v>1</v>
      </c>
    </row>
    <row r="19" spans="1:29" ht="299.25">
      <c r="A19" s="379"/>
      <c r="B19" s="579" t="s">
        <v>1812</v>
      </c>
      <c r="C19" s="1963"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6"/>
      <c r="Q19" s="1352" t="str">
        <f>B19</f>
        <v>公共配套设施</v>
      </c>
      <c r="R19" s="705" t="s">
        <v>14</v>
      </c>
      <c r="S19" s="706">
        <f>F19</f>
        <v>100</v>
      </c>
      <c r="T19" s="705" t="s">
        <v>14</v>
      </c>
      <c r="U19" s="706">
        <f>H19</f>
        <v>100</v>
      </c>
      <c r="V19" s="705" t="s">
        <v>14</v>
      </c>
      <c r="W19" s="706">
        <f>J19</f>
        <v>100</v>
      </c>
      <c r="X19" s="1355"/>
      <c r="Y19" s="365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36"/>
      <c r="Q20" s="1352"/>
      <c r="R20" s="705"/>
      <c r="S20" s="706"/>
      <c r="T20" s="705"/>
      <c r="U20" s="706"/>
      <c r="V20" s="705"/>
      <c r="W20" s="706"/>
      <c r="X20" s="1355"/>
      <c r="Y20" s="365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6"/>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36"/>
      <c r="Q22" s="1352"/>
      <c r="R22" s="705"/>
      <c r="S22" s="706"/>
      <c r="T22" s="705"/>
      <c r="U22" s="706"/>
      <c r="V22" s="705"/>
      <c r="W22" s="706"/>
      <c r="X22" s="1355"/>
      <c r="Y22" s="3650"/>
      <c r="Z22" s="1356"/>
      <c r="AA22" s="1353">
        <v>1</v>
      </c>
      <c r="AB22" s="1353">
        <v>1</v>
      </c>
      <c r="AC22" s="1962">
        <v>1</v>
      </c>
    </row>
    <row r="23" spans="1:29" ht="99.75">
      <c r="A23" s="379"/>
      <c r="B23" s="579" t="s">
        <v>1814</v>
      </c>
      <c r="C23" s="1963" t="str">
        <f>估价对象房地状况!C9</f>
        <v xml:space="preserve">自然环境：紫竹院公园、北京动物园
人文环境：国家图书馆。
综上，环境状况好。
</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6"/>
      <c r="Q23" s="1352" t="str">
        <f>B23</f>
        <v>环境质量</v>
      </c>
      <c r="R23" s="705" t="s">
        <v>14</v>
      </c>
      <c r="S23" s="706">
        <f>F23</f>
        <v>100</v>
      </c>
      <c r="T23" s="705" t="s">
        <v>14</v>
      </c>
      <c r="U23" s="706">
        <f>H23</f>
        <v>100</v>
      </c>
      <c r="V23" s="705" t="s">
        <v>14</v>
      </c>
      <c r="W23" s="706">
        <f>J23</f>
        <v>100</v>
      </c>
      <c r="X23" s="1355"/>
      <c r="Y23" s="365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36"/>
      <c r="Q24" s="1352"/>
      <c r="R24" s="705"/>
      <c r="S24" s="706"/>
      <c r="T24" s="705"/>
      <c r="U24" s="706"/>
      <c r="V24" s="705"/>
      <c r="W24" s="706"/>
      <c r="X24" s="1355"/>
      <c r="Y24" s="365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6"/>
      <c r="Q25" s="1352" t="str">
        <f>B25</f>
        <v>毗邻道路的类型与等级</v>
      </c>
      <c r="R25" s="705" t="s">
        <v>14</v>
      </c>
      <c r="S25" s="706">
        <f>F25</f>
        <v>100</v>
      </c>
      <c r="T25" s="705" t="s">
        <v>14</v>
      </c>
      <c r="U25" s="706">
        <f>H25</f>
        <v>100</v>
      </c>
      <c r="V25" s="705" t="s">
        <v>14</v>
      </c>
      <c r="W25" s="706">
        <f>J25</f>
        <v>100</v>
      </c>
      <c r="X25" s="1355"/>
      <c r="Y25" s="365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36"/>
      <c r="Q26" s="1352"/>
      <c r="R26" s="705"/>
      <c r="S26" s="706"/>
      <c r="T26" s="705"/>
      <c r="U26" s="706"/>
      <c r="V26" s="705"/>
      <c r="W26" s="706"/>
      <c r="X26" s="1355"/>
      <c r="Y26" s="365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6"/>
      <c r="Q27" s="1352" t="str">
        <f t="shared" ref="Q27:Q47" si="11">B27</f>
        <v>楼层</v>
      </c>
      <c r="R27" s="705" t="s">
        <v>14</v>
      </c>
      <c r="S27" s="706">
        <f>F27</f>
        <v>100</v>
      </c>
      <c r="T27" s="705" t="s">
        <v>14</v>
      </c>
      <c r="U27" s="706">
        <f>H27</f>
        <v>100</v>
      </c>
      <c r="V27" s="705" t="s">
        <v>14</v>
      </c>
      <c r="W27" s="706">
        <f>J27</f>
        <v>100</v>
      </c>
      <c r="X27" s="1355"/>
      <c r="Y27" s="365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6"/>
      <c r="Q28" s="1343" t="str">
        <f t="shared" si="11"/>
        <v>朝向</v>
      </c>
      <c r="R28" s="701" t="s">
        <v>14</v>
      </c>
      <c r="S28" s="702">
        <f>F28</f>
        <v>100</v>
      </c>
      <c r="T28" s="701" t="s">
        <v>14</v>
      </c>
      <c r="U28" s="702">
        <f>H28</f>
        <v>100</v>
      </c>
      <c r="V28" s="701" t="s">
        <v>14</v>
      </c>
      <c r="W28" s="702">
        <f>J28</f>
        <v>100</v>
      </c>
      <c r="X28" s="703"/>
      <c r="Y28" s="365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6"/>
      <c r="Q29" s="1352">
        <f t="shared" si="11"/>
        <v>111</v>
      </c>
      <c r="R29" s="705" t="s">
        <v>14</v>
      </c>
      <c r="S29" s="706">
        <f t="shared" ref="S29:S47" si="12">F29</f>
        <v>100</v>
      </c>
      <c r="T29" s="705" t="s">
        <v>14</v>
      </c>
      <c r="U29" s="706">
        <f t="shared" ref="U29:U47" si="13">H29</f>
        <v>100</v>
      </c>
      <c r="V29" s="705" t="s">
        <v>14</v>
      </c>
      <c r="W29" s="706">
        <f t="shared" ref="W29:W47" si="14">J29</f>
        <v>100</v>
      </c>
      <c r="X29" s="1355"/>
      <c r="Y29" s="365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6"/>
      <c r="Q30" s="1352">
        <f t="shared" si="11"/>
        <v>111</v>
      </c>
      <c r="R30" s="705" t="s">
        <v>14</v>
      </c>
      <c r="S30" s="706">
        <f t="shared" si="12"/>
        <v>100</v>
      </c>
      <c r="T30" s="705" t="s">
        <v>14</v>
      </c>
      <c r="U30" s="706">
        <f t="shared" si="13"/>
        <v>100</v>
      </c>
      <c r="V30" s="705" t="s">
        <v>14</v>
      </c>
      <c r="W30" s="706">
        <f t="shared" si="14"/>
        <v>100</v>
      </c>
      <c r="X30" s="1355"/>
      <c r="Y30" s="365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6"/>
      <c r="Q31" s="1352">
        <f t="shared" si="11"/>
        <v>111</v>
      </c>
      <c r="R31" s="705" t="s">
        <v>14</v>
      </c>
      <c r="S31" s="706">
        <f t="shared" si="12"/>
        <v>100</v>
      </c>
      <c r="T31" s="705" t="s">
        <v>14</v>
      </c>
      <c r="U31" s="706">
        <f t="shared" si="13"/>
        <v>100</v>
      </c>
      <c r="V31" s="705" t="s">
        <v>14</v>
      </c>
      <c r="W31" s="706">
        <f t="shared" si="14"/>
        <v>100</v>
      </c>
      <c r="X31" s="1355"/>
      <c r="Y31" s="365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6"/>
      <c r="Q32" s="1352">
        <f t="shared" si="11"/>
        <v>111</v>
      </c>
      <c r="R32" s="705" t="s">
        <v>14</v>
      </c>
      <c r="S32" s="706">
        <f t="shared" si="12"/>
        <v>100</v>
      </c>
      <c r="T32" s="705" t="s">
        <v>14</v>
      </c>
      <c r="U32" s="706">
        <f t="shared" si="13"/>
        <v>100</v>
      </c>
      <c r="V32" s="705" t="s">
        <v>14</v>
      </c>
      <c r="W32" s="706">
        <f t="shared" si="14"/>
        <v>100</v>
      </c>
      <c r="X32" s="1355"/>
      <c r="Y32" s="365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31" t="s">
        <v>1696</v>
      </c>
      <c r="Q33" s="1352" t="str">
        <f t="shared" si="11"/>
        <v>建筑类型</v>
      </c>
      <c r="R33" s="705" t="s">
        <v>14</v>
      </c>
      <c r="S33" s="706">
        <f t="shared" si="12"/>
        <v>100</v>
      </c>
      <c r="T33" s="705" t="s">
        <v>14</v>
      </c>
      <c r="U33" s="706">
        <f t="shared" si="13"/>
        <v>100</v>
      </c>
      <c r="V33" s="705" t="s">
        <v>14</v>
      </c>
      <c r="W33" s="706">
        <f t="shared" si="14"/>
        <v>100</v>
      </c>
      <c r="X33" s="1355"/>
      <c r="Y33" s="365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2"/>
      <c r="Q34" s="707" t="str">
        <f t="shared" si="11"/>
        <v>项目建筑规模</v>
      </c>
      <c r="R34" s="708" t="s">
        <v>14</v>
      </c>
      <c r="S34" s="709" t="e">
        <f t="shared" si="12"/>
        <v>#N/A</v>
      </c>
      <c r="T34" s="708" t="s">
        <v>14</v>
      </c>
      <c r="U34" s="709" t="e">
        <f t="shared" si="13"/>
        <v>#N/A</v>
      </c>
      <c r="V34" s="708" t="s">
        <v>14</v>
      </c>
      <c r="W34" s="709" t="e">
        <f t="shared" si="14"/>
        <v>#N/A</v>
      </c>
      <c r="X34" s="710"/>
      <c r="Y34" s="365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2"/>
      <c r="Q35" s="1352" t="str">
        <f t="shared" si="11"/>
        <v>建筑结构</v>
      </c>
      <c r="R35" s="705" t="s">
        <v>14</v>
      </c>
      <c r="S35" s="706">
        <f t="shared" si="12"/>
        <v>100</v>
      </c>
      <c r="T35" s="705" t="s">
        <v>14</v>
      </c>
      <c r="U35" s="706">
        <f t="shared" si="13"/>
        <v>100</v>
      </c>
      <c r="V35" s="705" t="s">
        <v>14</v>
      </c>
      <c r="W35" s="706">
        <f t="shared" si="14"/>
        <v>100</v>
      </c>
      <c r="X35" s="1355"/>
      <c r="Y35" s="365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2"/>
      <c r="Q36" s="1352" t="str">
        <f t="shared" si="11"/>
        <v>公共部分装修</v>
      </c>
      <c r="R36" s="705" t="s">
        <v>14</v>
      </c>
      <c r="S36" s="706">
        <f t="shared" si="12"/>
        <v>100</v>
      </c>
      <c r="T36" s="705" t="s">
        <v>14</v>
      </c>
      <c r="U36" s="706">
        <f t="shared" si="13"/>
        <v>100</v>
      </c>
      <c r="V36" s="705" t="s">
        <v>14</v>
      </c>
      <c r="W36" s="706">
        <f t="shared" si="14"/>
        <v>100</v>
      </c>
      <c r="X36" s="1355"/>
      <c r="Y36" s="365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2"/>
      <c r="Q37" s="1352" t="str">
        <f t="shared" si="11"/>
        <v>成新度</v>
      </c>
      <c r="R37" s="705" t="s">
        <v>14</v>
      </c>
      <c r="S37" s="706" t="e">
        <f t="shared" si="12"/>
        <v>#N/A</v>
      </c>
      <c r="T37" s="705" t="s">
        <v>14</v>
      </c>
      <c r="U37" s="706" t="e">
        <f t="shared" si="13"/>
        <v>#N/A</v>
      </c>
      <c r="V37" s="705" t="s">
        <v>14</v>
      </c>
      <c r="W37" s="706" t="e">
        <f t="shared" si="14"/>
        <v>#N/A</v>
      </c>
      <c r="X37" s="1355"/>
      <c r="Y37" s="365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2"/>
      <c r="Q38" s="1343" t="str">
        <f t="shared" si="11"/>
        <v>写字楼等级</v>
      </c>
      <c r="R38" s="701" t="s">
        <v>14</v>
      </c>
      <c r="S38" s="702">
        <f t="shared" si="12"/>
        <v>100</v>
      </c>
      <c r="T38" s="701" t="s">
        <v>14</v>
      </c>
      <c r="U38" s="702">
        <f t="shared" si="13"/>
        <v>100</v>
      </c>
      <c r="V38" s="701" t="s">
        <v>14</v>
      </c>
      <c r="W38" s="702">
        <f t="shared" si="14"/>
        <v>100</v>
      </c>
      <c r="X38" s="703"/>
      <c r="Y38" s="365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2" t="s">
        <v>1696</v>
      </c>
      <c r="Q39" s="1352" t="str">
        <f t="shared" si="11"/>
        <v>物业管理</v>
      </c>
      <c r="R39" s="705" t="s">
        <v>14</v>
      </c>
      <c r="S39" s="706">
        <f t="shared" si="12"/>
        <v>100</v>
      </c>
      <c r="T39" s="705" t="s">
        <v>14</v>
      </c>
      <c r="U39" s="706">
        <f t="shared" si="13"/>
        <v>100</v>
      </c>
      <c r="V39" s="705" t="s">
        <v>14</v>
      </c>
      <c r="W39" s="706">
        <f t="shared" si="14"/>
        <v>100</v>
      </c>
      <c r="X39" s="1355"/>
      <c r="Y39" s="365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2"/>
      <c r="Q40" s="1352" t="str">
        <f t="shared" si="11"/>
        <v>市政基础设施</v>
      </c>
      <c r="R40" s="705" t="s">
        <v>14</v>
      </c>
      <c r="S40" s="706">
        <f t="shared" si="12"/>
        <v>100</v>
      </c>
      <c r="T40" s="705" t="s">
        <v>14</v>
      </c>
      <c r="U40" s="706">
        <f t="shared" si="13"/>
        <v>100</v>
      </c>
      <c r="V40" s="705" t="s">
        <v>14</v>
      </c>
      <c r="W40" s="706">
        <f t="shared" si="14"/>
        <v>100</v>
      </c>
      <c r="X40" s="1355"/>
      <c r="Y40" s="365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2"/>
      <c r="Q41" s="1352" t="str">
        <f t="shared" si="11"/>
        <v>层高</v>
      </c>
      <c r="R41" s="705" t="s">
        <v>14</v>
      </c>
      <c r="S41" s="706">
        <f t="shared" si="12"/>
        <v>100</v>
      </c>
      <c r="T41" s="705" t="s">
        <v>14</v>
      </c>
      <c r="U41" s="706">
        <f t="shared" si="13"/>
        <v>100</v>
      </c>
      <c r="V41" s="705" t="s">
        <v>14</v>
      </c>
      <c r="W41" s="706">
        <f t="shared" si="14"/>
        <v>100</v>
      </c>
      <c r="X41" s="1355"/>
      <c r="Y41" s="365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2"/>
      <c r="Q42" s="707" t="str">
        <f t="shared" si="11"/>
        <v>单套建筑面积</v>
      </c>
      <c r="R42" s="708" t="s">
        <v>14</v>
      </c>
      <c r="S42" s="709">
        <f t="shared" si="12"/>
        <v>100</v>
      </c>
      <c r="T42" s="708" t="s">
        <v>14</v>
      </c>
      <c r="U42" s="709">
        <f t="shared" si="13"/>
        <v>100</v>
      </c>
      <c r="V42" s="708" t="s">
        <v>14</v>
      </c>
      <c r="W42" s="709">
        <f t="shared" si="14"/>
        <v>100</v>
      </c>
      <c r="X42" s="710"/>
      <c r="Y42" s="365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2"/>
      <c r="Q43" s="1352" t="str">
        <f t="shared" si="11"/>
        <v>内部装修</v>
      </c>
      <c r="R43" s="705" t="s">
        <v>14</v>
      </c>
      <c r="S43" s="706">
        <f t="shared" si="12"/>
        <v>100</v>
      </c>
      <c r="T43" s="705" t="s">
        <v>14</v>
      </c>
      <c r="U43" s="706">
        <f t="shared" si="13"/>
        <v>100</v>
      </c>
      <c r="V43" s="705" t="s">
        <v>14</v>
      </c>
      <c r="W43" s="706">
        <f t="shared" si="14"/>
        <v>100</v>
      </c>
      <c r="X43" s="1355"/>
      <c r="Y43" s="365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32"/>
      <c r="Q44" s="1352" t="str">
        <f t="shared" si="11"/>
        <v>内部装修维护情况</v>
      </c>
      <c r="R44" s="705" t="s">
        <v>14</v>
      </c>
      <c r="S44" s="706">
        <f t="shared" si="12"/>
        <v>100</v>
      </c>
      <c r="T44" s="705" t="s">
        <v>14</v>
      </c>
      <c r="U44" s="706">
        <f t="shared" si="13"/>
        <v>100</v>
      </c>
      <c r="V44" s="705" t="s">
        <v>14</v>
      </c>
      <c r="W44" s="706">
        <f t="shared" si="14"/>
        <v>100</v>
      </c>
      <c r="X44" s="1355"/>
      <c r="Y44" s="365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2"/>
      <c r="Q45" s="1343">
        <f t="shared" si="11"/>
        <v>111</v>
      </c>
      <c r="R45" s="701" t="s">
        <v>14</v>
      </c>
      <c r="S45" s="702">
        <f t="shared" si="12"/>
        <v>100</v>
      </c>
      <c r="T45" s="701" t="s">
        <v>14</v>
      </c>
      <c r="U45" s="702">
        <f t="shared" si="13"/>
        <v>100</v>
      </c>
      <c r="V45" s="701" t="s">
        <v>14</v>
      </c>
      <c r="W45" s="702">
        <f t="shared" si="14"/>
        <v>100</v>
      </c>
      <c r="X45" s="703"/>
      <c r="Y45" s="365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2"/>
      <c r="Q46" s="1352">
        <f t="shared" si="11"/>
        <v>111</v>
      </c>
      <c r="R46" s="705" t="s">
        <v>14</v>
      </c>
      <c r="S46" s="706">
        <f t="shared" si="12"/>
        <v>100</v>
      </c>
      <c r="T46" s="705" t="s">
        <v>14</v>
      </c>
      <c r="U46" s="706">
        <f t="shared" si="13"/>
        <v>100</v>
      </c>
      <c r="V46" s="705" t="s">
        <v>14</v>
      </c>
      <c r="W46" s="706">
        <f t="shared" si="14"/>
        <v>100</v>
      </c>
      <c r="X46" s="1355"/>
      <c r="Y46" s="365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3"/>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37" t="str">
        <f>A48</f>
        <v>成交单价（元/平方米）</v>
      </c>
      <c r="Q48" s="3644"/>
      <c r="R48" s="3645">
        <f>E48</f>
        <v>0</v>
      </c>
      <c r="S48" s="3645"/>
      <c r="T48" s="3645">
        <f>G48</f>
        <v>0</v>
      </c>
      <c r="U48" s="3645"/>
      <c r="V48" s="3645">
        <f>I48</f>
        <v>0</v>
      </c>
      <c r="W48" s="364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37" t="str">
        <f>A49</f>
        <v>比较价值（元/平方米）</v>
      </c>
      <c r="Q49" s="3644"/>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913"/>
      <c r="M4" s="914"/>
      <c r="N4" s="914"/>
      <c r="O4" s="914"/>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76"/>
      <c r="E5" s="3738" t="s">
        <v>1674</v>
      </c>
      <c r="F5" s="3684"/>
      <c r="G5" s="3680" t="s">
        <v>1675</v>
      </c>
      <c r="H5" s="3676"/>
      <c r="I5" s="3680" t="s">
        <v>1676</v>
      </c>
      <c r="J5" s="3676"/>
      <c r="K5" s="559"/>
      <c r="L5" s="913"/>
      <c r="M5" s="914"/>
      <c r="N5" s="914"/>
      <c r="O5" s="914"/>
      <c r="P5" s="3662"/>
      <c r="Q5" s="3663"/>
      <c r="R5" s="3668"/>
      <c r="S5" s="3669"/>
      <c r="T5" s="3668"/>
      <c r="U5" s="3669"/>
      <c r="V5" s="3672"/>
      <c r="W5" s="3672"/>
      <c r="X5" s="1355"/>
      <c r="Y5" s="3668"/>
      <c r="Z5" s="3669"/>
      <c r="AA5" s="3654"/>
      <c r="AB5" s="3654"/>
      <c r="AC5" s="3654"/>
    </row>
    <row r="6" spans="1:29" ht="15.75" thickBot="1">
      <c r="A6" s="360"/>
      <c r="B6" s="361"/>
      <c r="C6" s="3673" t="s">
        <v>1677</v>
      </c>
      <c r="D6" s="3674"/>
      <c r="E6" s="3681" t="s">
        <v>1677</v>
      </c>
      <c r="F6" s="3682"/>
      <c r="G6" s="3673" t="s">
        <v>1677</v>
      </c>
      <c r="H6" s="3674"/>
      <c r="I6" s="3673" t="s">
        <v>1677</v>
      </c>
      <c r="J6" s="3674"/>
      <c r="K6" s="559" t="s">
        <v>1678</v>
      </c>
      <c r="L6" s="913"/>
      <c r="M6" s="914"/>
      <c r="N6" s="914"/>
      <c r="O6" s="914"/>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45012</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9" t="s">
        <v>1691</v>
      </c>
      <c r="Q15" s="1352" t="str">
        <f t="shared" si="6"/>
        <v>产业集聚程度</v>
      </c>
      <c r="R15" s="705" t="s">
        <v>14</v>
      </c>
      <c r="S15" s="706">
        <f t="shared" si="0"/>
        <v>100</v>
      </c>
      <c r="T15" s="705" t="s">
        <v>14</v>
      </c>
      <c r="U15" s="706">
        <f t="shared" si="1"/>
        <v>100</v>
      </c>
      <c r="V15" s="705" t="s">
        <v>14</v>
      </c>
      <c r="W15" s="706">
        <f t="shared" si="2"/>
        <v>100</v>
      </c>
      <c r="X15" s="1355"/>
      <c r="Y15" s="364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0"/>
      <c r="Q16" s="1352"/>
      <c r="R16" s="705"/>
      <c r="S16" s="706"/>
      <c r="T16" s="705"/>
      <c r="U16" s="706"/>
      <c r="V16" s="705"/>
      <c r="W16" s="706"/>
      <c r="X16" s="1355"/>
      <c r="Y16" s="365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0"/>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0"/>
      <c r="Q18" s="1352"/>
      <c r="R18" s="705"/>
      <c r="S18" s="706"/>
      <c r="T18" s="705"/>
      <c r="U18" s="706"/>
      <c r="V18" s="705"/>
      <c r="W18" s="706"/>
      <c r="X18" s="1355"/>
      <c r="Y18" s="365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0"/>
      <c r="Q19" s="1352" t="str">
        <f>B19</f>
        <v>公共配套设施</v>
      </c>
      <c r="R19" s="705" t="s">
        <v>14</v>
      </c>
      <c r="S19" s="706">
        <f>F19</f>
        <v>100</v>
      </c>
      <c r="T19" s="705" t="s">
        <v>14</v>
      </c>
      <c r="U19" s="706">
        <f>H19</f>
        <v>100</v>
      </c>
      <c r="V19" s="705" t="s">
        <v>14</v>
      </c>
      <c r="W19" s="706">
        <f>J19</f>
        <v>100</v>
      </c>
      <c r="X19" s="1355"/>
      <c r="Y19" s="365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0"/>
      <c r="Q20" s="1352"/>
      <c r="R20" s="705"/>
      <c r="S20" s="706"/>
      <c r="T20" s="705"/>
      <c r="U20" s="706"/>
      <c r="V20" s="705"/>
      <c r="W20" s="706"/>
      <c r="X20" s="1355"/>
      <c r="Y20" s="365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0"/>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0"/>
      <c r="Q22" s="1352"/>
      <c r="R22" s="705"/>
      <c r="S22" s="706"/>
      <c r="T22" s="705"/>
      <c r="U22" s="706"/>
      <c r="V22" s="705"/>
      <c r="W22" s="706"/>
      <c r="X22" s="1355"/>
      <c r="Y22" s="365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0"/>
      <c r="Q23" s="1352" t="str">
        <f>B23</f>
        <v>环境质量</v>
      </c>
      <c r="R23" s="705" t="s">
        <v>14</v>
      </c>
      <c r="S23" s="706">
        <f>F23</f>
        <v>100</v>
      </c>
      <c r="T23" s="705" t="s">
        <v>14</v>
      </c>
      <c r="U23" s="706">
        <f>H23</f>
        <v>100</v>
      </c>
      <c r="V23" s="705" t="s">
        <v>14</v>
      </c>
      <c r="W23" s="706">
        <f>J23</f>
        <v>100</v>
      </c>
      <c r="X23" s="1355"/>
      <c r="Y23" s="365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0"/>
      <c r="Q24" s="1352"/>
      <c r="R24" s="705"/>
      <c r="S24" s="706"/>
      <c r="T24" s="705"/>
      <c r="U24" s="706"/>
      <c r="V24" s="705"/>
      <c r="W24" s="706"/>
      <c r="X24" s="1355"/>
      <c r="Y24" s="365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0"/>
      <c r="Q25" s="1352">
        <f>B25</f>
        <v>111</v>
      </c>
      <c r="R25" s="705" t="s">
        <v>14</v>
      </c>
      <c r="S25" s="706">
        <f>F25</f>
        <v>100</v>
      </c>
      <c r="T25" s="705" t="s">
        <v>14</v>
      </c>
      <c r="U25" s="706">
        <f>H25</f>
        <v>100</v>
      </c>
      <c r="V25" s="705" t="s">
        <v>14</v>
      </c>
      <c r="W25" s="706">
        <f>J25</f>
        <v>100</v>
      </c>
      <c r="X25" s="1355"/>
      <c r="Y25" s="365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0"/>
      <c r="Q26" s="1352">
        <f t="shared" ref="Q26:Q40" si="11">B26</f>
        <v>111</v>
      </c>
      <c r="R26" s="705" t="s">
        <v>14</v>
      </c>
      <c r="S26" s="706">
        <f>F26</f>
        <v>100</v>
      </c>
      <c r="T26" s="705" t="s">
        <v>14</v>
      </c>
      <c r="U26" s="706">
        <f>H26</f>
        <v>100</v>
      </c>
      <c r="V26" s="705" t="s">
        <v>14</v>
      </c>
      <c r="W26" s="706">
        <f>J26</f>
        <v>100</v>
      </c>
      <c r="X26" s="1355"/>
      <c r="Y26" s="365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0"/>
      <c r="Q27" s="1343">
        <f t="shared" si="11"/>
        <v>111</v>
      </c>
      <c r="R27" s="701" t="s">
        <v>14</v>
      </c>
      <c r="S27" s="702">
        <f>F27</f>
        <v>100</v>
      </c>
      <c r="T27" s="701" t="s">
        <v>14</v>
      </c>
      <c r="U27" s="702">
        <f>H27</f>
        <v>100</v>
      </c>
      <c r="V27" s="701" t="s">
        <v>14</v>
      </c>
      <c r="W27" s="702">
        <f>J27</f>
        <v>100</v>
      </c>
      <c r="X27" s="703"/>
      <c r="Y27" s="365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0"/>
      <c r="Q28" s="1352">
        <f t="shared" si="11"/>
        <v>111</v>
      </c>
      <c r="R28" s="705" t="s">
        <v>14</v>
      </c>
      <c r="S28" s="706">
        <f t="shared" ref="S28:S40" si="12">F28</f>
        <v>100</v>
      </c>
      <c r="T28" s="705" t="s">
        <v>14</v>
      </c>
      <c r="U28" s="706">
        <f t="shared" ref="U28:U40" si="13">H28</f>
        <v>100</v>
      </c>
      <c r="V28" s="705" t="s">
        <v>14</v>
      </c>
      <c r="W28" s="706">
        <f t="shared" ref="W28:W40" si="14">J28</f>
        <v>100</v>
      </c>
      <c r="X28" s="1355"/>
      <c r="Y28" s="365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51" t="s">
        <v>1696</v>
      </c>
      <c r="Q29" s="1352" t="str">
        <f t="shared" si="11"/>
        <v>建筑类型</v>
      </c>
      <c r="R29" s="705" t="s">
        <v>14</v>
      </c>
      <c r="S29" s="706">
        <f t="shared" si="12"/>
        <v>100</v>
      </c>
      <c r="T29" s="705" t="s">
        <v>14</v>
      </c>
      <c r="U29" s="706">
        <f t="shared" si="13"/>
        <v>100</v>
      </c>
      <c r="V29" s="705" t="s">
        <v>14</v>
      </c>
      <c r="W29" s="706">
        <f t="shared" si="14"/>
        <v>100</v>
      </c>
      <c r="X29" s="1355"/>
      <c r="Y29" s="365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2"/>
      <c r="Q30" s="707" t="str">
        <f t="shared" si="11"/>
        <v>项目建筑规模</v>
      </c>
      <c r="R30" s="708" t="s">
        <v>14</v>
      </c>
      <c r="S30" s="709" t="e">
        <f t="shared" si="12"/>
        <v>#N/A</v>
      </c>
      <c r="T30" s="708" t="s">
        <v>14</v>
      </c>
      <c r="U30" s="709" t="e">
        <f t="shared" si="13"/>
        <v>#N/A</v>
      </c>
      <c r="V30" s="708" t="s">
        <v>14</v>
      </c>
      <c r="W30" s="709" t="e">
        <f t="shared" si="14"/>
        <v>#N/A</v>
      </c>
      <c r="X30" s="710"/>
      <c r="Y30" s="365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2"/>
      <c r="Q31" s="1352" t="str">
        <f t="shared" si="11"/>
        <v>建筑结构</v>
      </c>
      <c r="R31" s="705" t="s">
        <v>14</v>
      </c>
      <c r="S31" s="706">
        <f t="shared" si="12"/>
        <v>100</v>
      </c>
      <c r="T31" s="705" t="s">
        <v>14</v>
      </c>
      <c r="U31" s="706">
        <f t="shared" si="13"/>
        <v>100</v>
      </c>
      <c r="V31" s="705" t="s">
        <v>14</v>
      </c>
      <c r="W31" s="706">
        <f t="shared" si="14"/>
        <v>100</v>
      </c>
      <c r="X31" s="1355"/>
      <c r="Y31" s="365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2"/>
      <c r="Q32" s="1352" t="str">
        <f t="shared" si="11"/>
        <v>公共部分装修</v>
      </c>
      <c r="R32" s="705" t="s">
        <v>14</v>
      </c>
      <c r="S32" s="706">
        <f t="shared" si="12"/>
        <v>100</v>
      </c>
      <c r="T32" s="705" t="s">
        <v>14</v>
      </c>
      <c r="U32" s="706">
        <f t="shared" si="13"/>
        <v>100</v>
      </c>
      <c r="V32" s="705" t="s">
        <v>14</v>
      </c>
      <c r="W32" s="706">
        <f t="shared" si="14"/>
        <v>100</v>
      </c>
      <c r="X32" s="1355"/>
      <c r="Y32" s="365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2"/>
      <c r="Q33" s="1352" t="str">
        <f t="shared" si="11"/>
        <v>成新度</v>
      </c>
      <c r="R33" s="705" t="s">
        <v>14</v>
      </c>
      <c r="S33" s="706" t="e">
        <f t="shared" si="12"/>
        <v>#N/A</v>
      </c>
      <c r="T33" s="705" t="s">
        <v>14</v>
      </c>
      <c r="U33" s="706" t="e">
        <f t="shared" si="13"/>
        <v>#N/A</v>
      </c>
      <c r="V33" s="705" t="s">
        <v>14</v>
      </c>
      <c r="W33" s="706" t="e">
        <f t="shared" si="14"/>
        <v>#N/A</v>
      </c>
      <c r="X33" s="1355"/>
      <c r="Y33" s="365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2"/>
      <c r="Q34" s="1343" t="str">
        <f t="shared" si="11"/>
        <v>物业管理</v>
      </c>
      <c r="R34" s="701" t="s">
        <v>14</v>
      </c>
      <c r="S34" s="702">
        <f t="shared" si="12"/>
        <v>100</v>
      </c>
      <c r="T34" s="701" t="s">
        <v>14</v>
      </c>
      <c r="U34" s="702">
        <f t="shared" si="13"/>
        <v>100</v>
      </c>
      <c r="V34" s="701" t="s">
        <v>14</v>
      </c>
      <c r="W34" s="702">
        <f t="shared" si="14"/>
        <v>100</v>
      </c>
      <c r="X34" s="703"/>
      <c r="Y34" s="365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2" t="s">
        <v>1696</v>
      </c>
      <c r="Q35" s="1352" t="str">
        <f t="shared" si="11"/>
        <v>市政基础设施</v>
      </c>
      <c r="R35" s="705" t="s">
        <v>14</v>
      </c>
      <c r="S35" s="706">
        <f t="shared" si="12"/>
        <v>100</v>
      </c>
      <c r="T35" s="705" t="s">
        <v>14</v>
      </c>
      <c r="U35" s="706">
        <f t="shared" si="13"/>
        <v>100</v>
      </c>
      <c r="V35" s="705" t="s">
        <v>14</v>
      </c>
      <c r="W35" s="706">
        <f t="shared" si="14"/>
        <v>100</v>
      </c>
      <c r="X35" s="1355"/>
      <c r="Y35" s="365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2"/>
      <c r="Q36" s="1352" t="str">
        <f t="shared" si="11"/>
        <v>内部装修</v>
      </c>
      <c r="R36" s="705" t="s">
        <v>14</v>
      </c>
      <c r="S36" s="706">
        <f t="shared" si="12"/>
        <v>100</v>
      </c>
      <c r="T36" s="705" t="s">
        <v>14</v>
      </c>
      <c r="U36" s="706">
        <f t="shared" si="13"/>
        <v>100</v>
      </c>
      <c r="V36" s="705" t="s">
        <v>14</v>
      </c>
      <c r="W36" s="706">
        <f t="shared" si="14"/>
        <v>100</v>
      </c>
      <c r="X36" s="1355"/>
      <c r="Y36" s="365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2"/>
      <c r="Q37" s="1352" t="str">
        <f t="shared" si="11"/>
        <v>内部装修状况</v>
      </c>
      <c r="R37" s="705" t="s">
        <v>14</v>
      </c>
      <c r="S37" s="706">
        <f t="shared" si="12"/>
        <v>100</v>
      </c>
      <c r="T37" s="705" t="s">
        <v>14</v>
      </c>
      <c r="U37" s="706">
        <f t="shared" si="13"/>
        <v>100</v>
      </c>
      <c r="V37" s="705" t="s">
        <v>14</v>
      </c>
      <c r="W37" s="706">
        <f t="shared" si="14"/>
        <v>100</v>
      </c>
      <c r="X37" s="1355"/>
      <c r="Y37" s="36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2"/>
      <c r="Q38" s="707">
        <f t="shared" si="11"/>
        <v>111</v>
      </c>
      <c r="R38" s="708" t="s">
        <v>14</v>
      </c>
      <c r="S38" s="709">
        <f t="shared" si="12"/>
        <v>100</v>
      </c>
      <c r="T38" s="708" t="s">
        <v>14</v>
      </c>
      <c r="U38" s="709">
        <f t="shared" si="13"/>
        <v>100</v>
      </c>
      <c r="V38" s="708" t="s">
        <v>14</v>
      </c>
      <c r="W38" s="709">
        <f t="shared" si="14"/>
        <v>100</v>
      </c>
      <c r="X38" s="710"/>
      <c r="Y38" s="36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2"/>
      <c r="Q39" s="1352">
        <f t="shared" si="11"/>
        <v>111</v>
      </c>
      <c r="R39" s="705" t="s">
        <v>14</v>
      </c>
      <c r="S39" s="706">
        <f t="shared" si="12"/>
        <v>100</v>
      </c>
      <c r="T39" s="705" t="s">
        <v>14</v>
      </c>
      <c r="U39" s="706">
        <f t="shared" si="13"/>
        <v>100</v>
      </c>
      <c r="V39" s="705" t="s">
        <v>14</v>
      </c>
      <c r="W39" s="706">
        <f t="shared" si="14"/>
        <v>100</v>
      </c>
      <c r="X39" s="1355"/>
      <c r="Y39" s="36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4" t="str">
        <f>A41</f>
        <v>成交单价（元/平方米）</v>
      </c>
      <c r="Q41" s="3644"/>
      <c r="R41" s="3645">
        <f>E41</f>
        <v>0</v>
      </c>
      <c r="S41" s="3645"/>
      <c r="T41" s="3645">
        <f>G41</f>
        <v>0</v>
      </c>
      <c r="U41" s="3645"/>
      <c r="V41" s="3645">
        <f>I41</f>
        <v>0</v>
      </c>
      <c r="W41" s="364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6" t="str">
        <f>A43</f>
        <v>估价对象XX用房的比较价值（楼面单价，元/平方米）</v>
      </c>
      <c r="Q43" s="3647"/>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76"/>
      <c r="E5" s="3738" t="s">
        <v>1674</v>
      </c>
      <c r="F5" s="3684"/>
      <c r="G5" s="3680" t="s">
        <v>1675</v>
      </c>
      <c r="H5" s="3676"/>
      <c r="I5" s="3680" t="s">
        <v>1676</v>
      </c>
      <c r="J5" s="3676"/>
      <c r="K5" s="559"/>
      <c r="L5" s="2713"/>
      <c r="M5" s="2714"/>
      <c r="N5" s="2714"/>
      <c r="O5" s="2714"/>
      <c r="P5" s="3662"/>
      <c r="Q5" s="3663"/>
      <c r="R5" s="3668"/>
      <c r="S5" s="3669"/>
      <c r="T5" s="3668"/>
      <c r="U5" s="3669"/>
      <c r="V5" s="3672"/>
      <c r="W5" s="3672"/>
      <c r="X5" s="1355"/>
      <c r="Y5" s="3668"/>
      <c r="Z5" s="3669"/>
      <c r="AA5" s="3654"/>
      <c r="AB5" s="3654"/>
      <c r="AC5" s="3654"/>
    </row>
    <row r="6" spans="1:29" ht="15.7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45012</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7" t="s">
        <v>1680</v>
      </c>
      <c r="Q7" s="3679"/>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4"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4"/>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49" t="s">
        <v>1691</v>
      </c>
      <c r="Q14" s="1352" t="str">
        <f t="shared" si="6"/>
        <v>交通便捷度</v>
      </c>
      <c r="R14" s="705" t="s">
        <v>14</v>
      </c>
      <c r="S14" s="706">
        <f t="shared" si="0"/>
        <v>100</v>
      </c>
      <c r="T14" s="705" t="s">
        <v>14</v>
      </c>
      <c r="U14" s="706">
        <f t="shared" si="1"/>
        <v>100</v>
      </c>
      <c r="V14" s="705" t="s">
        <v>14</v>
      </c>
      <c r="W14" s="706">
        <f t="shared" si="2"/>
        <v>100</v>
      </c>
      <c r="X14" s="1355"/>
      <c r="Y14" s="364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50"/>
      <c r="Q15" s="1352"/>
      <c r="R15" s="705"/>
      <c r="S15" s="706"/>
      <c r="T15" s="705"/>
      <c r="U15" s="706"/>
      <c r="V15" s="705"/>
      <c r="W15" s="706"/>
      <c r="X15" s="1355"/>
      <c r="Y15" s="3650"/>
      <c r="Z15" s="1356"/>
      <c r="AA15" s="1353">
        <v>1</v>
      </c>
      <c r="AB15" s="1353">
        <v>1</v>
      </c>
      <c r="AC15" s="1353">
        <v>1</v>
      </c>
    </row>
    <row r="16" spans="1:29" ht="370.5">
      <c r="A16" s="379"/>
      <c r="B16" s="402"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0"/>
      <c r="Q16" s="1352" t="str">
        <f>B16</f>
        <v>公共配套设施</v>
      </c>
      <c r="R16" s="705" t="s">
        <v>14</v>
      </c>
      <c r="S16" s="706">
        <f>F16</f>
        <v>100</v>
      </c>
      <c r="T16" s="705" t="s">
        <v>14</v>
      </c>
      <c r="U16" s="706">
        <f>H16</f>
        <v>100</v>
      </c>
      <c r="V16" s="705" t="s">
        <v>14</v>
      </c>
      <c r="W16" s="706">
        <f>J16</f>
        <v>100</v>
      </c>
      <c r="X16" s="1355"/>
      <c r="Y16" s="365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50"/>
      <c r="Q17" s="1352"/>
      <c r="R17" s="705"/>
      <c r="S17" s="706"/>
      <c r="T17" s="705"/>
      <c r="U17" s="706"/>
      <c r="V17" s="705"/>
      <c r="W17" s="706"/>
      <c r="X17" s="1355"/>
      <c r="Y17" s="365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0"/>
      <c r="Q18" s="1352" t="str">
        <f>B18</f>
        <v>基础设施水平</v>
      </c>
      <c r="R18" s="705" t="s">
        <v>14</v>
      </c>
      <c r="S18" s="706">
        <f>F18</f>
        <v>100</v>
      </c>
      <c r="T18" s="705" t="s">
        <v>14</v>
      </c>
      <c r="U18" s="706">
        <f>H18</f>
        <v>100</v>
      </c>
      <c r="V18" s="705" t="s">
        <v>14</v>
      </c>
      <c r="W18" s="706">
        <f>J18</f>
        <v>100</v>
      </c>
      <c r="X18" s="1355"/>
      <c r="Y18" s="365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50"/>
      <c r="Q19" s="1352"/>
      <c r="R19" s="705"/>
      <c r="S19" s="706"/>
      <c r="T19" s="705"/>
      <c r="U19" s="706"/>
      <c r="V19" s="705"/>
      <c r="W19" s="706"/>
      <c r="X19" s="1355"/>
      <c r="Y19" s="3650"/>
      <c r="Z19" s="1356"/>
      <c r="AA19" s="1353">
        <v>1</v>
      </c>
      <c r="AB19" s="1353">
        <v>1</v>
      </c>
      <c r="AC19" s="1353">
        <v>1</v>
      </c>
    </row>
    <row r="20" spans="1:29" ht="114">
      <c r="A20" s="379"/>
      <c r="B20" s="402" t="s">
        <v>1834</v>
      </c>
      <c r="C20" s="1900" t="str">
        <f>IF(B1="工业",估价对象房地状况!G7,估价对象房地状况!C9)</f>
        <v xml:space="preserve">自然环境：紫竹院公园、北京动物园
人文环境：国家图书馆。
综上，环境状况好。
</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0"/>
      <c r="Q20" s="1352" t="str">
        <f>B20</f>
        <v>自然及人文环境</v>
      </c>
      <c r="R20" s="705" t="s">
        <v>14</v>
      </c>
      <c r="S20" s="706">
        <f>F20</f>
        <v>100</v>
      </c>
      <c r="T20" s="705" t="s">
        <v>14</v>
      </c>
      <c r="U20" s="706">
        <f>H20</f>
        <v>100</v>
      </c>
      <c r="V20" s="705" t="s">
        <v>14</v>
      </c>
      <c r="W20" s="706">
        <f>J20</f>
        <v>100</v>
      </c>
      <c r="X20" s="1355"/>
      <c r="Y20" s="365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50"/>
      <c r="Q21" s="1352"/>
      <c r="R21" s="705"/>
      <c r="S21" s="706"/>
      <c r="T21" s="705"/>
      <c r="U21" s="706"/>
      <c r="V21" s="705"/>
      <c r="W21" s="706"/>
      <c r="X21" s="1355"/>
      <c r="Y21" s="365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0"/>
      <c r="Q22" s="1352" t="str">
        <f>B22</f>
        <v>楼层</v>
      </c>
      <c r="R22" s="705" t="s">
        <v>14</v>
      </c>
      <c r="S22" s="706">
        <f>F22</f>
        <v>100</v>
      </c>
      <c r="T22" s="705" t="s">
        <v>14</v>
      </c>
      <c r="U22" s="706">
        <f>H22</f>
        <v>100</v>
      </c>
      <c r="V22" s="705" t="s">
        <v>14</v>
      </c>
      <c r="W22" s="706">
        <f>J22</f>
        <v>100</v>
      </c>
      <c r="X22" s="1355"/>
      <c r="Y22" s="365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0"/>
      <c r="Q23" s="1352">
        <f>B23</f>
        <v>111</v>
      </c>
      <c r="R23" s="705" t="s">
        <v>14</v>
      </c>
      <c r="S23" s="706">
        <f>F23</f>
        <v>100</v>
      </c>
      <c r="T23" s="705" t="s">
        <v>14</v>
      </c>
      <c r="U23" s="706">
        <f>H23</f>
        <v>100</v>
      </c>
      <c r="V23" s="705" t="s">
        <v>14</v>
      </c>
      <c r="W23" s="706">
        <f>J23</f>
        <v>100</v>
      </c>
      <c r="X23" s="1355"/>
      <c r="Y23" s="365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0"/>
      <c r="Q24" s="1352">
        <f t="shared" ref="Q24:Q34" si="11">B24</f>
        <v>111</v>
      </c>
      <c r="R24" s="705" t="s">
        <v>14</v>
      </c>
      <c r="S24" s="706">
        <f>F24</f>
        <v>100</v>
      </c>
      <c r="T24" s="705" t="s">
        <v>14</v>
      </c>
      <c r="U24" s="706">
        <f>H24</f>
        <v>100</v>
      </c>
      <c r="V24" s="705" t="s">
        <v>14</v>
      </c>
      <c r="W24" s="706">
        <f>J24</f>
        <v>100</v>
      </c>
      <c r="X24" s="1355"/>
      <c r="Y24" s="365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50"/>
      <c r="Q25" s="1343">
        <f t="shared" si="11"/>
        <v>111</v>
      </c>
      <c r="R25" s="701" t="s">
        <v>14</v>
      </c>
      <c r="S25" s="702">
        <f>F25</f>
        <v>100</v>
      </c>
      <c r="T25" s="701" t="s">
        <v>14</v>
      </c>
      <c r="U25" s="702">
        <f>H25</f>
        <v>100</v>
      </c>
      <c r="V25" s="701" t="s">
        <v>14</v>
      </c>
      <c r="W25" s="702">
        <f>J25</f>
        <v>100</v>
      </c>
      <c r="X25" s="703"/>
      <c r="Y25" s="365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2"/>
      <c r="Q27" s="707" t="str">
        <f t="shared" si="11"/>
        <v>成新率</v>
      </c>
      <c r="R27" s="708" t="s">
        <v>14</v>
      </c>
      <c r="S27" s="709" t="e">
        <f t="shared" si="12"/>
        <v>#N/A</v>
      </c>
      <c r="T27" s="708" t="s">
        <v>14</v>
      </c>
      <c r="U27" s="709" t="e">
        <f t="shared" si="13"/>
        <v>#N/A</v>
      </c>
      <c r="V27" s="708" t="s">
        <v>14</v>
      </c>
      <c r="W27" s="709" t="e">
        <f t="shared" si="14"/>
        <v>#N/A</v>
      </c>
      <c r="X27" s="710"/>
      <c r="Y27" s="365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2"/>
      <c r="Q28" s="1352" t="str">
        <f t="shared" si="11"/>
        <v>物业等级</v>
      </c>
      <c r="R28" s="705" t="s">
        <v>14</v>
      </c>
      <c r="S28" s="706">
        <f t="shared" si="12"/>
        <v>100</v>
      </c>
      <c r="T28" s="705" t="s">
        <v>14</v>
      </c>
      <c r="U28" s="706">
        <f t="shared" si="13"/>
        <v>100</v>
      </c>
      <c r="V28" s="705" t="s">
        <v>14</v>
      </c>
      <c r="W28" s="706">
        <f t="shared" si="14"/>
        <v>100</v>
      </c>
      <c r="X28" s="1355"/>
      <c r="Y28" s="365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2"/>
      <c r="Q29" s="1352" t="str">
        <f t="shared" si="11"/>
        <v>有无电梯</v>
      </c>
      <c r="R29" s="705" t="s">
        <v>14</v>
      </c>
      <c r="S29" s="706">
        <f t="shared" si="12"/>
        <v>100</v>
      </c>
      <c r="T29" s="705" t="s">
        <v>14</v>
      </c>
      <c r="U29" s="706">
        <f t="shared" si="13"/>
        <v>100</v>
      </c>
      <c r="V29" s="705" t="s">
        <v>14</v>
      </c>
      <c r="W29" s="706">
        <f t="shared" si="14"/>
        <v>100</v>
      </c>
      <c r="X29" s="1355"/>
      <c r="Y29" s="365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2"/>
      <c r="Q30" s="1352" t="str">
        <f t="shared" si="11"/>
        <v>建筑面积</v>
      </c>
      <c r="R30" s="705" t="s">
        <v>14</v>
      </c>
      <c r="S30" s="706" t="e">
        <f t="shared" si="12"/>
        <v>#N/A</v>
      </c>
      <c r="T30" s="705" t="s">
        <v>14</v>
      </c>
      <c r="U30" s="706" t="e">
        <f t="shared" si="13"/>
        <v>#N/A</v>
      </c>
      <c r="V30" s="705" t="s">
        <v>14</v>
      </c>
      <c r="W30" s="706" t="e">
        <f t="shared" si="14"/>
        <v>#N/A</v>
      </c>
      <c r="X30" s="1355"/>
      <c r="Y30" s="365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2"/>
      <c r="Q31" s="1343" t="str">
        <f t="shared" si="11"/>
        <v>是否封闭</v>
      </c>
      <c r="R31" s="701" t="s">
        <v>14</v>
      </c>
      <c r="S31" s="702">
        <f t="shared" si="12"/>
        <v>100</v>
      </c>
      <c r="T31" s="701" t="s">
        <v>14</v>
      </c>
      <c r="U31" s="702">
        <f t="shared" si="13"/>
        <v>100</v>
      </c>
      <c r="V31" s="701" t="s">
        <v>14</v>
      </c>
      <c r="W31" s="702">
        <f t="shared" si="14"/>
        <v>100</v>
      </c>
      <c r="X31" s="703"/>
      <c r="Y31" s="36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2" t="s">
        <v>1696</v>
      </c>
      <c r="Q32" s="1352">
        <f t="shared" si="11"/>
        <v>111</v>
      </c>
      <c r="R32" s="705" t="s">
        <v>14</v>
      </c>
      <c r="S32" s="706">
        <f t="shared" si="12"/>
        <v>100</v>
      </c>
      <c r="T32" s="705" t="s">
        <v>14</v>
      </c>
      <c r="U32" s="706">
        <f t="shared" si="13"/>
        <v>100</v>
      </c>
      <c r="V32" s="705" t="s">
        <v>14</v>
      </c>
      <c r="W32" s="706">
        <f t="shared" si="14"/>
        <v>100</v>
      </c>
      <c r="X32" s="1355"/>
      <c r="Y32" s="365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2"/>
      <c r="Q33" s="1352">
        <f t="shared" si="11"/>
        <v>111</v>
      </c>
      <c r="R33" s="705" t="s">
        <v>14</v>
      </c>
      <c r="S33" s="706">
        <f t="shared" si="12"/>
        <v>100</v>
      </c>
      <c r="T33" s="705" t="s">
        <v>14</v>
      </c>
      <c r="U33" s="706">
        <f t="shared" si="13"/>
        <v>100</v>
      </c>
      <c r="V33" s="705" t="s">
        <v>14</v>
      </c>
      <c r="W33" s="706">
        <f t="shared" si="14"/>
        <v>100</v>
      </c>
      <c r="X33" s="1355"/>
      <c r="Y33" s="365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44" t="str">
        <f>A35</f>
        <v>成交单价（元/平方米）</v>
      </c>
      <c r="Q35" s="3644"/>
      <c r="R35" s="3645">
        <f>E35</f>
        <v>0</v>
      </c>
      <c r="S35" s="3645"/>
      <c r="T35" s="3645">
        <f>G35</f>
        <v>0</v>
      </c>
      <c r="U35" s="3645"/>
      <c r="V35" s="3645">
        <f>I35</f>
        <v>0</v>
      </c>
      <c r="W35" s="364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46" t="str">
        <f>A37</f>
        <v>估价对象XX用房的比较价值（楼面单价，元/平方米）</v>
      </c>
      <c r="Q37" s="3647"/>
      <c r="R37" s="3648" t="e">
        <f>IF(F1="售价",ROUND(IF(D36="简单平均",AVERAGE(R36:W36),R36*F36+T36*H36+V36*J36),0),ROUND(IF(D36="简单平均",AVERAGE(R36:V36),R36*F36+T36*H36+V36*J36),1))</f>
        <v>#DIV/0!</v>
      </c>
      <c r="S37" s="3648"/>
      <c r="T37" s="3648"/>
      <c r="U37" s="3648"/>
      <c r="V37" s="3648"/>
      <c r="W37" s="364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30" ht="15">
      <c r="A5" s="358"/>
      <c r="B5" s="359"/>
      <c r="C5" s="3680" t="s">
        <v>1673</v>
      </c>
      <c r="D5" s="3676"/>
      <c r="E5" s="3738" t="s">
        <v>1674</v>
      </c>
      <c r="F5" s="3684"/>
      <c r="G5" s="3680" t="s">
        <v>1675</v>
      </c>
      <c r="H5" s="3676"/>
      <c r="I5" s="3680" t="s">
        <v>1676</v>
      </c>
      <c r="J5" s="3676"/>
      <c r="K5" s="559"/>
      <c r="L5" s="2713"/>
      <c r="M5" s="2714"/>
      <c r="N5" s="2714"/>
      <c r="O5" s="2714"/>
      <c r="P5" s="3662"/>
      <c r="Q5" s="3663"/>
      <c r="R5" s="3668"/>
      <c r="S5" s="3669"/>
      <c r="T5" s="3668"/>
      <c r="U5" s="3669"/>
      <c r="V5" s="3672"/>
      <c r="W5" s="3672"/>
      <c r="X5" s="1355"/>
      <c r="Y5" s="3668"/>
      <c r="Z5" s="3669"/>
      <c r="AA5" s="3654"/>
      <c r="AB5" s="3654"/>
      <c r="AC5" s="3654"/>
    </row>
    <row r="6" spans="1:30" ht="15.7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5"/>
      <c r="Y6" s="3670"/>
      <c r="Z6" s="3671"/>
      <c r="AA6" s="3655"/>
      <c r="AB6" s="3655"/>
      <c r="AC6" s="3655"/>
    </row>
    <row r="7" spans="1:30" s="108" customFormat="1" ht="15.75" thickBot="1">
      <c r="A7" s="362" t="s">
        <v>1679</v>
      </c>
      <c r="B7" s="363"/>
      <c r="C7" s="364">
        <f>'数据-取费表'!B2</f>
        <v>45012</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4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7"/>
      <c r="M10" s="2718"/>
      <c r="N10" s="2718"/>
      <c r="O10" s="2771"/>
      <c r="P10" s="3644"/>
      <c r="Q10" s="1343" t="str">
        <f t="shared" si="6"/>
        <v>土地使用年限（年）</v>
      </c>
      <c r="R10" s="701" t="s">
        <v>14</v>
      </c>
      <c r="S10" s="702">
        <f t="shared" si="0"/>
        <v>134</v>
      </c>
      <c r="T10" s="701" t="s">
        <v>14</v>
      </c>
      <c r="U10" s="702">
        <f t="shared" si="1"/>
        <v>134</v>
      </c>
      <c r="V10" s="701" t="s">
        <v>14</v>
      </c>
      <c r="W10" s="702">
        <f t="shared" si="2"/>
        <v>134</v>
      </c>
      <c r="X10" s="703"/>
      <c r="Y10" s="3548"/>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4"/>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114">
      <c r="A15" s="391" t="s">
        <v>1690</v>
      </c>
      <c r="B15" s="61" t="s">
        <v>1257</v>
      </c>
      <c r="C15" s="1896" t="str">
        <f>估价对象房地状况!C15</f>
        <v>周边有紫竹院路62号院、三虎桥5号院、世纪新景园、紫竹花园等住宅小区，住宅小区较集中，居住社区成熟度较好。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49" t="s">
        <v>1691</v>
      </c>
      <c r="Q15" s="1352" t="str">
        <f t="shared" si="6"/>
        <v>居住社区成熟度</v>
      </c>
      <c r="R15" s="705" t="s">
        <v>14</v>
      </c>
      <c r="S15" s="706">
        <f t="shared" si="0"/>
        <v>100</v>
      </c>
      <c r="T15" s="705" t="s">
        <v>14</v>
      </c>
      <c r="U15" s="706">
        <f t="shared" si="1"/>
        <v>100</v>
      </c>
      <c r="V15" s="705" t="s">
        <v>14</v>
      </c>
      <c r="W15" s="706">
        <f t="shared" si="2"/>
        <v>100</v>
      </c>
      <c r="X15" s="1355"/>
      <c r="Y15" s="364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50"/>
      <c r="Q16" s="1352"/>
      <c r="R16" s="705"/>
      <c r="S16" s="706"/>
      <c r="T16" s="705"/>
      <c r="U16" s="706"/>
      <c r="V16" s="705"/>
      <c r="W16" s="706"/>
      <c r="X16" s="1355"/>
      <c r="Y16" s="365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0"/>
      <c r="Q17" s="1352" t="str">
        <f>B17</f>
        <v>商业繁华度</v>
      </c>
      <c r="R17" s="705" t="s">
        <v>14</v>
      </c>
      <c r="S17" s="706">
        <f>F17</f>
        <v>100</v>
      </c>
      <c r="T17" s="705" t="s">
        <v>14</v>
      </c>
      <c r="U17" s="706">
        <f>H17</f>
        <v>100</v>
      </c>
      <c r="V17" s="705" t="s">
        <v>14</v>
      </c>
      <c r="W17" s="706">
        <f>J17</f>
        <v>100</v>
      </c>
      <c r="X17" s="1355"/>
      <c r="Y17" s="365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50"/>
      <c r="Q18" s="1352"/>
      <c r="R18" s="705"/>
      <c r="S18" s="706"/>
      <c r="T18" s="705"/>
      <c r="U18" s="706"/>
      <c r="V18" s="705"/>
      <c r="W18" s="706"/>
      <c r="X18" s="1355"/>
      <c r="Y18" s="365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0"/>
      <c r="Q19" s="1352" t="str">
        <f>B19</f>
        <v>办公集聚程度</v>
      </c>
      <c r="R19" s="705" t="s">
        <v>14</v>
      </c>
      <c r="S19" s="706">
        <f>F19</f>
        <v>100</v>
      </c>
      <c r="T19" s="705" t="s">
        <v>14</v>
      </c>
      <c r="U19" s="706">
        <f>H19</f>
        <v>100</v>
      </c>
      <c r="V19" s="705" t="s">
        <v>14</v>
      </c>
      <c r="W19" s="706">
        <f>J19</f>
        <v>100</v>
      </c>
      <c r="X19" s="1355"/>
      <c r="Y19" s="365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50"/>
      <c r="Q20" s="1352"/>
      <c r="R20" s="705"/>
      <c r="S20" s="706"/>
      <c r="T20" s="705"/>
      <c r="U20" s="706"/>
      <c r="V20" s="705"/>
      <c r="W20" s="706"/>
      <c r="X20" s="1355"/>
      <c r="Y20" s="3650"/>
      <c r="Z20" s="1356"/>
      <c r="AA20" s="1353">
        <v>1</v>
      </c>
      <c r="AB20" s="1353">
        <v>1</v>
      </c>
      <c r="AC20" s="1353">
        <v>1</v>
      </c>
    </row>
    <row r="21" spans="1:29" ht="199.5">
      <c r="A21" s="379"/>
      <c r="B21" s="402" t="s">
        <v>1833</v>
      </c>
      <c r="C21" s="1900" t="str">
        <f>估价对象房地状况!C18</f>
        <v>紧临城市主干道——紫竹院路，临近城市快速路——西三环北路，距离16号线万寿寺站约500米，距离国家图书馆站（4、9、16换乘站）约900米，有74路、300路、323路、394路等公交线路，交通便捷度好。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0"/>
      <c r="Q21" s="1352" t="str">
        <f>B21</f>
        <v>交通便捷度</v>
      </c>
      <c r="R21" s="705" t="s">
        <v>14</v>
      </c>
      <c r="S21" s="706">
        <f>F21</f>
        <v>100</v>
      </c>
      <c r="T21" s="705" t="s">
        <v>14</v>
      </c>
      <c r="U21" s="706">
        <f>H21</f>
        <v>100</v>
      </c>
      <c r="V21" s="705" t="s">
        <v>14</v>
      </c>
      <c r="W21" s="706">
        <f>J21</f>
        <v>100</v>
      </c>
      <c r="X21" s="1355"/>
      <c r="Y21" s="365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50"/>
      <c r="Q22" s="1352"/>
      <c r="R22" s="705"/>
      <c r="S22" s="706"/>
      <c r="T22" s="705"/>
      <c r="U22" s="706"/>
      <c r="V22" s="705"/>
      <c r="W22" s="706"/>
      <c r="X22" s="1355"/>
      <c r="Y22" s="365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0"/>
      <c r="Q23" s="1352" t="str">
        <f t="shared" ref="Q23:Q37" si="8">B23</f>
        <v>区域土地利用方向</v>
      </c>
      <c r="R23" s="705" t="s">
        <v>14</v>
      </c>
      <c r="S23" s="706">
        <f>F23</f>
        <v>100</v>
      </c>
      <c r="T23" s="705" t="s">
        <v>14</v>
      </c>
      <c r="U23" s="706">
        <f>H23</f>
        <v>100</v>
      </c>
      <c r="V23" s="705" t="s">
        <v>14</v>
      </c>
      <c r="W23" s="706">
        <f>J23</f>
        <v>100</v>
      </c>
      <c r="X23" s="1355"/>
      <c r="Y23" s="365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50"/>
      <c r="Q24" s="1352"/>
      <c r="R24" s="705"/>
      <c r="S24" s="706"/>
      <c r="T24" s="705"/>
      <c r="U24" s="706"/>
      <c r="V24" s="705"/>
      <c r="W24" s="706"/>
      <c r="X24" s="1355"/>
      <c r="Y24" s="3650"/>
      <c r="Z24" s="1356"/>
      <c r="AA24" s="1353"/>
      <c r="AB24" s="1353"/>
      <c r="AC24" s="1353"/>
    </row>
    <row r="25" spans="1:29" ht="114">
      <c r="A25" s="358"/>
      <c r="B25" s="1131" t="s">
        <v>1872</v>
      </c>
      <c r="C25" s="1955" t="str">
        <f>估价对象房地状况!C20</f>
        <v xml:space="preserve">自然环境：紫竹院公园、北京动物园
人文环境：国家图书馆。
综上，环境状况好。
</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0"/>
      <c r="Q25" s="1352" t="str">
        <f t="shared" si="8"/>
        <v>自然及人文环境状况</v>
      </c>
      <c r="R25" s="705" t="s">
        <v>14</v>
      </c>
      <c r="S25" s="706">
        <f>F25</f>
        <v>100</v>
      </c>
      <c r="T25" s="705" t="s">
        <v>14</v>
      </c>
      <c r="U25" s="706">
        <f>H25</f>
        <v>100</v>
      </c>
      <c r="V25" s="705" t="s">
        <v>14</v>
      </c>
      <c r="W25" s="706">
        <f>J25</f>
        <v>100</v>
      </c>
      <c r="X25" s="1355"/>
      <c r="Y25" s="365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50"/>
      <c r="Q26" s="1352"/>
      <c r="R26" s="705"/>
      <c r="S26" s="706"/>
      <c r="T26" s="705"/>
      <c r="U26" s="706"/>
      <c r="V26" s="705"/>
      <c r="W26" s="706"/>
      <c r="X26" s="1355"/>
      <c r="Y26" s="3650"/>
      <c r="Z26" s="1356"/>
      <c r="AA26" s="1353">
        <v>1</v>
      </c>
      <c r="AB26" s="1353">
        <v>1</v>
      </c>
      <c r="AC26" s="1353">
        <v>1</v>
      </c>
    </row>
    <row r="27" spans="1:29" s="108" customFormat="1" ht="370.5">
      <c r="A27" s="597"/>
      <c r="B27" s="1131" t="s">
        <v>1778</v>
      </c>
      <c r="C27" s="1900"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0"/>
      <c r="Q27" s="1343" t="str">
        <f t="shared" si="8"/>
        <v>公共配套设施</v>
      </c>
      <c r="R27" s="701" t="s">
        <v>14</v>
      </c>
      <c r="S27" s="702">
        <f>F27</f>
        <v>100</v>
      </c>
      <c r="T27" s="701" t="s">
        <v>14</v>
      </c>
      <c r="U27" s="702">
        <f>H27</f>
        <v>100</v>
      </c>
      <c r="V27" s="701" t="s">
        <v>14</v>
      </c>
      <c r="W27" s="702">
        <f>J27</f>
        <v>100</v>
      </c>
      <c r="X27" s="703"/>
      <c r="Y27" s="365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50"/>
      <c r="Q28" s="1343"/>
      <c r="R28" s="701"/>
      <c r="S28" s="702"/>
      <c r="T28" s="701"/>
      <c r="U28" s="702"/>
      <c r="V28" s="701"/>
      <c r="W28" s="702"/>
      <c r="X28" s="703"/>
      <c r="Y28" s="365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0"/>
      <c r="Q29" s="1343" t="str">
        <f t="shared" ref="Q29" si="9">B29</f>
        <v>基础设施水平</v>
      </c>
      <c r="R29" s="701" t="s">
        <v>14</v>
      </c>
      <c r="S29" s="702">
        <f>F29</f>
        <v>100</v>
      </c>
      <c r="T29" s="701" t="s">
        <v>14</v>
      </c>
      <c r="U29" s="702">
        <f>H29</f>
        <v>100</v>
      </c>
      <c r="V29" s="701" t="s">
        <v>14</v>
      </c>
      <c r="W29" s="702">
        <f>J29</f>
        <v>100</v>
      </c>
      <c r="X29" s="703"/>
      <c r="Y29" s="365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50"/>
      <c r="Q30" s="1343"/>
      <c r="R30" s="701"/>
      <c r="S30" s="702"/>
      <c r="T30" s="701"/>
      <c r="U30" s="702"/>
      <c r="V30" s="701"/>
      <c r="W30" s="702"/>
      <c r="X30" s="703"/>
      <c r="Y30" s="365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0"/>
      <c r="Q32" s="1352" t="str">
        <f t="shared" si="8"/>
        <v>毗邻道路的类型与等级</v>
      </c>
      <c r="R32" s="705" t="s">
        <v>14</v>
      </c>
      <c r="S32" s="706">
        <f t="shared" si="10"/>
        <v>100</v>
      </c>
      <c r="T32" s="705" t="s">
        <v>14</v>
      </c>
      <c r="U32" s="706">
        <f t="shared" si="11"/>
        <v>100</v>
      </c>
      <c r="V32" s="705" t="s">
        <v>14</v>
      </c>
      <c r="W32" s="706">
        <f t="shared" si="12"/>
        <v>100</v>
      </c>
      <c r="X32" s="1355"/>
      <c r="Y32" s="365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50"/>
      <c r="Q33" s="1352"/>
      <c r="R33" s="705"/>
      <c r="S33" s="706"/>
      <c r="T33" s="705"/>
      <c r="U33" s="706"/>
      <c r="V33" s="705"/>
      <c r="W33" s="706"/>
      <c r="X33" s="1355"/>
      <c r="Y33" s="365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0"/>
      <c r="Q34" s="1352" t="str">
        <f t="shared" si="8"/>
        <v>土地级别</v>
      </c>
      <c r="R34" s="705" t="s">
        <v>14</v>
      </c>
      <c r="S34" s="706">
        <f t="shared" si="10"/>
        <v>100</v>
      </c>
      <c r="T34" s="705" t="s">
        <v>14</v>
      </c>
      <c r="U34" s="706">
        <f t="shared" si="11"/>
        <v>100</v>
      </c>
      <c r="V34" s="705" t="s">
        <v>14</v>
      </c>
      <c r="W34" s="706">
        <f t="shared" si="12"/>
        <v>100</v>
      </c>
      <c r="X34" s="1355"/>
      <c r="Y34" s="365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0"/>
      <c r="Q35" s="1352">
        <f t="shared" si="8"/>
        <v>111</v>
      </c>
      <c r="R35" s="705" t="s">
        <v>14</v>
      </c>
      <c r="S35" s="706">
        <f t="shared" si="10"/>
        <v>100</v>
      </c>
      <c r="T35" s="705" t="s">
        <v>14</v>
      </c>
      <c r="U35" s="706">
        <f t="shared" si="11"/>
        <v>100</v>
      </c>
      <c r="V35" s="705" t="s">
        <v>14</v>
      </c>
      <c r="W35" s="706">
        <f t="shared" si="12"/>
        <v>100</v>
      </c>
      <c r="X35" s="1355"/>
      <c r="Y35" s="365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51" t="s">
        <v>1696</v>
      </c>
      <c r="Q36" s="1352">
        <f t="shared" si="8"/>
        <v>111</v>
      </c>
      <c r="R36" s="705" t="s">
        <v>14</v>
      </c>
      <c r="S36" s="706">
        <f t="shared" si="10"/>
        <v>100</v>
      </c>
      <c r="T36" s="705" t="s">
        <v>14</v>
      </c>
      <c r="U36" s="706">
        <f t="shared" si="11"/>
        <v>100</v>
      </c>
      <c r="V36" s="705" t="s">
        <v>14</v>
      </c>
      <c r="W36" s="706">
        <f t="shared" si="12"/>
        <v>100</v>
      </c>
      <c r="X36" s="1355"/>
      <c r="Y36" s="365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2"/>
      <c r="Q37" s="1352">
        <f t="shared" si="8"/>
        <v>111</v>
      </c>
      <c r="R37" s="708" t="s">
        <v>14</v>
      </c>
      <c r="S37" s="709">
        <f t="shared" si="10"/>
        <v>100</v>
      </c>
      <c r="T37" s="708" t="s">
        <v>14</v>
      </c>
      <c r="U37" s="709">
        <f t="shared" si="11"/>
        <v>100</v>
      </c>
      <c r="V37" s="708" t="s">
        <v>14</v>
      </c>
      <c r="W37" s="709">
        <f t="shared" si="12"/>
        <v>100</v>
      </c>
      <c r="X37" s="710"/>
      <c r="Y37" s="365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2"/>
      <c r="Q38" s="1352" t="str">
        <f>B38</f>
        <v>宗地面积</v>
      </c>
      <c r="R38" s="705" t="s">
        <v>14</v>
      </c>
      <c r="S38" s="706" t="e">
        <f t="shared" si="10"/>
        <v>#N/A</v>
      </c>
      <c r="T38" s="705" t="s">
        <v>14</v>
      </c>
      <c r="U38" s="706" t="e">
        <f t="shared" si="11"/>
        <v>#N/A</v>
      </c>
      <c r="V38" s="705" t="s">
        <v>14</v>
      </c>
      <c r="W38" s="706" t="e">
        <f t="shared" si="12"/>
        <v>#N/A</v>
      </c>
      <c r="X38" s="1355"/>
      <c r="Y38" s="365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52"/>
      <c r="Q39" s="1352" t="str">
        <f t="shared" ref="Q39:Q45" si="14">B39</f>
        <v>宗地形状</v>
      </c>
      <c r="R39" s="705" t="s">
        <v>14</v>
      </c>
      <c r="S39" s="706">
        <f t="shared" si="10"/>
        <v>100</v>
      </c>
      <c r="T39" s="705" t="s">
        <v>14</v>
      </c>
      <c r="U39" s="706">
        <f t="shared" si="11"/>
        <v>100</v>
      </c>
      <c r="V39" s="705" t="s">
        <v>14</v>
      </c>
      <c r="W39" s="706">
        <f t="shared" si="12"/>
        <v>100</v>
      </c>
      <c r="X39" s="1355"/>
      <c r="Y39" s="365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52"/>
      <c r="Q40" s="1352" t="str">
        <f t="shared" si="14"/>
        <v>临街宽度及深度</v>
      </c>
      <c r="R40" s="705" t="s">
        <v>14</v>
      </c>
      <c r="S40" s="706">
        <f t="shared" si="10"/>
        <v>100</v>
      </c>
      <c r="T40" s="705" t="s">
        <v>14</v>
      </c>
      <c r="U40" s="706">
        <f t="shared" si="11"/>
        <v>100</v>
      </c>
      <c r="V40" s="705" t="s">
        <v>14</v>
      </c>
      <c r="W40" s="706">
        <f t="shared" si="12"/>
        <v>100</v>
      </c>
      <c r="X40" s="1355"/>
      <c r="Y40" s="365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52"/>
      <c r="Q41" s="1352" t="str">
        <f t="shared" si="14"/>
        <v>宗地开发程度</v>
      </c>
      <c r="R41" s="701" t="s">
        <v>14</v>
      </c>
      <c r="S41" s="702">
        <f t="shared" si="10"/>
        <v>100</v>
      </c>
      <c r="T41" s="701" t="s">
        <v>14</v>
      </c>
      <c r="U41" s="702">
        <f t="shared" si="11"/>
        <v>100</v>
      </c>
      <c r="V41" s="701" t="s">
        <v>14</v>
      </c>
      <c r="W41" s="702">
        <f t="shared" si="12"/>
        <v>100</v>
      </c>
      <c r="X41" s="703"/>
      <c r="Y41" s="365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52" t="s">
        <v>1696</v>
      </c>
      <c r="Q42" s="1352" t="str">
        <f t="shared" si="14"/>
        <v>工程地质条件</v>
      </c>
      <c r="R42" s="705" t="s">
        <v>14</v>
      </c>
      <c r="S42" s="706">
        <f t="shared" si="10"/>
        <v>100</v>
      </c>
      <c r="T42" s="705" t="s">
        <v>14</v>
      </c>
      <c r="U42" s="706">
        <f t="shared" si="11"/>
        <v>100</v>
      </c>
      <c r="V42" s="705" t="s">
        <v>14</v>
      </c>
      <c r="W42" s="706">
        <f t="shared" si="12"/>
        <v>100</v>
      </c>
      <c r="X42" s="1355"/>
      <c r="Y42" s="365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2"/>
      <c r="Q43" s="1352">
        <f t="shared" si="14"/>
        <v>111</v>
      </c>
      <c r="R43" s="705" t="s">
        <v>14</v>
      </c>
      <c r="S43" s="706">
        <f t="shared" si="10"/>
        <v>100</v>
      </c>
      <c r="T43" s="705" t="s">
        <v>14</v>
      </c>
      <c r="U43" s="706">
        <f t="shared" si="11"/>
        <v>100</v>
      </c>
      <c r="V43" s="705" t="s">
        <v>14</v>
      </c>
      <c r="W43" s="706">
        <f t="shared" si="12"/>
        <v>100</v>
      </c>
      <c r="X43" s="1355"/>
      <c r="Y43" s="36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2"/>
      <c r="Q44" s="1352">
        <f t="shared" si="14"/>
        <v>111</v>
      </c>
      <c r="R44" s="705" t="s">
        <v>14</v>
      </c>
      <c r="S44" s="706">
        <f t="shared" si="10"/>
        <v>100</v>
      </c>
      <c r="T44" s="705" t="s">
        <v>14</v>
      </c>
      <c r="U44" s="706">
        <f t="shared" si="11"/>
        <v>100</v>
      </c>
      <c r="V44" s="705" t="s">
        <v>14</v>
      </c>
      <c r="W44" s="706">
        <f t="shared" si="12"/>
        <v>100</v>
      </c>
      <c r="X44" s="1355"/>
      <c r="Y44" s="365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2"/>
      <c r="Q45" s="1352">
        <f t="shared" si="14"/>
        <v>111</v>
      </c>
      <c r="R45" s="708" t="s">
        <v>14</v>
      </c>
      <c r="S45" s="709">
        <f t="shared" si="10"/>
        <v>100</v>
      </c>
      <c r="T45" s="708" t="s">
        <v>14</v>
      </c>
      <c r="U45" s="709">
        <f t="shared" si="11"/>
        <v>100</v>
      </c>
      <c r="V45" s="708" t="s">
        <v>14</v>
      </c>
      <c r="W45" s="709">
        <f t="shared" si="12"/>
        <v>100</v>
      </c>
      <c r="X45" s="710"/>
      <c r="Y45" s="365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44" t="str">
        <f>A46</f>
        <v>成交单价</v>
      </c>
      <c r="Q46" s="3644"/>
      <c r="R46" s="3672">
        <f>E46</f>
        <v>0</v>
      </c>
      <c r="S46" s="3672"/>
      <c r="T46" s="3672">
        <f>G46</f>
        <v>0</v>
      </c>
      <c r="U46" s="3672"/>
      <c r="V46" s="3672">
        <f>I46</f>
        <v>0</v>
      </c>
      <c r="W46" s="367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44" t="str">
        <f>A47</f>
        <v>比较价值（元/平方米）</v>
      </c>
      <c r="Q47" s="3644"/>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46" t="str">
        <f>A48</f>
        <v>估价对象XX用房的比较价值（楼面单价，元/平方米）</v>
      </c>
      <c r="Q48" s="3647"/>
      <c r="R48" s="3755" t="e">
        <f>ROUND(IF(D47="简单平均",AVERAGE(R47:W47),R47*F47+T47*H47+V47*J47),0)</f>
        <v>#DIV/0!</v>
      </c>
      <c r="S48" s="3755"/>
      <c r="T48" s="3755"/>
      <c r="U48" s="3755"/>
      <c r="V48" s="3755"/>
      <c r="W48" s="375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56" t="s">
        <v>1887</v>
      </c>
      <c r="H55" s="375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37"/>
      <c r="H56" s="364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29.35</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29.35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5"/>
      <c r="Y4" s="3666" t="s">
        <v>1775</v>
      </c>
      <c r="Z4" s="3667"/>
      <c r="AA4" s="3653" t="s">
        <v>1771</v>
      </c>
      <c r="AB4" s="3654" t="s">
        <v>1772</v>
      </c>
      <c r="AC4" s="3653" t="s">
        <v>1773</v>
      </c>
    </row>
    <row r="5" spans="1:29" ht="15">
      <c r="A5" s="358"/>
      <c r="B5" s="359"/>
      <c r="C5" s="3680" t="s">
        <v>1673</v>
      </c>
      <c r="D5" s="3676"/>
      <c r="E5" s="3738" t="s">
        <v>1674</v>
      </c>
      <c r="F5" s="3684"/>
      <c r="G5" s="3680" t="s">
        <v>1675</v>
      </c>
      <c r="H5" s="3676"/>
      <c r="I5" s="3680" t="s">
        <v>1676</v>
      </c>
      <c r="J5" s="3676"/>
      <c r="K5" s="559"/>
      <c r="L5" s="2713"/>
      <c r="M5" s="2714"/>
      <c r="N5" s="2714"/>
      <c r="O5" s="2714"/>
      <c r="P5" s="3662"/>
      <c r="Q5" s="3663"/>
      <c r="R5" s="3668"/>
      <c r="S5" s="3669"/>
      <c r="T5" s="3668"/>
      <c r="U5" s="3669"/>
      <c r="V5" s="3672"/>
      <c r="W5" s="3672"/>
      <c r="X5" s="1355"/>
      <c r="Y5" s="3668"/>
      <c r="Z5" s="3669"/>
      <c r="AA5" s="3654"/>
      <c r="AB5" s="3654"/>
      <c r="AC5" s="3654"/>
    </row>
    <row r="6" spans="1:29" ht="15.75" thickBot="1">
      <c r="A6" s="360"/>
      <c r="B6" s="361"/>
      <c r="C6" s="3757" t="s">
        <v>1919</v>
      </c>
      <c r="D6" s="3758"/>
      <c r="E6" s="3759" t="s">
        <v>1919</v>
      </c>
      <c r="F6" s="3760"/>
      <c r="G6" s="3757" t="s">
        <v>1919</v>
      </c>
      <c r="H6" s="3758"/>
      <c r="I6" s="3757" t="s">
        <v>1919</v>
      </c>
      <c r="J6" s="3758"/>
      <c r="K6" s="559" t="s">
        <v>1678</v>
      </c>
      <c r="L6" s="2713"/>
      <c r="M6" s="2714"/>
      <c r="N6" s="2714"/>
      <c r="O6" s="2714"/>
      <c r="P6" s="3664"/>
      <c r="Q6" s="3665"/>
      <c r="R6" s="3668"/>
      <c r="S6" s="3669"/>
      <c r="T6" s="3670"/>
      <c r="U6" s="3671"/>
      <c r="V6" s="3672"/>
      <c r="W6" s="3672"/>
      <c r="X6" s="1355"/>
      <c r="Y6" s="3670"/>
      <c r="Z6" s="3671"/>
      <c r="AA6" s="3655"/>
      <c r="AB6" s="3655"/>
      <c r="AC6" s="3655"/>
    </row>
    <row r="7" spans="1:29" s="108" customFormat="1" ht="15.75" thickBot="1">
      <c r="A7" s="362" t="s">
        <v>1679</v>
      </c>
      <c r="B7" s="363"/>
      <c r="C7" s="364">
        <f>'数据-取费表'!B2</f>
        <v>45012</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7" t="s">
        <v>1680</v>
      </c>
      <c r="Q7" s="3679"/>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4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7"/>
      <c r="M10" s="2718"/>
      <c r="N10" s="2718"/>
      <c r="O10" s="2771"/>
      <c r="P10" s="3644"/>
      <c r="Q10" s="1343" t="str">
        <f t="shared" si="6"/>
        <v>土地使用年限（年）</v>
      </c>
      <c r="R10" s="701" t="s">
        <v>14</v>
      </c>
      <c r="S10" s="702">
        <f t="shared" si="0"/>
        <v>134</v>
      </c>
      <c r="T10" s="701" t="s">
        <v>14</v>
      </c>
      <c r="U10" s="702">
        <f t="shared" si="1"/>
        <v>134</v>
      </c>
      <c r="V10" s="701" t="s">
        <v>14</v>
      </c>
      <c r="W10" s="702">
        <f t="shared" si="2"/>
        <v>134</v>
      </c>
      <c r="X10" s="703"/>
      <c r="Y10" s="3548"/>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49" t="s">
        <v>1691</v>
      </c>
      <c r="Q15" s="1352" t="str">
        <f t="shared" si="6"/>
        <v>产业集聚程度</v>
      </c>
      <c r="R15" s="705" t="s">
        <v>14</v>
      </c>
      <c r="S15" s="706">
        <f t="shared" si="0"/>
        <v>100</v>
      </c>
      <c r="T15" s="705" t="s">
        <v>14</v>
      </c>
      <c r="U15" s="706">
        <f t="shared" si="1"/>
        <v>100</v>
      </c>
      <c r="V15" s="705" t="s">
        <v>14</v>
      </c>
      <c r="W15" s="706">
        <f t="shared" si="2"/>
        <v>100</v>
      </c>
      <c r="X15" s="1355"/>
      <c r="Y15" s="364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50"/>
      <c r="Q16" s="1352"/>
      <c r="R16" s="705"/>
      <c r="S16" s="706"/>
      <c r="T16" s="705"/>
      <c r="U16" s="706"/>
      <c r="V16" s="705"/>
      <c r="W16" s="706"/>
      <c r="X16" s="1355"/>
      <c r="Y16" s="365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0"/>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50"/>
      <c r="Q18" s="1352"/>
      <c r="R18" s="705"/>
      <c r="S18" s="706"/>
      <c r="T18" s="705"/>
      <c r="U18" s="706"/>
      <c r="V18" s="705"/>
      <c r="W18" s="706"/>
      <c r="X18" s="1355"/>
      <c r="Y18" s="365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0"/>
      <c r="Q19" s="1352" t="str">
        <f t="shared" ref="Q19:Q33" si="8">B19</f>
        <v>区域土地利用方向</v>
      </c>
      <c r="R19" s="705" t="s">
        <v>14</v>
      </c>
      <c r="S19" s="706">
        <f>F19</f>
        <v>100</v>
      </c>
      <c r="T19" s="705" t="s">
        <v>14</v>
      </c>
      <c r="U19" s="706">
        <f>H19</f>
        <v>100</v>
      </c>
      <c r="V19" s="705" t="s">
        <v>14</v>
      </c>
      <c r="W19" s="706">
        <f>J19</f>
        <v>100</v>
      </c>
      <c r="X19" s="1355"/>
      <c r="Y19" s="365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50"/>
      <c r="Q20" s="1352"/>
      <c r="R20" s="705"/>
      <c r="S20" s="706"/>
      <c r="T20" s="705"/>
      <c r="U20" s="706"/>
      <c r="V20" s="705"/>
      <c r="W20" s="706"/>
      <c r="X20" s="1355"/>
      <c r="Y20" s="365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0"/>
      <c r="Q21" s="1352" t="str">
        <f t="shared" si="8"/>
        <v>环境状况</v>
      </c>
      <c r="R21" s="705" t="s">
        <v>14</v>
      </c>
      <c r="S21" s="706">
        <f>F21</f>
        <v>100</v>
      </c>
      <c r="T21" s="705" t="s">
        <v>14</v>
      </c>
      <c r="U21" s="706">
        <f>H21</f>
        <v>100</v>
      </c>
      <c r="V21" s="705" t="s">
        <v>14</v>
      </c>
      <c r="W21" s="706">
        <f>J21</f>
        <v>100</v>
      </c>
      <c r="X21" s="1355"/>
      <c r="Y21" s="365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50"/>
      <c r="Q22" s="1352"/>
      <c r="R22" s="705"/>
      <c r="S22" s="706"/>
      <c r="T22" s="705"/>
      <c r="U22" s="706"/>
      <c r="V22" s="705"/>
      <c r="W22" s="706"/>
      <c r="X22" s="1355"/>
      <c r="Y22" s="365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0"/>
      <c r="Q23" s="1343" t="str">
        <f t="shared" si="8"/>
        <v>公共配套设施</v>
      </c>
      <c r="R23" s="701" t="s">
        <v>14</v>
      </c>
      <c r="S23" s="702">
        <f>F23</f>
        <v>100</v>
      </c>
      <c r="T23" s="701" t="s">
        <v>14</v>
      </c>
      <c r="U23" s="702">
        <f>H23</f>
        <v>100</v>
      </c>
      <c r="V23" s="701" t="s">
        <v>14</v>
      </c>
      <c r="W23" s="702">
        <f>J23</f>
        <v>100</v>
      </c>
      <c r="X23" s="703"/>
      <c r="Y23" s="365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50"/>
      <c r="Q24" s="1343"/>
      <c r="R24" s="701"/>
      <c r="S24" s="702"/>
      <c r="T24" s="701"/>
      <c r="U24" s="702"/>
      <c r="V24" s="701"/>
      <c r="W24" s="702"/>
      <c r="X24" s="703"/>
      <c r="Y24" s="365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0"/>
      <c r="Q25" s="1343" t="str">
        <f t="shared" ref="Q25" si="9">B25</f>
        <v>基础设施水平</v>
      </c>
      <c r="R25" s="701" t="s">
        <v>14</v>
      </c>
      <c r="S25" s="702">
        <f>F25</f>
        <v>100</v>
      </c>
      <c r="T25" s="701" t="s">
        <v>14</v>
      </c>
      <c r="U25" s="702">
        <f>H25</f>
        <v>100</v>
      </c>
      <c r="V25" s="701" t="s">
        <v>14</v>
      </c>
      <c r="W25" s="702">
        <f>J25</f>
        <v>100</v>
      </c>
      <c r="X25" s="703"/>
      <c r="Y25" s="365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50"/>
      <c r="Q26" s="1343"/>
      <c r="R26" s="701"/>
      <c r="S26" s="702"/>
      <c r="T26" s="701"/>
      <c r="U26" s="702"/>
      <c r="V26" s="701"/>
      <c r="W26" s="702"/>
      <c r="X26" s="703"/>
      <c r="Y26" s="365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0"/>
      <c r="Q28" s="1352" t="str">
        <f t="shared" si="8"/>
        <v>毗邻道路的类型与等级</v>
      </c>
      <c r="R28" s="705" t="s">
        <v>14</v>
      </c>
      <c r="S28" s="706">
        <f t="shared" si="10"/>
        <v>100</v>
      </c>
      <c r="T28" s="705" t="s">
        <v>14</v>
      </c>
      <c r="U28" s="706">
        <f t="shared" si="11"/>
        <v>100</v>
      </c>
      <c r="V28" s="705" t="s">
        <v>14</v>
      </c>
      <c r="W28" s="706">
        <f t="shared" si="12"/>
        <v>100</v>
      </c>
      <c r="X28" s="1355"/>
      <c r="Y28" s="365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50"/>
      <c r="Q29" s="1352"/>
      <c r="R29" s="705"/>
      <c r="S29" s="706"/>
      <c r="T29" s="705"/>
      <c r="U29" s="706"/>
      <c r="V29" s="705"/>
      <c r="W29" s="706"/>
      <c r="X29" s="1355"/>
      <c r="Y29" s="365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0"/>
      <c r="Q30" s="1352" t="str">
        <f t="shared" si="8"/>
        <v>土地级别</v>
      </c>
      <c r="R30" s="705" t="s">
        <v>14</v>
      </c>
      <c r="S30" s="706">
        <f t="shared" si="10"/>
        <v>100</v>
      </c>
      <c r="T30" s="705" t="s">
        <v>14</v>
      </c>
      <c r="U30" s="706">
        <f t="shared" si="11"/>
        <v>100</v>
      </c>
      <c r="V30" s="705" t="s">
        <v>14</v>
      </c>
      <c r="W30" s="706">
        <f t="shared" si="12"/>
        <v>100</v>
      </c>
      <c r="X30" s="1355"/>
      <c r="Y30" s="365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0"/>
      <c r="Q31" s="1352">
        <f t="shared" si="8"/>
        <v>111</v>
      </c>
      <c r="R31" s="705" t="s">
        <v>14</v>
      </c>
      <c r="S31" s="706">
        <f t="shared" si="10"/>
        <v>100</v>
      </c>
      <c r="T31" s="705" t="s">
        <v>14</v>
      </c>
      <c r="U31" s="706">
        <f t="shared" si="11"/>
        <v>100</v>
      </c>
      <c r="V31" s="705" t="s">
        <v>14</v>
      </c>
      <c r="W31" s="706">
        <f t="shared" si="12"/>
        <v>100</v>
      </c>
      <c r="X31" s="1355"/>
      <c r="Y31" s="365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51" t="s">
        <v>1696</v>
      </c>
      <c r="Q32" s="1352">
        <f t="shared" si="8"/>
        <v>111</v>
      </c>
      <c r="R32" s="705" t="s">
        <v>14</v>
      </c>
      <c r="S32" s="706">
        <f t="shared" si="10"/>
        <v>100</v>
      </c>
      <c r="T32" s="705" t="s">
        <v>14</v>
      </c>
      <c r="U32" s="706">
        <f t="shared" si="11"/>
        <v>100</v>
      </c>
      <c r="V32" s="705" t="s">
        <v>14</v>
      </c>
      <c r="W32" s="706">
        <f t="shared" si="12"/>
        <v>100</v>
      </c>
      <c r="X32" s="1355"/>
      <c r="Y32" s="365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2"/>
      <c r="Q33" s="1352">
        <f t="shared" si="8"/>
        <v>111</v>
      </c>
      <c r="R33" s="708" t="s">
        <v>14</v>
      </c>
      <c r="S33" s="709">
        <f t="shared" si="10"/>
        <v>100</v>
      </c>
      <c r="T33" s="708" t="s">
        <v>14</v>
      </c>
      <c r="U33" s="709">
        <f t="shared" si="11"/>
        <v>100</v>
      </c>
      <c r="V33" s="708" t="s">
        <v>14</v>
      </c>
      <c r="W33" s="709">
        <f t="shared" si="12"/>
        <v>100</v>
      </c>
      <c r="X33" s="710"/>
      <c r="Y33" s="365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2"/>
      <c r="Q34" s="1352" t="str">
        <f>B34</f>
        <v>宗地面积</v>
      </c>
      <c r="R34" s="705" t="s">
        <v>14</v>
      </c>
      <c r="S34" s="706" t="e">
        <f t="shared" si="10"/>
        <v>#N/A</v>
      </c>
      <c r="T34" s="705" t="s">
        <v>14</v>
      </c>
      <c r="U34" s="706" t="e">
        <f t="shared" si="11"/>
        <v>#N/A</v>
      </c>
      <c r="V34" s="705" t="s">
        <v>14</v>
      </c>
      <c r="W34" s="706" t="e">
        <f t="shared" si="12"/>
        <v>#N/A</v>
      </c>
      <c r="X34" s="1355"/>
      <c r="Y34" s="365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52"/>
      <c r="Q35" s="1352" t="str">
        <f t="shared" ref="Q35:Q40" si="14">B35</f>
        <v>宗地形状</v>
      </c>
      <c r="R35" s="705" t="s">
        <v>14</v>
      </c>
      <c r="S35" s="706">
        <f t="shared" si="10"/>
        <v>100</v>
      </c>
      <c r="T35" s="705" t="s">
        <v>14</v>
      </c>
      <c r="U35" s="706">
        <f t="shared" si="11"/>
        <v>100</v>
      </c>
      <c r="V35" s="705" t="s">
        <v>14</v>
      </c>
      <c r="W35" s="706">
        <f t="shared" si="12"/>
        <v>100</v>
      </c>
      <c r="X35" s="1355"/>
      <c r="Y35" s="365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52"/>
      <c r="Q36" s="1352" t="str">
        <f t="shared" si="14"/>
        <v>宗地开发程度</v>
      </c>
      <c r="R36" s="701" t="s">
        <v>14</v>
      </c>
      <c r="S36" s="702">
        <f t="shared" si="10"/>
        <v>100</v>
      </c>
      <c r="T36" s="701" t="s">
        <v>14</v>
      </c>
      <c r="U36" s="702">
        <f t="shared" si="11"/>
        <v>100</v>
      </c>
      <c r="V36" s="701" t="s">
        <v>14</v>
      </c>
      <c r="W36" s="702">
        <f t="shared" si="12"/>
        <v>100</v>
      </c>
      <c r="X36" s="703"/>
      <c r="Y36" s="365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52" t="s">
        <v>1696</v>
      </c>
      <c r="Q37" s="1352" t="str">
        <f t="shared" si="14"/>
        <v>工程地质条件</v>
      </c>
      <c r="R37" s="705" t="s">
        <v>14</v>
      </c>
      <c r="S37" s="706">
        <f t="shared" si="10"/>
        <v>100</v>
      </c>
      <c r="T37" s="705" t="s">
        <v>14</v>
      </c>
      <c r="U37" s="706">
        <f t="shared" si="11"/>
        <v>100</v>
      </c>
      <c r="V37" s="705" t="s">
        <v>14</v>
      </c>
      <c r="W37" s="706">
        <f t="shared" si="12"/>
        <v>100</v>
      </c>
      <c r="X37" s="1355"/>
      <c r="Y37" s="365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2"/>
      <c r="Q38" s="1352">
        <f t="shared" si="14"/>
        <v>111</v>
      </c>
      <c r="R38" s="705" t="s">
        <v>14</v>
      </c>
      <c r="S38" s="706">
        <f t="shared" si="10"/>
        <v>100</v>
      </c>
      <c r="T38" s="705" t="s">
        <v>14</v>
      </c>
      <c r="U38" s="706">
        <f t="shared" si="11"/>
        <v>100</v>
      </c>
      <c r="V38" s="705" t="s">
        <v>14</v>
      </c>
      <c r="W38" s="706">
        <f t="shared" si="12"/>
        <v>100</v>
      </c>
      <c r="X38" s="1355"/>
      <c r="Y38" s="36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2"/>
      <c r="Q39" s="1352">
        <f t="shared" si="14"/>
        <v>111</v>
      </c>
      <c r="R39" s="705" t="s">
        <v>14</v>
      </c>
      <c r="S39" s="706">
        <f t="shared" si="10"/>
        <v>100</v>
      </c>
      <c r="T39" s="705" t="s">
        <v>14</v>
      </c>
      <c r="U39" s="706">
        <f t="shared" si="11"/>
        <v>100</v>
      </c>
      <c r="V39" s="705" t="s">
        <v>14</v>
      </c>
      <c r="W39" s="706">
        <f t="shared" si="12"/>
        <v>100</v>
      </c>
      <c r="X39" s="1355"/>
      <c r="Y39" s="365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2"/>
      <c r="Q40" s="1352">
        <f t="shared" si="14"/>
        <v>111</v>
      </c>
      <c r="R40" s="708" t="s">
        <v>14</v>
      </c>
      <c r="S40" s="709">
        <f t="shared" si="10"/>
        <v>100</v>
      </c>
      <c r="T40" s="708" t="s">
        <v>14</v>
      </c>
      <c r="U40" s="709">
        <f t="shared" si="11"/>
        <v>100</v>
      </c>
      <c r="V40" s="708" t="s">
        <v>14</v>
      </c>
      <c r="W40" s="709">
        <f t="shared" si="12"/>
        <v>100</v>
      </c>
      <c r="X40" s="710"/>
      <c r="Y40" s="365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44" t="str">
        <f>A41</f>
        <v>成交单价</v>
      </c>
      <c r="Q41" s="3644"/>
      <c r="R41" s="3672">
        <f>E41</f>
        <v>0</v>
      </c>
      <c r="S41" s="3672"/>
      <c r="T41" s="3672">
        <f>G41</f>
        <v>0</v>
      </c>
      <c r="U41" s="3672"/>
      <c r="V41" s="3672">
        <f>I41</f>
        <v>0</v>
      </c>
      <c r="W41" s="367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44" t="str">
        <f>A42</f>
        <v>比较价值（元/平方米）</v>
      </c>
      <c r="Q42" s="3644"/>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46" t="str">
        <f>A43</f>
        <v>估价对象XX用房的比较价值（楼面单价，元/平方米）</v>
      </c>
      <c r="Q43" s="3647"/>
      <c r="R43" s="3755" t="e">
        <f>ROUND(IF(D42="简单平均",AVERAGE(R42:W42),R42*F42+T42*H42+V42*J42),0)</f>
        <v>#DIV/0!</v>
      </c>
      <c r="S43" s="3755"/>
      <c r="T43" s="3755"/>
      <c r="U43" s="3755"/>
      <c r="V43" s="3755"/>
      <c r="W43" s="375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56" t="s">
        <v>1887</v>
      </c>
      <c r="H50" s="375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37"/>
      <c r="H51" s="364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29.35</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4" t="s">
        <v>2084</v>
      </c>
      <c r="D1" s="3765"/>
      <c r="E1" s="3765"/>
      <c r="F1" s="3765"/>
      <c r="G1" s="3765"/>
      <c r="H1" s="3765"/>
      <c r="I1" s="3765"/>
      <c r="J1" s="3765"/>
      <c r="K1" s="3765"/>
      <c r="L1" s="3765"/>
      <c r="M1" s="3765"/>
      <c r="N1" s="3765"/>
      <c r="O1" s="3765"/>
      <c r="P1" s="3765"/>
      <c r="Q1" s="3765"/>
      <c r="R1" s="3765"/>
      <c r="S1" s="376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29.35</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29.35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24:Q26"/>
  <sheetViews>
    <sheetView topLeftCell="A101" workbookViewId="0">
      <selection activeCell="Q26" sqref="Q26"/>
    </sheetView>
  </sheetViews>
  <sheetFormatPr defaultRowHeight="13.5"/>
  <sheetData>
    <row r="24" spans="17:17">
      <c r="Q24">
        <v>36</v>
      </c>
    </row>
    <row r="25" spans="17:17">
      <c r="Q25">
        <f>60/Q24</f>
        <v>1.6666666666666667</v>
      </c>
    </row>
    <row r="26" spans="17:17">
      <c r="Q26">
        <f>(60-Q24)/Q24</f>
        <v>0.66666666666666663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6" t="s">
        <v>2608</v>
      </c>
      <c r="B20" s="3771" t="s">
        <v>2629</v>
      </c>
      <c r="C20" s="3101" t="s">
        <v>2440</v>
      </c>
      <c r="D20" s="3102"/>
      <c r="E20" s="3103">
        <v>1</v>
      </c>
      <c r="F20" s="3104" t="s">
        <v>2441</v>
      </c>
      <c r="G20" s="3104"/>
    </row>
    <row r="21" spans="1:13" ht="19.5" customHeight="1">
      <c r="A21" s="3777"/>
      <c r="B21" s="3770"/>
      <c r="C21" s="3105" t="s">
        <v>2442</v>
      </c>
      <c r="D21" s="3106"/>
      <c r="E21" s="3107">
        <v>1</v>
      </c>
      <c r="F21" s="3104" t="s">
        <v>2443</v>
      </c>
      <c r="G21" s="3104"/>
    </row>
    <row r="22" spans="1:13" ht="19.5" customHeight="1">
      <c r="A22" s="3777"/>
      <c r="B22" s="3770"/>
      <c r="C22" s="3105" t="s">
        <v>2444</v>
      </c>
      <c r="D22" s="3106"/>
      <c r="E22" s="3107">
        <v>0.9</v>
      </c>
      <c r="F22" s="3104" t="s">
        <v>2445</v>
      </c>
      <c r="G22" s="3104"/>
    </row>
    <row r="23" spans="1:13" ht="19.5" customHeight="1">
      <c r="A23" s="3777"/>
      <c r="B23" s="3770"/>
      <c r="C23" s="3105" t="s">
        <v>2446</v>
      </c>
      <c r="D23" s="3106"/>
      <c r="E23" s="3107">
        <v>0.9</v>
      </c>
      <c r="F23" s="3104" t="s">
        <v>2447</v>
      </c>
      <c r="G23" s="3104"/>
    </row>
    <row r="24" spans="1:13" ht="19.5" customHeight="1">
      <c r="A24" s="3777"/>
      <c r="B24" s="3770"/>
      <c r="C24" s="3105" t="s">
        <v>2448</v>
      </c>
      <c r="D24" s="3106"/>
      <c r="E24" s="3107">
        <v>0.8</v>
      </c>
      <c r="F24" s="3104" t="s">
        <v>2449</v>
      </c>
      <c r="G24" s="3104"/>
    </row>
    <row r="25" spans="1:13" ht="19.5" customHeight="1" thickBot="1">
      <c r="A25" s="3778"/>
      <c r="B25" s="3772"/>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3" t="s">
        <v>2632</v>
      </c>
      <c r="B27" s="3771" t="s">
        <v>2613</v>
      </c>
      <c r="C27" s="3101" t="s">
        <v>2453</v>
      </c>
      <c r="D27" s="3102"/>
      <c r="E27" s="3103">
        <v>1</v>
      </c>
      <c r="F27" s="3104" t="s">
        <v>2454</v>
      </c>
      <c r="G27" s="3104"/>
    </row>
    <row r="28" spans="1:13" ht="19.5" customHeight="1">
      <c r="A28" s="3774"/>
      <c r="B28" s="3770"/>
      <c r="C28" s="3105" t="s">
        <v>2455</v>
      </c>
      <c r="D28" s="3106"/>
      <c r="E28" s="3107">
        <v>1</v>
      </c>
      <c r="F28" s="3104" t="s">
        <v>2456</v>
      </c>
      <c r="G28" s="3104"/>
    </row>
    <row r="29" spans="1:13" ht="19.5" customHeight="1">
      <c r="A29" s="3774"/>
      <c r="B29" s="3770"/>
      <c r="C29" s="3105" t="s">
        <v>2457</v>
      </c>
      <c r="D29" s="3106"/>
      <c r="E29" s="3107">
        <v>0.8</v>
      </c>
      <c r="F29" s="3104" t="s">
        <v>2458</v>
      </c>
      <c r="G29" s="3104"/>
    </row>
    <row r="30" spans="1:13" ht="19.5" customHeight="1">
      <c r="A30" s="3774"/>
      <c r="B30" s="3770"/>
      <c r="C30" s="3105" t="s">
        <v>2459</v>
      </c>
      <c r="D30" s="3106"/>
      <c r="E30" s="3107">
        <v>0.8</v>
      </c>
      <c r="F30" s="3104" t="s">
        <v>2460</v>
      </c>
      <c r="G30" s="3104"/>
    </row>
    <row r="31" spans="1:13" ht="19.5" customHeight="1">
      <c r="A31" s="3774"/>
      <c r="B31" s="3770"/>
      <c r="C31" s="3105" t="s">
        <v>2461</v>
      </c>
      <c r="D31" s="3106"/>
      <c r="E31" s="3107">
        <v>0.8</v>
      </c>
      <c r="F31" s="3104" t="s">
        <v>2462</v>
      </c>
      <c r="G31" s="3104"/>
    </row>
    <row r="32" spans="1:13" ht="19.5" customHeight="1">
      <c r="A32" s="3774"/>
      <c r="B32" s="3770"/>
      <c r="C32" s="3105" t="s">
        <v>2463</v>
      </c>
      <c r="D32" s="3106"/>
      <c r="E32" s="3107">
        <v>0.7</v>
      </c>
      <c r="F32" s="3104" t="s">
        <v>2464</v>
      </c>
      <c r="G32" s="3104"/>
    </row>
    <row r="33" spans="1:7" ht="19.5" customHeight="1">
      <c r="A33" s="3774"/>
      <c r="B33" s="3770"/>
      <c r="C33" s="3105" t="s">
        <v>2465</v>
      </c>
      <c r="D33" s="3106"/>
      <c r="E33" s="3107">
        <v>0.8</v>
      </c>
      <c r="F33" s="3104" t="s">
        <v>2466</v>
      </c>
      <c r="G33" s="3104"/>
    </row>
    <row r="34" spans="1:7" ht="19.5" customHeight="1">
      <c r="A34" s="3774"/>
      <c r="B34" s="3770"/>
      <c r="C34" s="3105" t="s">
        <v>2467</v>
      </c>
      <c r="D34" s="3106"/>
      <c r="E34" s="3107">
        <v>0.6</v>
      </c>
      <c r="F34" s="3104" t="s">
        <v>2468</v>
      </c>
      <c r="G34" s="3104"/>
    </row>
    <row r="35" spans="1:7" ht="19.5" customHeight="1">
      <c r="A35" s="3774"/>
      <c r="B35" s="3770"/>
      <c r="C35" s="3105" t="s">
        <v>2469</v>
      </c>
      <c r="D35" s="3106"/>
      <c r="E35" s="3107">
        <v>0.2</v>
      </c>
      <c r="F35" s="3104" t="s">
        <v>2470</v>
      </c>
      <c r="G35" s="3104"/>
    </row>
    <row r="36" spans="1:7" ht="19.5" customHeight="1">
      <c r="A36" s="3774"/>
      <c r="B36" s="3770"/>
      <c r="C36" s="3105" t="s">
        <v>2471</v>
      </c>
      <c r="D36" s="3106"/>
      <c r="E36" s="3107">
        <v>0.2</v>
      </c>
      <c r="F36" s="3104" t="s">
        <v>2472</v>
      </c>
      <c r="G36" s="3104"/>
    </row>
    <row r="37" spans="1:7" ht="19.5" customHeight="1">
      <c r="A37" s="3774"/>
      <c r="B37" s="3768" t="s">
        <v>2633</v>
      </c>
      <c r="C37" s="3105" t="s">
        <v>2473</v>
      </c>
      <c r="D37" s="3106"/>
      <c r="E37" s="3107">
        <v>0.6</v>
      </c>
      <c r="F37" s="3104" t="s">
        <v>2474</v>
      </c>
      <c r="G37" s="3104"/>
    </row>
    <row r="38" spans="1:7" ht="19.5" customHeight="1">
      <c r="A38" s="3774"/>
      <c r="B38" s="3770"/>
      <c r="C38" s="3105" t="s">
        <v>2475</v>
      </c>
      <c r="D38" s="3106"/>
      <c r="E38" s="3107">
        <v>0.6</v>
      </c>
      <c r="F38" s="3104" t="s">
        <v>2476</v>
      </c>
      <c r="G38" s="3104"/>
    </row>
    <row r="39" spans="1:7" ht="19.5" customHeight="1" thickBot="1">
      <c r="A39" s="3775"/>
      <c r="B39" s="3772"/>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6" t="s">
        <v>2611</v>
      </c>
      <c r="B41" s="3771" t="s">
        <v>2635</v>
      </c>
      <c r="C41" s="3101" t="s">
        <v>2480</v>
      </c>
      <c r="D41" s="3102"/>
      <c r="E41" s="3103">
        <v>1</v>
      </c>
      <c r="F41" s="3104" t="s">
        <v>2481</v>
      </c>
      <c r="G41" s="3104"/>
    </row>
    <row r="42" spans="1:7" ht="19.5" customHeight="1">
      <c r="A42" s="3777"/>
      <c r="B42" s="3770"/>
      <c r="C42" s="3105" t="s">
        <v>2482</v>
      </c>
      <c r="D42" s="3106"/>
      <c r="E42" s="3107">
        <v>1</v>
      </c>
      <c r="F42" s="3104" t="s">
        <v>2483</v>
      </c>
      <c r="G42" s="3104"/>
    </row>
    <row r="43" spans="1:7" ht="19.5" customHeight="1">
      <c r="A43" s="3777"/>
      <c r="B43" s="3769"/>
      <c r="C43" s="3105" t="s">
        <v>2484</v>
      </c>
      <c r="D43" s="3106"/>
      <c r="E43" s="3107">
        <v>1.5</v>
      </c>
      <c r="F43" s="3104" t="s">
        <v>2485</v>
      </c>
      <c r="G43" s="3104"/>
    </row>
    <row r="44" spans="1:7" ht="19.5" customHeight="1">
      <c r="A44" s="3777"/>
      <c r="B44" s="3116" t="s">
        <v>2636</v>
      </c>
      <c r="C44" s="3105" t="s">
        <v>2637</v>
      </c>
      <c r="D44" s="3106"/>
      <c r="E44" s="3107">
        <v>2</v>
      </c>
      <c r="F44" s="3104" t="s">
        <v>2486</v>
      </c>
      <c r="G44" s="3104"/>
    </row>
    <row r="45" spans="1:7" ht="19.5" customHeight="1">
      <c r="A45" s="3777"/>
      <c r="B45" s="3768" t="s">
        <v>2638</v>
      </c>
      <c r="C45" s="3105" t="s">
        <v>2487</v>
      </c>
      <c r="D45" s="3106"/>
      <c r="E45" s="3107">
        <v>1</v>
      </c>
      <c r="F45" s="3104" t="s">
        <v>2488</v>
      </c>
      <c r="G45" s="3104"/>
    </row>
    <row r="46" spans="1:7" ht="19.5" customHeight="1">
      <c r="A46" s="3777"/>
      <c r="B46" s="3770"/>
      <c r="C46" s="3105" t="s">
        <v>2489</v>
      </c>
      <c r="D46" s="3106"/>
      <c r="E46" s="3107">
        <v>1</v>
      </c>
      <c r="F46" s="3104" t="s">
        <v>2490</v>
      </c>
      <c r="G46" s="3104"/>
    </row>
    <row r="47" spans="1:7" ht="19.5" customHeight="1">
      <c r="A47" s="3777"/>
      <c r="B47" s="3770"/>
      <c r="C47" s="3105" t="s">
        <v>2491</v>
      </c>
      <c r="D47" s="3106"/>
      <c r="E47" s="3107">
        <v>1</v>
      </c>
      <c r="F47" s="3104" t="s">
        <v>2492</v>
      </c>
      <c r="G47" s="3104"/>
    </row>
    <row r="48" spans="1:7" ht="19.5" customHeight="1">
      <c r="A48" s="3777"/>
      <c r="B48" s="3770"/>
      <c r="C48" s="3105" t="s">
        <v>2493</v>
      </c>
      <c r="D48" s="3106"/>
      <c r="E48" s="3107">
        <v>1</v>
      </c>
      <c r="F48" s="3104" t="s">
        <v>2494</v>
      </c>
      <c r="G48" s="3104"/>
    </row>
    <row r="49" spans="1:7" ht="19.5" customHeight="1">
      <c r="A49" s="3777"/>
      <c r="B49" s="3770"/>
      <c r="C49" s="3105" t="s">
        <v>2495</v>
      </c>
      <c r="D49" s="3106"/>
      <c r="E49" s="3107">
        <v>1</v>
      </c>
      <c r="F49" s="3104" t="s">
        <v>2496</v>
      </c>
      <c r="G49" s="3104"/>
    </row>
    <row r="50" spans="1:7" ht="19.5" customHeight="1">
      <c r="A50" s="3777"/>
      <c r="B50" s="3770"/>
      <c r="C50" s="3105" t="s">
        <v>2497</v>
      </c>
      <c r="D50" s="3106"/>
      <c r="E50" s="3107">
        <v>1</v>
      </c>
      <c r="F50" s="3104" t="s">
        <v>2498</v>
      </c>
      <c r="G50" s="3104"/>
    </row>
    <row r="51" spans="1:7" ht="19.5" customHeight="1" thickBot="1">
      <c r="A51" s="3778"/>
      <c r="B51" s="3772"/>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68" t="s">
        <v>2652</v>
      </c>
      <c r="C73" s="3090" t="s">
        <v>2653</v>
      </c>
      <c r="D73" s="3090" t="s">
        <v>2654</v>
      </c>
      <c r="E73" s="3116">
        <v>0.2</v>
      </c>
      <c r="F73" s="3116">
        <v>25</v>
      </c>
    </row>
    <row r="74" spans="1:7" ht="24">
      <c r="A74" s="3116">
        <v>2</v>
      </c>
      <c r="B74" s="3770"/>
      <c r="C74" s="3090" t="s">
        <v>2655</v>
      </c>
      <c r="D74" s="3090" t="s">
        <v>2656</v>
      </c>
      <c r="E74" s="3116">
        <v>0.2</v>
      </c>
      <c r="F74" s="3116">
        <v>25</v>
      </c>
    </row>
    <row r="75" spans="1:7" ht="24">
      <c r="A75" s="3116">
        <v>3</v>
      </c>
      <c r="B75" s="3770"/>
      <c r="C75" s="3090" t="s">
        <v>2657</v>
      </c>
      <c r="D75" s="3090" t="s">
        <v>2658</v>
      </c>
      <c r="E75" s="3116">
        <v>0.2</v>
      </c>
      <c r="F75" s="3116">
        <v>25</v>
      </c>
    </row>
    <row r="76" spans="1:7" ht="13.5">
      <c r="A76" s="3116">
        <v>4</v>
      </c>
      <c r="B76" s="3770"/>
      <c r="C76" s="3090" t="s">
        <v>2659</v>
      </c>
      <c r="D76" s="3090" t="s">
        <v>2660</v>
      </c>
      <c r="E76" s="3116">
        <v>0.15</v>
      </c>
      <c r="F76" s="3116">
        <v>20</v>
      </c>
    </row>
    <row r="77" spans="1:7" ht="24">
      <c r="A77" s="3116">
        <v>5</v>
      </c>
      <c r="B77" s="3770"/>
      <c r="C77" s="3090" t="s">
        <v>2661</v>
      </c>
      <c r="D77" s="3090" t="s">
        <v>2662</v>
      </c>
      <c r="E77" s="3116">
        <v>0.15</v>
      </c>
      <c r="F77" s="3116">
        <v>20</v>
      </c>
    </row>
    <row r="78" spans="1:7" ht="24">
      <c r="A78" s="3116">
        <v>6</v>
      </c>
      <c r="B78" s="3770"/>
      <c r="C78" s="3090" t="s">
        <v>2663</v>
      </c>
      <c r="D78" s="3090" t="s">
        <v>2664</v>
      </c>
      <c r="E78" s="3116">
        <v>0.15</v>
      </c>
      <c r="F78" s="3116">
        <v>20</v>
      </c>
    </row>
    <row r="79" spans="1:7" ht="24">
      <c r="A79" s="3116">
        <v>7</v>
      </c>
      <c r="B79" s="3770"/>
      <c r="C79" s="3090" t="s">
        <v>2665</v>
      </c>
      <c r="D79" s="3090" t="s">
        <v>2666</v>
      </c>
      <c r="E79" s="3116">
        <v>0.15</v>
      </c>
      <c r="F79" s="3116">
        <v>20</v>
      </c>
    </row>
    <row r="80" spans="1:7" ht="24">
      <c r="A80" s="3116">
        <v>8</v>
      </c>
      <c r="B80" s="3770"/>
      <c r="C80" s="3090" t="s">
        <v>2667</v>
      </c>
      <c r="D80" s="3090" t="s">
        <v>2668</v>
      </c>
      <c r="E80" s="3116">
        <v>0.1</v>
      </c>
      <c r="F80" s="3116">
        <v>15</v>
      </c>
    </row>
    <row r="81" spans="1:6" ht="24">
      <c r="A81" s="3116">
        <v>9</v>
      </c>
      <c r="B81" s="3770"/>
      <c r="C81" s="3090" t="s">
        <v>2669</v>
      </c>
      <c r="D81" s="3090" t="s">
        <v>2670</v>
      </c>
      <c r="E81" s="3116">
        <v>0.1</v>
      </c>
      <c r="F81" s="3116">
        <v>15</v>
      </c>
    </row>
    <row r="82" spans="1:6" ht="24">
      <c r="A82" s="3116">
        <v>10</v>
      </c>
      <c r="B82" s="3770"/>
      <c r="C82" s="3090" t="s">
        <v>2671</v>
      </c>
      <c r="D82" s="3090" t="s">
        <v>2672</v>
      </c>
      <c r="E82" s="3116">
        <v>0.1</v>
      </c>
      <c r="F82" s="3116">
        <v>15</v>
      </c>
    </row>
    <row r="83" spans="1:6" ht="24">
      <c r="A83" s="3116">
        <v>11</v>
      </c>
      <c r="B83" s="3770"/>
      <c r="C83" s="3090" t="s">
        <v>2673</v>
      </c>
      <c r="D83" s="3090" t="s">
        <v>2674</v>
      </c>
      <c r="E83" s="3116">
        <v>0.1</v>
      </c>
      <c r="F83" s="3116">
        <v>15</v>
      </c>
    </row>
    <row r="84" spans="1:6" ht="24">
      <c r="A84" s="3116">
        <v>12</v>
      </c>
      <c r="B84" s="3770"/>
      <c r="C84" s="3090" t="s">
        <v>2675</v>
      </c>
      <c r="D84" s="3090" t="s">
        <v>2676</v>
      </c>
      <c r="E84" s="3116">
        <v>0.1</v>
      </c>
      <c r="F84" s="3116">
        <v>15</v>
      </c>
    </row>
    <row r="85" spans="1:6" ht="13.5">
      <c r="A85" s="3116">
        <v>13</v>
      </c>
      <c r="B85" s="3770"/>
      <c r="C85" s="3090" t="s">
        <v>2677</v>
      </c>
      <c r="D85" s="3090" t="s">
        <v>2678</v>
      </c>
      <c r="E85" s="3116">
        <v>0.1</v>
      </c>
      <c r="F85" s="3116">
        <v>15</v>
      </c>
    </row>
    <row r="86" spans="1:6" ht="13.5">
      <c r="A86" s="3116">
        <v>14</v>
      </c>
      <c r="B86" s="3770"/>
      <c r="C86" s="3090" t="s">
        <v>2679</v>
      </c>
      <c r="D86" s="3090" t="s">
        <v>2680</v>
      </c>
      <c r="E86" s="3116">
        <v>0.1</v>
      </c>
      <c r="F86" s="3116">
        <v>15</v>
      </c>
    </row>
    <row r="87" spans="1:6" ht="13.5">
      <c r="A87" s="3116">
        <v>15</v>
      </c>
      <c r="B87" s="3770"/>
      <c r="C87" s="3090" t="s">
        <v>2681</v>
      </c>
      <c r="D87" s="3090" t="s">
        <v>2682</v>
      </c>
      <c r="E87" s="3116">
        <v>0.1</v>
      </c>
      <c r="F87" s="3116">
        <v>15</v>
      </c>
    </row>
    <row r="88" spans="1:6" ht="24">
      <c r="A88" s="3116">
        <v>16</v>
      </c>
      <c r="B88" s="3770"/>
      <c r="C88" s="3090" t="s">
        <v>2683</v>
      </c>
      <c r="D88" s="3090" t="s">
        <v>2684</v>
      </c>
      <c r="E88" s="3116">
        <v>0.1</v>
      </c>
      <c r="F88" s="3116">
        <v>15</v>
      </c>
    </row>
    <row r="89" spans="1:6" ht="24">
      <c r="A89" s="3116">
        <v>17</v>
      </c>
      <c r="B89" s="3769"/>
      <c r="C89" s="3090" t="s">
        <v>2685</v>
      </c>
      <c r="D89" s="3090" t="s">
        <v>2686</v>
      </c>
      <c r="E89" s="3116">
        <v>0.1</v>
      </c>
      <c r="F89" s="3116">
        <v>15</v>
      </c>
    </row>
    <row r="90" spans="1:6" ht="13.5">
      <c r="A90" s="3116">
        <v>18</v>
      </c>
      <c r="B90" s="3768" t="s">
        <v>2687</v>
      </c>
      <c r="C90" s="3090" t="s">
        <v>2688</v>
      </c>
      <c r="D90" s="3090" t="s">
        <v>2689</v>
      </c>
      <c r="E90" s="3116">
        <v>0.2</v>
      </c>
      <c r="F90" s="3116">
        <v>25</v>
      </c>
    </row>
    <row r="91" spans="1:6" ht="24">
      <c r="A91" s="3116">
        <v>19</v>
      </c>
      <c r="B91" s="3770"/>
      <c r="C91" s="3090" t="s">
        <v>2690</v>
      </c>
      <c r="D91" s="3090" t="s">
        <v>2691</v>
      </c>
      <c r="E91" s="3116">
        <v>0.2</v>
      </c>
      <c r="F91" s="3116">
        <v>25</v>
      </c>
    </row>
    <row r="92" spans="1:6" ht="13.5">
      <c r="A92" s="3116">
        <v>20</v>
      </c>
      <c r="B92" s="3770"/>
      <c r="C92" s="3090" t="s">
        <v>2692</v>
      </c>
      <c r="D92" s="3090" t="s">
        <v>2693</v>
      </c>
      <c r="E92" s="3116">
        <v>0.15</v>
      </c>
      <c r="F92" s="3116">
        <v>20</v>
      </c>
    </row>
    <row r="93" spans="1:6" ht="13.5">
      <c r="A93" s="3116">
        <v>21</v>
      </c>
      <c r="B93" s="3770"/>
      <c r="C93" s="3090" t="s">
        <v>2694</v>
      </c>
      <c r="D93" s="3090" t="s">
        <v>2695</v>
      </c>
      <c r="E93" s="3116">
        <v>0.15</v>
      </c>
      <c r="F93" s="3116">
        <v>20</v>
      </c>
    </row>
    <row r="94" spans="1:6" ht="13.5">
      <c r="A94" s="3116">
        <v>22</v>
      </c>
      <c r="B94" s="3770"/>
      <c r="C94" s="3090" t="s">
        <v>2696</v>
      </c>
      <c r="D94" s="3090" t="s">
        <v>2697</v>
      </c>
      <c r="E94" s="3116">
        <v>0.15</v>
      </c>
      <c r="F94" s="3116">
        <v>20</v>
      </c>
    </row>
    <row r="95" spans="1:6" ht="36">
      <c r="A95" s="3116">
        <v>23</v>
      </c>
      <c r="B95" s="3770"/>
      <c r="C95" s="3090" t="s">
        <v>2698</v>
      </c>
      <c r="D95" s="3090" t="s">
        <v>2699</v>
      </c>
      <c r="E95" s="3116">
        <v>0.15</v>
      </c>
      <c r="F95" s="3116">
        <v>20</v>
      </c>
    </row>
    <row r="96" spans="1:6" ht="13.5">
      <c r="A96" s="3116">
        <v>24</v>
      </c>
      <c r="B96" s="3770"/>
      <c r="C96" s="3090" t="s">
        <v>2700</v>
      </c>
      <c r="D96" s="3090" t="s">
        <v>2701</v>
      </c>
      <c r="E96" s="3116">
        <v>0.1</v>
      </c>
      <c r="F96" s="3116">
        <v>15</v>
      </c>
    </row>
    <row r="97" spans="1:6" ht="13.5">
      <c r="A97" s="3116">
        <v>25</v>
      </c>
      <c r="B97" s="3770"/>
      <c r="C97" s="3090" t="s">
        <v>2702</v>
      </c>
      <c r="D97" s="3090" t="s">
        <v>2703</v>
      </c>
      <c r="E97" s="3116">
        <v>0.1</v>
      </c>
      <c r="F97" s="3116">
        <v>15</v>
      </c>
    </row>
    <row r="98" spans="1:6" ht="24">
      <c r="A98" s="3116">
        <v>26</v>
      </c>
      <c r="B98" s="3770"/>
      <c r="C98" s="3090" t="s">
        <v>2704</v>
      </c>
      <c r="D98" s="3090" t="s">
        <v>2705</v>
      </c>
      <c r="E98" s="3116">
        <v>0.1</v>
      </c>
      <c r="F98" s="3116">
        <v>15</v>
      </c>
    </row>
    <row r="99" spans="1:6" ht="24">
      <c r="A99" s="3116">
        <v>27</v>
      </c>
      <c r="B99" s="3770"/>
      <c r="C99" s="3090" t="s">
        <v>2706</v>
      </c>
      <c r="D99" s="3090" t="s">
        <v>2707</v>
      </c>
      <c r="E99" s="3116">
        <v>0.1</v>
      </c>
      <c r="F99" s="3116">
        <v>15</v>
      </c>
    </row>
    <row r="100" spans="1:6" ht="13.5">
      <c r="A100" s="3116">
        <v>28</v>
      </c>
      <c r="B100" s="3770"/>
      <c r="C100" s="3090" t="s">
        <v>2708</v>
      </c>
      <c r="D100" s="3090" t="s">
        <v>2709</v>
      </c>
      <c r="E100" s="3116">
        <v>0.1</v>
      </c>
      <c r="F100" s="3116">
        <v>15</v>
      </c>
    </row>
    <row r="101" spans="1:6" ht="13.5">
      <c r="A101" s="3116">
        <v>29</v>
      </c>
      <c r="B101" s="3770"/>
      <c r="C101" s="3090" t="s">
        <v>2710</v>
      </c>
      <c r="D101" s="3090" t="s">
        <v>2711</v>
      </c>
      <c r="E101" s="3116">
        <v>0.1</v>
      </c>
      <c r="F101" s="3116">
        <v>15</v>
      </c>
    </row>
    <row r="102" spans="1:6" ht="13.5">
      <c r="A102" s="3116">
        <v>30</v>
      </c>
      <c r="B102" s="3770"/>
      <c r="C102" s="3090" t="s">
        <v>2712</v>
      </c>
      <c r="D102" s="3090" t="s">
        <v>2713</v>
      </c>
      <c r="E102" s="3116">
        <v>0.1</v>
      </c>
      <c r="F102" s="3116">
        <v>15</v>
      </c>
    </row>
    <row r="103" spans="1:6" ht="24">
      <c r="A103" s="3116">
        <v>31</v>
      </c>
      <c r="B103" s="3770"/>
      <c r="C103" s="3090" t="s">
        <v>2714</v>
      </c>
      <c r="D103" s="3090" t="s">
        <v>2715</v>
      </c>
      <c r="E103" s="3116">
        <v>0.1</v>
      </c>
      <c r="F103" s="3116">
        <v>15</v>
      </c>
    </row>
    <row r="104" spans="1:6" ht="24">
      <c r="A104" s="3116">
        <v>32</v>
      </c>
      <c r="B104" s="3770"/>
      <c r="C104" s="3090" t="s">
        <v>2716</v>
      </c>
      <c r="D104" s="3090" t="s">
        <v>2717</v>
      </c>
      <c r="E104" s="3116">
        <v>0.1</v>
      </c>
      <c r="F104" s="3116">
        <v>15</v>
      </c>
    </row>
    <row r="105" spans="1:6" ht="24">
      <c r="A105" s="3116">
        <v>33</v>
      </c>
      <c r="B105" s="3770"/>
      <c r="C105" s="3090" t="s">
        <v>2718</v>
      </c>
      <c r="D105" s="3090" t="s">
        <v>2719</v>
      </c>
      <c r="E105" s="3116">
        <v>0.1</v>
      </c>
      <c r="F105" s="3116">
        <v>15</v>
      </c>
    </row>
    <row r="106" spans="1:6" ht="24">
      <c r="A106" s="3116">
        <v>34</v>
      </c>
      <c r="B106" s="3769"/>
      <c r="C106" s="3090" t="s">
        <v>2720</v>
      </c>
      <c r="D106" s="3090" t="s">
        <v>2721</v>
      </c>
      <c r="E106" s="3116">
        <v>0.1</v>
      </c>
      <c r="F106" s="3116">
        <v>15</v>
      </c>
    </row>
    <row r="107" spans="1:6" ht="24">
      <c r="A107" s="3116">
        <v>35</v>
      </c>
      <c r="B107" s="3768" t="s">
        <v>2722</v>
      </c>
      <c r="C107" s="3116" t="s">
        <v>2723</v>
      </c>
      <c r="D107" s="3090" t="s">
        <v>2724</v>
      </c>
      <c r="E107" s="3116">
        <v>0.15</v>
      </c>
      <c r="F107" s="3116">
        <v>20</v>
      </c>
    </row>
    <row r="108" spans="1:6" ht="13.5">
      <c r="A108" s="3116">
        <v>36</v>
      </c>
      <c r="B108" s="3770"/>
      <c r="C108" s="3116" t="s">
        <v>2725</v>
      </c>
      <c r="D108" s="3090" t="s">
        <v>2726</v>
      </c>
      <c r="E108" s="3116">
        <v>0.15</v>
      </c>
      <c r="F108" s="3116">
        <v>20</v>
      </c>
    </row>
    <row r="109" spans="1:6" ht="13.5">
      <c r="A109" s="3116">
        <v>37</v>
      </c>
      <c r="B109" s="3770"/>
      <c r="C109" s="3116" t="s">
        <v>2727</v>
      </c>
      <c r="D109" s="3090" t="s">
        <v>2728</v>
      </c>
      <c r="E109" s="3116">
        <v>0.15</v>
      </c>
      <c r="F109" s="3116">
        <v>20</v>
      </c>
    </row>
    <row r="110" spans="1:6" ht="13.5">
      <c r="A110" s="3116">
        <v>38</v>
      </c>
      <c r="B110" s="3770"/>
      <c r="C110" s="3116" t="s">
        <v>2729</v>
      </c>
      <c r="D110" s="3090" t="s">
        <v>2730</v>
      </c>
      <c r="E110" s="3116">
        <v>0.1</v>
      </c>
      <c r="F110" s="3116">
        <v>15</v>
      </c>
    </row>
    <row r="111" spans="1:6" ht="24">
      <c r="A111" s="3116">
        <v>39</v>
      </c>
      <c r="B111" s="3770"/>
      <c r="C111" s="3116" t="s">
        <v>2731</v>
      </c>
      <c r="D111" s="3090" t="s">
        <v>2732</v>
      </c>
      <c r="E111" s="3116">
        <v>0.1</v>
      </c>
      <c r="F111" s="3116">
        <v>15</v>
      </c>
    </row>
    <row r="112" spans="1:6" ht="24">
      <c r="A112" s="3116">
        <v>40</v>
      </c>
      <c r="B112" s="3769"/>
      <c r="C112" s="3116" t="s">
        <v>2733</v>
      </c>
      <c r="D112" s="3090" t="s">
        <v>2734</v>
      </c>
      <c r="E112" s="3116">
        <v>0.1</v>
      </c>
      <c r="F112" s="3116">
        <v>15</v>
      </c>
    </row>
    <row r="113" spans="1:6" ht="13.5">
      <c r="A113" s="3116">
        <v>41</v>
      </c>
      <c r="B113" s="3767" t="s">
        <v>2735</v>
      </c>
      <c r="C113" s="3116" t="s">
        <v>2736</v>
      </c>
      <c r="D113" s="3090" t="s">
        <v>2737</v>
      </c>
      <c r="E113" s="3116">
        <v>0.1</v>
      </c>
      <c r="F113" s="3116">
        <v>15</v>
      </c>
    </row>
    <row r="114" spans="1:6" ht="13.5">
      <c r="A114" s="3116">
        <v>42</v>
      </c>
      <c r="B114" s="3767"/>
      <c r="C114" s="3116" t="s">
        <v>2738</v>
      </c>
      <c r="D114" s="3090" t="s">
        <v>2739</v>
      </c>
      <c r="E114" s="3116">
        <v>0.1</v>
      </c>
      <c r="F114" s="3116">
        <v>15</v>
      </c>
    </row>
    <row r="115" spans="1:6" ht="24">
      <c r="A115" s="3116">
        <v>43</v>
      </c>
      <c r="B115" s="3767"/>
      <c r="C115" s="3116" t="s">
        <v>2740</v>
      </c>
      <c r="D115" s="3090" t="s">
        <v>2741</v>
      </c>
      <c r="E115" s="3116">
        <v>0.1</v>
      </c>
      <c r="F115" s="3116">
        <v>15</v>
      </c>
    </row>
    <row r="116" spans="1:6" ht="13.5">
      <c r="A116" s="3116">
        <v>44</v>
      </c>
      <c r="B116" s="3768" t="s">
        <v>2742</v>
      </c>
      <c r="C116" s="3116" t="s">
        <v>2743</v>
      </c>
      <c r="D116" s="3090" t="s">
        <v>2744</v>
      </c>
      <c r="E116" s="3116">
        <v>0.1</v>
      </c>
      <c r="F116" s="3116">
        <v>15</v>
      </c>
    </row>
    <row r="117" spans="1:6" ht="24">
      <c r="A117" s="3116">
        <v>45</v>
      </c>
      <c r="B117" s="3769"/>
      <c r="C117" s="3090" t="s">
        <v>2745</v>
      </c>
      <c r="D117" s="3090" t="s">
        <v>2746</v>
      </c>
      <c r="E117" s="3116">
        <v>0.1</v>
      </c>
      <c r="F117" s="3116">
        <v>15</v>
      </c>
    </row>
    <row r="118" spans="1:6" ht="24">
      <c r="A118" s="3116">
        <v>46</v>
      </c>
      <c r="B118" s="3768" t="s">
        <v>2747</v>
      </c>
      <c r="C118" s="3116" t="s">
        <v>2748</v>
      </c>
      <c r="D118" s="3090" t="s">
        <v>2749</v>
      </c>
      <c r="E118" s="3116">
        <v>0.1</v>
      </c>
      <c r="F118" s="3116">
        <v>15</v>
      </c>
    </row>
    <row r="119" spans="1:6" ht="24">
      <c r="A119" s="3116">
        <v>47</v>
      </c>
      <c r="B119" s="3769"/>
      <c r="C119" s="3116" t="s">
        <v>2750</v>
      </c>
      <c r="D119" s="3090" t="s">
        <v>2751</v>
      </c>
      <c r="E119" s="3116">
        <v>0.1</v>
      </c>
      <c r="F119" s="3116">
        <v>15</v>
      </c>
    </row>
    <row r="120" spans="1:6" ht="13.5">
      <c r="A120" s="3116">
        <v>48</v>
      </c>
      <c r="B120" s="3768" t="s">
        <v>2752</v>
      </c>
      <c r="C120" s="3116" t="s">
        <v>2753</v>
      </c>
      <c r="D120" s="3090" t="s">
        <v>2754</v>
      </c>
      <c r="E120" s="3116">
        <v>0.1</v>
      </c>
      <c r="F120" s="3116">
        <v>15</v>
      </c>
    </row>
    <row r="121" spans="1:6" ht="13.5">
      <c r="A121" s="3116">
        <v>49</v>
      </c>
      <c r="B121" s="3769"/>
      <c r="C121" s="3116" t="s">
        <v>2755</v>
      </c>
      <c r="D121" s="3090" t="s">
        <v>2756</v>
      </c>
      <c r="E121" s="3116">
        <v>0.1</v>
      </c>
      <c r="F121" s="3116">
        <v>15</v>
      </c>
    </row>
    <row r="122" spans="1:6" ht="24">
      <c r="A122" s="3116">
        <v>50</v>
      </c>
      <c r="B122" s="3767" t="s">
        <v>2757</v>
      </c>
      <c r="C122" s="3116" t="s">
        <v>2758</v>
      </c>
      <c r="D122" s="3090" t="s">
        <v>2759</v>
      </c>
      <c r="E122" s="3116">
        <v>0.1</v>
      </c>
      <c r="F122" s="3116">
        <v>15</v>
      </c>
    </row>
    <row r="123" spans="1:6" ht="24">
      <c r="A123" s="3116">
        <v>51</v>
      </c>
      <c r="B123" s="3767"/>
      <c r="C123" s="3116" t="s">
        <v>2760</v>
      </c>
      <c r="D123" s="3090" t="s">
        <v>2761</v>
      </c>
      <c r="E123" s="3116">
        <v>0.1</v>
      </c>
      <c r="F123" s="3116">
        <v>15</v>
      </c>
    </row>
    <row r="124" spans="1:6" ht="24">
      <c r="A124" s="3116">
        <v>52</v>
      </c>
      <c r="B124" s="3767" t="s">
        <v>2762</v>
      </c>
      <c r="C124" s="3116" t="s">
        <v>2763</v>
      </c>
      <c r="D124" s="3090" t="s">
        <v>2764</v>
      </c>
      <c r="E124" s="3116">
        <v>0.1</v>
      </c>
      <c r="F124" s="3116">
        <v>15</v>
      </c>
    </row>
    <row r="125" spans="1:6" ht="24">
      <c r="A125" s="3116">
        <v>53</v>
      </c>
      <c r="B125" s="3767"/>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67" t="s">
        <v>2770</v>
      </c>
      <c r="C127" s="3116" t="s">
        <v>2771</v>
      </c>
      <c r="D127" s="3090" t="s">
        <v>2772</v>
      </c>
      <c r="E127" s="3116">
        <v>0.1</v>
      </c>
      <c r="F127" s="3116">
        <v>15</v>
      </c>
    </row>
    <row r="128" spans="1:6" ht="13.5">
      <c r="A128" s="3116">
        <v>56</v>
      </c>
      <c r="B128" s="3767"/>
      <c r="C128" s="3116" t="s">
        <v>2773</v>
      </c>
      <c r="D128" s="3090" t="s">
        <v>2774</v>
      </c>
      <c r="E128" s="3116">
        <v>0.1</v>
      </c>
      <c r="F128" s="3116">
        <v>15</v>
      </c>
    </row>
    <row r="129" spans="1:6" ht="24">
      <c r="A129" s="3116">
        <v>57</v>
      </c>
      <c r="B129" s="3767"/>
      <c r="C129" s="3116" t="s">
        <v>2775</v>
      </c>
      <c r="D129" s="3090" t="s">
        <v>2776</v>
      </c>
      <c r="E129" s="3116">
        <v>0.1</v>
      </c>
      <c r="F129" s="3116">
        <v>15</v>
      </c>
    </row>
    <row r="130" spans="1:6" ht="24">
      <c r="A130" s="3116">
        <v>58</v>
      </c>
      <c r="B130" s="3767" t="s">
        <v>2777</v>
      </c>
      <c r="C130" s="3116" t="s">
        <v>2778</v>
      </c>
      <c r="D130" s="3090" t="s">
        <v>2779</v>
      </c>
      <c r="E130" s="3116">
        <v>0.1</v>
      </c>
      <c r="F130" s="3116">
        <v>15</v>
      </c>
    </row>
    <row r="131" spans="1:6" ht="13.5">
      <c r="A131" s="3116">
        <v>59</v>
      </c>
      <c r="B131" s="3767"/>
      <c r="C131" s="3116" t="s">
        <v>2780</v>
      </c>
      <c r="D131" s="3090" t="s">
        <v>2781</v>
      </c>
      <c r="E131" s="3116">
        <v>0.1</v>
      </c>
      <c r="F131" s="3116">
        <v>15</v>
      </c>
    </row>
    <row r="132" spans="1:6" ht="13.5">
      <c r="A132" s="3116">
        <v>60</v>
      </c>
      <c r="B132" s="3768" t="s">
        <v>2782</v>
      </c>
      <c r="C132" s="3116" t="s">
        <v>2783</v>
      </c>
      <c r="D132" s="3090" t="s">
        <v>2784</v>
      </c>
      <c r="E132" s="3116">
        <v>0.1</v>
      </c>
      <c r="F132" s="3116">
        <v>15</v>
      </c>
    </row>
    <row r="133" spans="1:6" ht="13.5">
      <c r="A133" s="3116">
        <v>61</v>
      </c>
      <c r="B133" s="3769"/>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67" t="s">
        <v>2790</v>
      </c>
      <c r="C135" s="3116" t="s">
        <v>2791</v>
      </c>
      <c r="D135" s="3090" t="s">
        <v>2792</v>
      </c>
      <c r="E135" s="3116">
        <v>0.1</v>
      </c>
      <c r="F135" s="3116">
        <v>15</v>
      </c>
    </row>
    <row r="136" spans="1:6" ht="13.5">
      <c r="A136" s="3116">
        <v>64</v>
      </c>
      <c r="B136" s="3767"/>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1.0638000000000001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1.0076000000000001</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493"/>
      <c r="B4" s="3462" t="s">
        <v>917</v>
      </c>
      <c r="C4" s="3462"/>
      <c r="D4" s="3462"/>
      <c r="E4" s="1493"/>
    </row>
    <row r="5" spans="1:5" ht="16.5" thickTop="1">
      <c r="A5" s="1491"/>
      <c r="B5" s="3460" t="s">
        <v>909</v>
      </c>
      <c r="C5" s="1494" t="s">
        <v>910</v>
      </c>
      <c r="D5" s="850" t="e">
        <f ca="1">结果表!H101</f>
        <v>#REF!</v>
      </c>
      <c r="E5" s="1491"/>
    </row>
    <row r="6" spans="1:5" ht="15.75">
      <c r="A6" s="1491"/>
      <c r="B6" s="3460"/>
      <c r="C6" s="1494" t="s">
        <v>911</v>
      </c>
      <c r="D6" s="850" t="e">
        <f ca="1">NUMBERSTRING(INT(D5*10000),2)&amp;"元整"</f>
        <v>#REF!</v>
      </c>
      <c r="E6" s="1491"/>
    </row>
    <row r="7" spans="1:5" ht="15.75">
      <c r="A7" s="1491"/>
      <c r="B7" s="3465"/>
      <c r="C7" s="1495" t="s">
        <v>912</v>
      </c>
      <c r="D7" s="851" t="e">
        <f ca="1">结果表!H102</f>
        <v>#REF!</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t="e">
        <f ca="1">结果表!H107</f>
        <v>#REF!</v>
      </c>
      <c r="E13" s="1491"/>
    </row>
    <row r="14" spans="1:5" ht="15.75">
      <c r="A14" s="1491"/>
      <c r="B14" s="3460"/>
      <c r="C14" s="1494" t="s">
        <v>911</v>
      </c>
      <c r="D14" s="850" t="e">
        <f ca="1">NUMBERSTRING(INT(D13*10000),2)&amp;"元整"</f>
        <v>#REF!</v>
      </c>
      <c r="E14" s="1491"/>
    </row>
    <row r="15" spans="1:5" ht="15">
      <c r="A15" s="1491"/>
      <c r="B15" s="3465"/>
      <c r="C15" s="1495" t="s">
        <v>921</v>
      </c>
      <c r="D15" s="859" t="e">
        <f ca="1">结果表!H108</f>
        <v>#REF!</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27236</v>
      </c>
      <c r="C2" s="2" t="s">
        <v>106</v>
      </c>
      <c r="D2" s="199"/>
      <c r="E2" s="199"/>
      <c r="F2" s="199"/>
      <c r="G2" s="199"/>
    </row>
    <row r="3" spans="1:7" s="200" customFormat="1" ht="18" customHeight="1" thickBot="1">
      <c r="A3" s="203" t="s">
        <v>58</v>
      </c>
      <c r="B3" s="204">
        <f ca="1">ROUND(B2*10000/'数据-汇总表'!E3,0)</f>
        <v>9279727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29.35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29.35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27227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29.35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1E-3</v>
      </c>
      <c r="D44" s="238"/>
      <c r="E44" s="238"/>
      <c r="F44" s="239"/>
      <c r="G44" s="3643"/>
    </row>
    <row r="45" spans="1:7" s="214" customFormat="1" ht="13.5" customHeight="1">
      <c r="A45" s="777" t="s">
        <v>341</v>
      </c>
      <c r="B45" s="244" t="s">
        <v>85</v>
      </c>
      <c r="C45" s="245">
        <f>C46</f>
        <v>1</v>
      </c>
      <c r="D45" s="235">
        <f>C47</f>
        <v>2E-3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v>
      </c>
      <c r="D49" s="232"/>
      <c r="E49" s="232"/>
      <c r="F49" s="264"/>
      <c r="G49" s="234" t="s">
        <v>435</v>
      </c>
    </row>
    <row r="50" spans="1:7" s="258" customFormat="1" ht="24">
      <c r="A50" s="777" t="s">
        <v>344</v>
      </c>
      <c r="B50" s="210" t="s">
        <v>97</v>
      </c>
      <c r="C50" s="232"/>
      <c r="D50" s="232"/>
      <c r="E50" s="232"/>
      <c r="F50" s="264">
        <f>IF('数据-取费表'!B24=0,'数据-取费表'!N16,1)</f>
        <v>0.71499999999999997</v>
      </c>
      <c r="G50" s="247" t="s">
        <v>98</v>
      </c>
    </row>
    <row r="51" spans="1:7" ht="16.5" customHeight="1">
      <c r="A51" s="777" t="s">
        <v>345</v>
      </c>
      <c r="B51" s="210" t="s">
        <v>105</v>
      </c>
      <c r="C51" s="232">
        <f ca="1">ROUND(C49*F50,0)</f>
        <v>9</v>
      </c>
      <c r="D51" s="232"/>
      <c r="E51" s="232"/>
      <c r="F51" s="264"/>
      <c r="G51" s="234" t="s">
        <v>37</v>
      </c>
    </row>
    <row r="52" spans="1:7" s="208" customFormat="1" ht="16.5" thickBot="1">
      <c r="A52" s="265" t="s">
        <v>38</v>
      </c>
      <c r="B52" s="266"/>
      <c r="C52" s="267">
        <f ca="1">C31+C51</f>
        <v>27236</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1" t="s">
        <v>2844</v>
      </c>
      <c r="B1" s="3781"/>
      <c r="C1" s="3781"/>
      <c r="D1" s="3781"/>
      <c r="E1" s="3781"/>
      <c r="F1" s="3781"/>
      <c r="G1" s="378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9"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8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3" t="s">
        <v>3186</v>
      </c>
      <c r="B1" s="3783"/>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4" t="s">
        <v>3237</v>
      </c>
      <c r="B1" s="3784"/>
      <c r="C1" s="3784"/>
      <c r="D1" s="3784"/>
      <c r="E1" s="3784"/>
      <c r="F1" s="3785"/>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45012</v>
      </c>
      <c r="B1" s="3208" t="s">
        <v>2843</v>
      </c>
      <c r="C1" s="3209"/>
      <c r="D1" s="3209"/>
      <c r="E1" s="3209"/>
      <c r="F1" s="3209"/>
      <c r="G1" s="3209"/>
      <c r="H1" s="3209"/>
      <c r="I1" s="3209"/>
      <c r="J1" s="3163"/>
      <c r="K1" s="3209" t="s">
        <v>454</v>
      </c>
      <c r="L1" s="3209"/>
      <c r="M1" s="3209"/>
      <c r="N1" s="3209"/>
      <c r="O1" s="3209"/>
      <c r="P1" s="3209"/>
      <c r="Q1" s="3163"/>
      <c r="R1" s="3786" t="s">
        <v>456</v>
      </c>
      <c r="S1" s="3787"/>
      <c r="T1" s="3787"/>
      <c r="U1" s="3787"/>
      <c r="V1" s="3787"/>
      <c r="W1" s="3787"/>
      <c r="X1" s="3163"/>
      <c r="Y1" s="3786" t="s">
        <v>457</v>
      </c>
      <c r="Z1" s="3787"/>
      <c r="AA1" s="3787"/>
      <c r="AB1" s="3787"/>
      <c r="AC1" s="3787"/>
      <c r="AD1" s="3787"/>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6" t="s">
        <v>2831</v>
      </c>
      <c r="S21" s="3787"/>
      <c r="T21" s="3787"/>
      <c r="U21" s="3787"/>
      <c r="V21" s="3787"/>
      <c r="W21" s="3787"/>
      <c r="X21" s="3163"/>
      <c r="Y21" s="3786" t="s">
        <v>2832</v>
      </c>
      <c r="Z21" s="3787"/>
      <c r="AA21" s="3787"/>
      <c r="AB21" s="3787"/>
      <c r="AC21" s="3787"/>
      <c r="AD21" s="378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29.35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1" t="str">
        <f>结果表!A120</f>
        <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
      </c>
      <c r="B8" s="3471"/>
      <c r="C8" s="3471"/>
      <c r="D8" s="3471" t="e">
        <f ca="1">结果表!D122</f>
        <v>#REF!</v>
      </c>
      <c r="E8" s="3471"/>
      <c r="F8" s="3471"/>
      <c r="G8" s="3471"/>
      <c r="H8" s="3471"/>
      <c r="I8" s="3471"/>
    </row>
    <row r="9" spans="1:9" ht="15">
      <c r="A9" s="3472" t="s">
        <v>927</v>
      </c>
      <c r="B9" s="3472"/>
      <c r="C9" s="3472"/>
      <c r="D9" s="3472" t="e">
        <f ca="1">结果表!D123</f>
        <v>#REF!</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78" t="str">
        <f>IF(项目基本情况!B8="抵押","3.抵押双方在办理抵押登记手续时，应使用本公司出具的正式《房地产评估报告》，特提醒报告使用者注意。","——")</f>
        <v>——</v>
      </c>
      <c r="B13" s="3483"/>
      <c r="C13" s="3483"/>
      <c r="D13" s="3483"/>
    </row>
    <row r="14" spans="1:4" ht="15.75" customHeight="1">
      <c r="A14" s="3478" t="str">
        <f>IF(项目基本情况!B8="抵押","4.本次评估估价师所知悉的法定优先受偿款情况说明如下：","——")</f>
        <v>——</v>
      </c>
      <c r="B14" s="3483"/>
      <c r="C14" s="3483"/>
      <c r="D14" s="3483"/>
    </row>
    <row r="15" spans="1:4" ht="42" customHeight="1">
      <c r="A15" s="3478" t="str">
        <f>IF(项目基本情况!B8="抵押","（1）"&amp;CONCATENATE(项目基本情况!L20,项目基本情况!L21,项目基本情况!L22),"——")</f>
        <v>——</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收益法 (元)</vt:lpstr>
      <vt:lpstr>成本法 (元)</vt:lpstr>
      <vt:lpstr>基准地价修正</vt:lpstr>
      <vt:lpstr>假设开发法</vt:lpstr>
      <vt:lpstr>收益法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2023-04-10T05:45:24Z</dcterms:modified>
</cp:coreProperties>
</file>