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
    </mc:Choice>
  </mc:AlternateContent>
  <bookViews>
    <workbookView xWindow="480" yWindow="210" windowWidth="12120" windowHeight="7620" tabRatio="899"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比较法-办公" sheetId="34" r:id="rId19"/>
    <sheet name="收益法 (办公)" sheetId="83" r:id="rId20"/>
    <sheet name="成本法 (元)" sheetId="69" state="hidden" r:id="rId21"/>
    <sheet name="假设开发法" sheetId="12" state="hidden" r:id="rId22"/>
    <sheet name="比较法-商业" sheetId="33" state="hidden" r:id="rId23"/>
    <sheet name="结果表（商业）" sheetId="86" r:id="rId24"/>
    <sheet name="成本法（商业）" sheetId="85" r:id="rId25"/>
    <sheet name="基准地价修正 (商业)" sheetId="88" r:id="rId26"/>
    <sheet name="收益法 (商业)" sheetId="84" r:id="rId27"/>
    <sheet name="结果表（地下车库）" sheetId="87" r:id="rId28"/>
    <sheet name="基准地价（汇总）" sheetId="76" state="hidden" r:id="rId29"/>
    <sheet name="成本法（车库）" sheetId="68" r:id="rId30"/>
    <sheet name="基准地价修正（车库）" sheetId="43" r:id="rId31"/>
    <sheet name="收益法（地下车库）" sheetId="15" r:id="rId32"/>
    <sheet name="收益法 (元)" sheetId="67" state="hidden" r:id="rId33"/>
    <sheet name="收益法（汇总）" sheetId="70" r:id="rId34"/>
    <sheet name="酒店收入计算" sheetId="66" state="hidden" r:id="rId35"/>
    <sheet name="比较法-住宅" sheetId="21" state="hidden" r:id="rId36"/>
    <sheet name="比较法-工业" sheetId="37" state="hidden" r:id="rId37"/>
    <sheet name="比较法-车位" sheetId="35" state="hidden" r:id="rId38"/>
    <sheet name="比较法-仓储" sheetId="36" state="hidden" r:id="rId39"/>
    <sheet name="土地比较法-住宅、综合" sheetId="39" state="hidden" r:id="rId40"/>
    <sheet name="土地比较法-工业" sheetId="40" state="hidden" r:id="rId41"/>
    <sheet name="修正" sheetId="45" state="hidden" r:id="rId42"/>
    <sheet name="容积率修正" sheetId="46" state="hidden" r:id="rId43"/>
    <sheet name="地价" sheetId="71" state="hidden" r:id="rId44"/>
    <sheet name="典型户型修正" sheetId="31" state="hidden" r:id="rId45"/>
    <sheet name="租赁情况" sheetId="77" r:id="rId46"/>
    <sheet name="面积A" sheetId="78" r:id="rId47"/>
    <sheet name="面积B" sheetId="81" r:id="rId48"/>
    <sheet name="办公结果" sheetId="79" r:id="rId49"/>
    <sheet name="商业结果" sheetId="80" r:id="rId50"/>
    <sheet name="成本法（废）" sheetId="11" state="hidden" r:id="rId51"/>
    <sheet name="区片价" sheetId="44" state="hidden" r:id="rId52"/>
    <sheet name="因素修正幅度" sheetId="65" state="hidden" r:id="rId53"/>
    <sheet name="存贷款利率" sheetId="73" state="hidden" r:id="rId54"/>
    <sheet name="区片价（范围）" sheetId="75" state="hidden" r:id="rId55"/>
  </sheets>
  <externalReferences>
    <externalReference r:id="rId56"/>
  </externalReferences>
  <definedNames>
    <definedName name="_xlnm._FilterDatabase" localSheetId="18"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22" hidden="1">'比较法-商业'!$A$1:$L$49</definedName>
    <definedName name="_xlnm._FilterDatabase" localSheetId="35"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18">'比较法-办公'!$A$1:$L$50</definedName>
    <definedName name="_xlnm.Print_Area" localSheetId="29">'成本法（车库）'!$A$1:$G$52</definedName>
    <definedName name="_xlnm.Print_Area" localSheetId="24">'成本法（商业）'!$A$1:$G$52</definedName>
    <definedName name="_xlnm.Print_Area" localSheetId="15">估价对象房地状况!$A$1:$G$24</definedName>
    <definedName name="_xlnm.Print_Area" localSheetId="8">估价师及机构信息!$A$1:$F$29</definedName>
    <definedName name="_xlnm.Print_Area" localSheetId="25">'基准地价修正 (商业)'!$A$1:$J$39</definedName>
    <definedName name="_xlnm.Print_Area" localSheetId="30">'基准地价修正（车库）'!$A$1:$J$39</definedName>
    <definedName name="_xlnm.Print_Area" localSheetId="19">'收益法 (办公)'!$A$1:$F$43</definedName>
    <definedName name="_xlnm.Print_Area" localSheetId="26">'收益法 (商业)'!$A$1:$F$43</definedName>
    <definedName name="_xlnm.Print_Area" localSheetId="32">'收益法 (元)'!$A$1:$AK$69</definedName>
    <definedName name="_xlnm.Print_Area" localSheetId="31">'收益法（地下车库）'!$A$1:$F$43</definedName>
    <definedName name="_xlnm.Print_Area" localSheetId="13">'数据-汇总表'!$A$1:$I$32</definedName>
    <definedName name="_xlnm.Print_Area" localSheetId="11">'数据-基础表'!$A$1:$AN$14</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5">'基准地价修正 (商业)'!$Q$19:$AD$19</definedName>
    <definedName name="季度">'基准地价修正（车库）'!$Q$19:$AD$19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E48" i="34" l="1"/>
  <c r="I48" i="34"/>
  <c r="V48" i="34"/>
  <c r="J34" i="34"/>
  <c r="AC34" i="34"/>
  <c r="D90" i="34"/>
  <c r="J27" i="34"/>
  <c r="AC27" i="34"/>
  <c r="F67" i="34"/>
  <c r="J10" i="34"/>
  <c r="AC10" i="34"/>
  <c r="D80" i="34"/>
  <c r="J17" i="34"/>
  <c r="AC17" i="34"/>
  <c r="D82" i="34"/>
  <c r="J19" i="34"/>
  <c r="AC19" i="34"/>
  <c r="D86" i="34"/>
  <c r="J23" i="34"/>
  <c r="AC23" i="34"/>
  <c r="V49" i="34"/>
  <c r="F34" i="34"/>
  <c r="AA34" i="34"/>
  <c r="F27" i="34"/>
  <c r="AA27" i="34"/>
  <c r="R48" i="34"/>
  <c r="F10" i="34"/>
  <c r="AA10" i="34"/>
  <c r="F17" i="34"/>
  <c r="AA17" i="34"/>
  <c r="F19" i="34"/>
  <c r="AA19" i="34"/>
  <c r="F23" i="34"/>
  <c r="AA23" i="34"/>
  <c r="R49" i="34"/>
  <c r="H34" i="34"/>
  <c r="AB34" i="34"/>
  <c r="H27" i="34"/>
  <c r="AB27" i="34"/>
  <c r="G48" i="34"/>
  <c r="T48" i="34"/>
  <c r="H10" i="34"/>
  <c r="AB10" i="34"/>
  <c r="H17" i="34"/>
  <c r="AB17" i="34"/>
  <c r="H19" i="34"/>
  <c r="AB19" i="34"/>
  <c r="H23" i="34"/>
  <c r="AB23" i="34"/>
  <c r="T49" i="34"/>
  <c r="R50" i="34"/>
  <c r="C50" i="34"/>
  <c r="B2" i="34"/>
  <c r="C19" i="9"/>
  <c r="F6" i="83"/>
  <c r="F8" i="83"/>
  <c r="F7" i="83"/>
  <c r="F9" i="83"/>
  <c r="C6" i="83"/>
  <c r="F4" i="73"/>
  <c r="I1" i="73"/>
  <c r="B39" i="1"/>
  <c r="F11" i="83"/>
  <c r="C10" i="83"/>
  <c r="C5" i="83"/>
  <c r="C32" i="83"/>
  <c r="C33" i="83"/>
  <c r="R7" i="1"/>
  <c r="F35" i="83"/>
  <c r="C34" i="83"/>
  <c r="C31" i="83"/>
  <c r="C14" i="83"/>
  <c r="C15" i="83"/>
  <c r="F16" i="83"/>
  <c r="C16" i="83"/>
  <c r="F43" i="83"/>
  <c r="C17" i="83"/>
  <c r="C18" i="83"/>
  <c r="C19" i="83"/>
  <c r="F20" i="83"/>
  <c r="C20" i="83"/>
  <c r="D6" i="73"/>
  <c r="K1" i="73"/>
  <c r="D5" i="73"/>
  <c r="G1" i="73"/>
  <c r="B40" i="1"/>
  <c r="F24" i="83"/>
  <c r="C23" i="83"/>
  <c r="F26" i="83"/>
  <c r="C26" i="83"/>
  <c r="F21" i="83"/>
  <c r="C24" i="83"/>
  <c r="C27" i="83"/>
  <c r="C29" i="83"/>
  <c r="F36" i="83"/>
  <c r="C36" i="83"/>
  <c r="F13" i="83"/>
  <c r="C13" i="83"/>
  <c r="F37" i="83"/>
  <c r="C37" i="83"/>
  <c r="F38" i="83"/>
  <c r="C38" i="83"/>
  <c r="C30" i="83"/>
  <c r="C39" i="83"/>
  <c r="F42" i="83"/>
  <c r="F40" i="83"/>
  <c r="L48" i="83"/>
  <c r="J53" i="83"/>
  <c r="F1" i="83"/>
  <c r="AE7" i="1"/>
  <c r="F41" i="83"/>
  <c r="C40" i="83"/>
  <c r="M6" i="83"/>
  <c r="M8" i="83"/>
  <c r="M7" i="83"/>
  <c r="M9" i="83"/>
  <c r="J6" i="83"/>
  <c r="M11" i="83"/>
  <c r="J10" i="83"/>
  <c r="J5" i="83"/>
  <c r="J26" i="83"/>
  <c r="J29" i="83"/>
  <c r="J60" i="83"/>
  <c r="L46" i="83"/>
  <c r="B2" i="83"/>
  <c r="D19" i="9"/>
  <c r="G19" i="9"/>
  <c r="C32" i="9"/>
  <c r="H118" i="9"/>
  <c r="D14" i="74"/>
  <c r="D4" i="73"/>
  <c r="E20" i="88"/>
  <c r="M17" i="88"/>
  <c r="G20" i="88"/>
  <c r="C20" i="88"/>
  <c r="C33" i="88"/>
  <c r="E33" i="88"/>
  <c r="E8" i="88"/>
  <c r="E9" i="88"/>
  <c r="E10" i="88"/>
  <c r="E11" i="88"/>
  <c r="C7" i="88"/>
  <c r="C5" i="88"/>
  <c r="T2" i="88"/>
  <c r="V2" i="88"/>
  <c r="T4" i="88"/>
  <c r="V4" i="88"/>
  <c r="C6" i="85"/>
  <c r="C7" i="85"/>
  <c r="D9" i="85"/>
  <c r="C9" i="85"/>
  <c r="D10" i="85"/>
  <c r="C10" i="85"/>
  <c r="C8" i="85"/>
  <c r="C5" i="85"/>
  <c r="D19" i="85"/>
  <c r="C19" i="85"/>
  <c r="F20" i="85"/>
  <c r="C20" i="85"/>
  <c r="F22" i="85"/>
  <c r="C23" i="85"/>
  <c r="C24" i="85"/>
  <c r="C25" i="85"/>
  <c r="C22" i="85"/>
  <c r="F27" i="85"/>
  <c r="C28" i="85"/>
  <c r="C27" i="85"/>
  <c r="F21" i="85"/>
  <c r="C26" i="85"/>
  <c r="D22" i="85"/>
  <c r="C21" i="85"/>
  <c r="C29" i="85"/>
  <c r="D27" i="85"/>
  <c r="C31" i="85"/>
  <c r="F34" i="85"/>
  <c r="C34" i="85"/>
  <c r="C35" i="85"/>
  <c r="C36" i="85"/>
  <c r="D37" i="85"/>
  <c r="C37" i="85"/>
  <c r="C38" i="85"/>
  <c r="C33" i="85"/>
  <c r="C39" i="85"/>
  <c r="C42" i="85"/>
  <c r="C43" i="85"/>
  <c r="C41" i="85"/>
  <c r="C46" i="85"/>
  <c r="C45" i="85"/>
  <c r="C40" i="85"/>
  <c r="C44" i="85"/>
  <c r="D41" i="85"/>
  <c r="C47" i="85"/>
  <c r="D45" i="85"/>
  <c r="C49" i="85"/>
  <c r="C51" i="85"/>
  <c r="C52" i="85"/>
  <c r="B2" i="85"/>
  <c r="C19" i="86"/>
  <c r="F6" i="84"/>
  <c r="F8" i="84"/>
  <c r="F7" i="84"/>
  <c r="F9" i="84"/>
  <c r="C6" i="84"/>
  <c r="F11" i="84"/>
  <c r="C10" i="84"/>
  <c r="C5" i="84"/>
  <c r="C32" i="84"/>
  <c r="C33" i="84"/>
  <c r="R6" i="1"/>
  <c r="F35" i="84"/>
  <c r="C34" i="84"/>
  <c r="C31" i="84"/>
  <c r="C14" i="84"/>
  <c r="C15" i="84"/>
  <c r="F16" i="84"/>
  <c r="C16" i="84"/>
  <c r="F43" i="84"/>
  <c r="C17" i="84"/>
  <c r="C18" i="84"/>
  <c r="C19" i="84"/>
  <c r="F20" i="84"/>
  <c r="C20" i="84"/>
  <c r="F24" i="84"/>
  <c r="C23" i="84"/>
  <c r="F26" i="84"/>
  <c r="C26" i="84"/>
  <c r="F21" i="84"/>
  <c r="C24" i="84"/>
  <c r="C27" i="84"/>
  <c r="C29" i="84"/>
  <c r="F36" i="84"/>
  <c r="C36" i="84"/>
  <c r="F13" i="84"/>
  <c r="C13" i="84"/>
  <c r="F37" i="84"/>
  <c r="C37" i="84"/>
  <c r="F38" i="84"/>
  <c r="C38" i="84"/>
  <c r="C30" i="84"/>
  <c r="C39" i="84"/>
  <c r="F42" i="84"/>
  <c r="F40" i="84"/>
  <c r="L48" i="84"/>
  <c r="J53" i="84"/>
  <c r="F1" i="84"/>
  <c r="AE6" i="1"/>
  <c r="F41" i="84"/>
  <c r="C40" i="84"/>
  <c r="M6" i="84"/>
  <c r="M8" i="84"/>
  <c r="M7" i="84"/>
  <c r="M9" i="84"/>
  <c r="J6" i="84"/>
  <c r="M11" i="84"/>
  <c r="J10" i="84"/>
  <c r="J5" i="84"/>
  <c r="J26" i="84"/>
  <c r="J29" i="84"/>
  <c r="J60" i="84"/>
  <c r="L46" i="84"/>
  <c r="B2" i="84"/>
  <c r="D19" i="86"/>
  <c r="G19" i="86"/>
  <c r="C32" i="86"/>
  <c r="H118" i="86"/>
  <c r="D15" i="74"/>
  <c r="E20" i="43"/>
  <c r="N17" i="43"/>
  <c r="G20" i="43"/>
  <c r="C20" i="43"/>
  <c r="C39" i="43"/>
  <c r="E39" i="43"/>
  <c r="C6" i="68"/>
  <c r="C7" i="68"/>
  <c r="D9" i="68"/>
  <c r="C9" i="68"/>
  <c r="D10" i="68"/>
  <c r="C10" i="68"/>
  <c r="C8" i="68"/>
  <c r="C5" i="68"/>
  <c r="D19" i="68"/>
  <c r="C19" i="68"/>
  <c r="F20" i="68"/>
  <c r="C20" i="68"/>
  <c r="F22" i="68"/>
  <c r="C23" i="68"/>
  <c r="C24" i="68"/>
  <c r="C25" i="68"/>
  <c r="C22" i="68"/>
  <c r="F27" i="68"/>
  <c r="C28" i="68"/>
  <c r="C27" i="68"/>
  <c r="F21" i="68"/>
  <c r="C26" i="68"/>
  <c r="D22" i="68"/>
  <c r="C21" i="68"/>
  <c r="C29" i="68"/>
  <c r="D27" i="68"/>
  <c r="C31" i="68"/>
  <c r="F34" i="68"/>
  <c r="C34" i="68"/>
  <c r="C35" i="68"/>
  <c r="C36" i="68"/>
  <c r="D37" i="68"/>
  <c r="C37" i="68"/>
  <c r="C38" i="68"/>
  <c r="C33" i="68"/>
  <c r="C39" i="68"/>
  <c r="C42" i="68"/>
  <c r="C43" i="68"/>
  <c r="C41" i="68"/>
  <c r="C46" i="68"/>
  <c r="C45" i="68"/>
  <c r="C40" i="68"/>
  <c r="C44" i="68"/>
  <c r="D41" i="68"/>
  <c r="C47" i="68"/>
  <c r="D45" i="68"/>
  <c r="C49" i="68"/>
  <c r="C51" i="68"/>
  <c r="C52" i="68"/>
  <c r="B2" i="68"/>
  <c r="C19" i="87"/>
  <c r="F6" i="15"/>
  <c r="F8" i="15"/>
  <c r="F7" i="15"/>
  <c r="F9" i="15"/>
  <c r="C6" i="15"/>
  <c r="F11" i="15"/>
  <c r="C10" i="15"/>
  <c r="C5" i="15"/>
  <c r="C32" i="15"/>
  <c r="C33" i="15"/>
  <c r="R8" i="1"/>
  <c r="F35" i="15"/>
  <c r="C34" i="15"/>
  <c r="C31" i="15"/>
  <c r="C14" i="15"/>
  <c r="C15" i="15"/>
  <c r="F16" i="15"/>
  <c r="C16" i="15"/>
  <c r="F43" i="15"/>
  <c r="C17" i="15"/>
  <c r="C18" i="15"/>
  <c r="C19" i="15"/>
  <c r="F20" i="15"/>
  <c r="C20" i="15"/>
  <c r="F24" i="15"/>
  <c r="C23" i="15"/>
  <c r="F26" i="15"/>
  <c r="C26" i="15"/>
  <c r="F21"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J60" i="15"/>
  <c r="L46" i="15"/>
  <c r="B2" i="15"/>
  <c r="D19" i="87"/>
  <c r="G19" i="87"/>
  <c r="C32" i="87"/>
  <c r="H118" i="87"/>
  <c r="D16" i="74"/>
  <c r="B5" i="74"/>
  <c r="U23" i="1"/>
  <c r="N6" i="1"/>
  <c r="D112" i="34"/>
  <c r="E112" i="34"/>
  <c r="F112" i="34"/>
  <c r="F37" i="34"/>
  <c r="AA37" i="34"/>
  <c r="H37" i="34"/>
  <c r="AB37" i="34"/>
  <c r="J43" i="34"/>
  <c r="AC43" i="34"/>
  <c r="G112" i="34"/>
  <c r="J37" i="34"/>
  <c r="AC37" i="34"/>
  <c r="Y6" i="1"/>
  <c r="Y7" i="1"/>
  <c r="C17" i="9"/>
  <c r="D17" i="9"/>
  <c r="C18" i="9"/>
  <c r="D18" i="9"/>
  <c r="N7" i="1"/>
  <c r="N8" i="1"/>
  <c r="N14" i="1"/>
  <c r="N16" i="1"/>
  <c r="F50" i="85"/>
  <c r="F50" i="68"/>
  <c r="Y8" i="1"/>
  <c r="I4" i="77"/>
  <c r="F12" i="77"/>
  <c r="K7" i="81"/>
  <c r="K8" i="81"/>
  <c r="K6" i="81"/>
  <c r="C16" i="74"/>
  <c r="B16" i="74"/>
  <c r="C15" i="74"/>
  <c r="B15" i="74"/>
  <c r="D33" i="88"/>
  <c r="U4" i="88"/>
  <c r="U2" i="88"/>
  <c r="G49" i="88"/>
  <c r="G50" i="88"/>
  <c r="K50" i="88"/>
  <c r="J50" i="88"/>
  <c r="G51" i="88"/>
  <c r="G52" i="88"/>
  <c r="K52" i="88"/>
  <c r="J52" i="88"/>
  <c r="G53" i="88"/>
  <c r="G54" i="88"/>
  <c r="K54" i="88"/>
  <c r="J54" i="88"/>
  <c r="G55" i="88"/>
  <c r="G56" i="88"/>
  <c r="K56" i="88"/>
  <c r="J56" i="88"/>
  <c r="G48" i="88"/>
  <c r="F113" i="88"/>
  <c r="B113" i="88"/>
  <c r="K108" i="88"/>
  <c r="G108" i="88"/>
  <c r="C108" i="88"/>
  <c r="G101" i="88"/>
  <c r="G106" i="88"/>
  <c r="K100" i="88"/>
  <c r="G100" i="88"/>
  <c r="D100" i="88"/>
  <c r="N99" i="88"/>
  <c r="M99" i="88"/>
  <c r="M108" i="88"/>
  <c r="L99" i="88"/>
  <c r="K99" i="88"/>
  <c r="J99" i="88"/>
  <c r="I99" i="88"/>
  <c r="I108" i="88"/>
  <c r="H99" i="88"/>
  <c r="G99" i="88"/>
  <c r="F99" i="88"/>
  <c r="E99" i="88"/>
  <c r="E108" i="88"/>
  <c r="D99" i="88"/>
  <c r="D108" i="88"/>
  <c r="C99" i="88"/>
  <c r="C100" i="88"/>
  <c r="N88" i="88"/>
  <c r="M88" i="88"/>
  <c r="K88" i="88"/>
  <c r="J88" i="88"/>
  <c r="D88" i="88"/>
  <c r="B88" i="88"/>
  <c r="M87" i="88"/>
  <c r="N87" i="88"/>
  <c r="K87" i="88"/>
  <c r="J87" i="88"/>
  <c r="D87" i="88"/>
  <c r="M86" i="88"/>
  <c r="N86" i="88"/>
  <c r="K86" i="88"/>
  <c r="J86" i="88"/>
  <c r="D86" i="88"/>
  <c r="B86" i="88"/>
  <c r="N85" i="88"/>
  <c r="M85" i="88"/>
  <c r="K85" i="88"/>
  <c r="J85" i="88"/>
  <c r="D85" i="88"/>
  <c r="B85" i="88"/>
  <c r="M84" i="88"/>
  <c r="N84" i="88"/>
  <c r="K84" i="88"/>
  <c r="J84" i="88"/>
  <c r="D84" i="88"/>
  <c r="B84" i="88"/>
  <c r="N83" i="88"/>
  <c r="M83" i="88"/>
  <c r="K83" i="88"/>
  <c r="J83" i="88"/>
  <c r="D83" i="88"/>
  <c r="B83" i="88"/>
  <c r="M82" i="88"/>
  <c r="N82" i="88"/>
  <c r="K82" i="88"/>
  <c r="J82" i="88"/>
  <c r="D82" i="88"/>
  <c r="E81" i="88"/>
  <c r="B79" i="88"/>
  <c r="B82" i="88"/>
  <c r="N81" i="88"/>
  <c r="M81" i="88"/>
  <c r="K81" i="88"/>
  <c r="J81" i="88"/>
  <c r="F81" i="88"/>
  <c r="H87" i="88"/>
  <c r="D81" i="88"/>
  <c r="B81" i="88"/>
  <c r="N78" i="88"/>
  <c r="M78" i="88"/>
  <c r="K78" i="88"/>
  <c r="J78" i="88"/>
  <c r="D78" i="88"/>
  <c r="N77" i="88"/>
  <c r="M77" i="88"/>
  <c r="K77" i="88"/>
  <c r="J77" i="88"/>
  <c r="D77" i="88"/>
  <c r="B77" i="88"/>
  <c r="M76" i="88"/>
  <c r="N76" i="88"/>
  <c r="K76" i="88"/>
  <c r="J76" i="88"/>
  <c r="D76" i="88"/>
  <c r="M75" i="88"/>
  <c r="N75" i="88"/>
  <c r="K75" i="88"/>
  <c r="J75" i="88"/>
  <c r="D75" i="88"/>
  <c r="B75" i="88"/>
  <c r="N74" i="88"/>
  <c r="M74" i="88"/>
  <c r="K74" i="88"/>
  <c r="J74" i="88"/>
  <c r="D74" i="88"/>
  <c r="B74" i="88"/>
  <c r="M73" i="88"/>
  <c r="N73" i="88"/>
  <c r="K73" i="88"/>
  <c r="J73" i="88"/>
  <c r="D73" i="88"/>
  <c r="B73" i="88"/>
  <c r="N72" i="88"/>
  <c r="M72" i="88"/>
  <c r="K72" i="88"/>
  <c r="J72" i="88"/>
  <c r="D72" i="88"/>
  <c r="B72" i="88"/>
  <c r="M71" i="88"/>
  <c r="N71" i="88"/>
  <c r="K71" i="88"/>
  <c r="J71" i="88"/>
  <c r="D71" i="88"/>
  <c r="E70" i="88"/>
  <c r="B68" i="88"/>
  <c r="B71" i="88"/>
  <c r="N70" i="88"/>
  <c r="M70" i="88"/>
  <c r="K70" i="88"/>
  <c r="J70" i="88"/>
  <c r="F70" i="88"/>
  <c r="H76" i="88"/>
  <c r="D70" i="88"/>
  <c r="B70" i="88"/>
  <c r="B67" i="88"/>
  <c r="B66" i="88"/>
  <c r="B65" i="88"/>
  <c r="B63" i="88"/>
  <c r="B61" i="88"/>
  <c r="B60" i="88"/>
  <c r="B59" i="88"/>
  <c r="M56" i="88"/>
  <c r="N56" i="88"/>
  <c r="D56" i="88"/>
  <c r="B56" i="88"/>
  <c r="M55" i="88"/>
  <c r="N55" i="88"/>
  <c r="K55" i="88"/>
  <c r="J55" i="88"/>
  <c r="D55" i="88"/>
  <c r="B55" i="88"/>
  <c r="M54" i="88"/>
  <c r="N54" i="88"/>
  <c r="D54" i="88"/>
  <c r="B54" i="88"/>
  <c r="M53" i="88"/>
  <c r="N53" i="88"/>
  <c r="K53" i="88"/>
  <c r="J53" i="88"/>
  <c r="D53" i="88"/>
  <c r="M52" i="88"/>
  <c r="N52" i="88"/>
  <c r="D52" i="88"/>
  <c r="B52" i="88"/>
  <c r="M51" i="88"/>
  <c r="N51" i="88"/>
  <c r="K51" i="88"/>
  <c r="J51" i="88"/>
  <c r="D51" i="88"/>
  <c r="M50" i="88"/>
  <c r="N50" i="88"/>
  <c r="D50" i="88"/>
  <c r="B50" i="88"/>
  <c r="M49" i="88"/>
  <c r="N49" i="88"/>
  <c r="K49" i="88"/>
  <c r="J49" i="88"/>
  <c r="D49" i="88"/>
  <c r="B49" i="88"/>
  <c r="M48" i="88"/>
  <c r="N48" i="88"/>
  <c r="K48" i="88"/>
  <c r="J48" i="88"/>
  <c r="D48" i="88"/>
  <c r="B48" i="88"/>
  <c r="D1" i="88"/>
  <c r="H38" i="88"/>
  <c r="H37" i="88"/>
  <c r="H36" i="88"/>
  <c r="H35" i="88"/>
  <c r="H34" i="88"/>
  <c r="H33" i="88"/>
  <c r="P25" i="88"/>
  <c r="G22" i="88"/>
  <c r="P21" i="88"/>
  <c r="M20" i="88"/>
  <c r="J20" i="88"/>
  <c r="I20" i="88"/>
  <c r="O19" i="88"/>
  <c r="M19" i="88"/>
  <c r="I19" i="88"/>
  <c r="G19" i="88"/>
  <c r="P24" i="88"/>
  <c r="C19" i="88"/>
  <c r="C18" i="88"/>
  <c r="F15" i="88"/>
  <c r="E15" i="88"/>
  <c r="D15" i="88"/>
  <c r="C15" i="88"/>
  <c r="Y12" i="88"/>
  <c r="Y13" i="88"/>
  <c r="AH11" i="88"/>
  <c r="AE11" i="88"/>
  <c r="AC11" i="88"/>
  <c r="AA11" i="88"/>
  <c r="Y11" i="88"/>
  <c r="Y10" i="88"/>
  <c r="C10" i="88"/>
  <c r="C11" i="88"/>
  <c r="AJ9" i="88"/>
  <c r="AJ12" i="88"/>
  <c r="AI9" i="88"/>
  <c r="AI12" i="88"/>
  <c r="AH9" i="88"/>
  <c r="AH12" i="88"/>
  <c r="AG9" i="88"/>
  <c r="AG12" i="88"/>
  <c r="AF9" i="88"/>
  <c r="AF12" i="88"/>
  <c r="AE9" i="88"/>
  <c r="AE12" i="88"/>
  <c r="AE13" i="88"/>
  <c r="AD9" i="88"/>
  <c r="AD12" i="88"/>
  <c r="AC9" i="88"/>
  <c r="AC12" i="88"/>
  <c r="AC13" i="88"/>
  <c r="AB9" i="88"/>
  <c r="AB12" i="88"/>
  <c r="AA9" i="88"/>
  <c r="AA12" i="88"/>
  <c r="AA13" i="88"/>
  <c r="Z9" i="88"/>
  <c r="Z12" i="88"/>
  <c r="C9" i="88"/>
  <c r="A7" i="88"/>
  <c r="G3" i="88"/>
  <c r="I2" i="88"/>
  <c r="N12" i="88"/>
  <c r="G2" i="88"/>
  <c r="S3" i="88"/>
  <c r="M1" i="88"/>
  <c r="A124" i="87"/>
  <c r="A120" i="87"/>
  <c r="E111" i="87"/>
  <c r="A126" i="87"/>
  <c r="H109" i="87"/>
  <c r="D124" i="87"/>
  <c r="D125" i="87"/>
  <c r="E109" i="87"/>
  <c r="E107" i="87"/>
  <c r="A122" i="87"/>
  <c r="H106" i="87"/>
  <c r="H105" i="87"/>
  <c r="H104" i="87"/>
  <c r="H103" i="87"/>
  <c r="D120" i="87"/>
  <c r="D101" i="87"/>
  <c r="C101" i="87"/>
  <c r="D93" i="87"/>
  <c r="C91" i="87"/>
  <c r="E90" i="87"/>
  <c r="D89" i="87"/>
  <c r="C89" i="87"/>
  <c r="C87" i="87"/>
  <c r="D78" i="87"/>
  <c r="H77" i="87"/>
  <c r="D77" i="87"/>
  <c r="C77" i="87"/>
  <c r="C76" i="87"/>
  <c r="C74" i="87"/>
  <c r="D68" i="87"/>
  <c r="L63" i="87"/>
  <c r="M63" i="87"/>
  <c r="M69" i="87"/>
  <c r="N69" i="87"/>
  <c r="F59" i="87"/>
  <c r="E59" i="87"/>
  <c r="D59" i="87"/>
  <c r="N56" i="87"/>
  <c r="M56" i="87"/>
  <c r="K56" i="87"/>
  <c r="J56" i="87"/>
  <c r="J57" i="87"/>
  <c r="J59" i="87"/>
  <c r="J61" i="87"/>
  <c r="F56" i="87"/>
  <c r="O55" i="87"/>
  <c r="N55" i="87"/>
  <c r="M55" i="87"/>
  <c r="K55" i="87"/>
  <c r="J55" i="87"/>
  <c r="I55" i="87"/>
  <c r="F55" i="87"/>
  <c r="O54" i="87"/>
  <c r="N54" i="87"/>
  <c r="F54" i="87"/>
  <c r="O53" i="87"/>
  <c r="N53" i="87"/>
  <c r="F53" i="87"/>
  <c r="F52" i="87"/>
  <c r="M49" i="87"/>
  <c r="K49" i="87"/>
  <c r="F48" i="87"/>
  <c r="O52" i="87"/>
  <c r="E48" i="87"/>
  <c r="N52" i="87"/>
  <c r="D48" i="87"/>
  <c r="M52" i="87"/>
  <c r="M47" i="87"/>
  <c r="F33" i="87"/>
  <c r="D27" i="87"/>
  <c r="C25" i="87"/>
  <c r="C24" i="87"/>
  <c r="M19" i="87"/>
  <c r="C118" i="87"/>
  <c r="L19" i="87"/>
  <c r="M18" i="87"/>
  <c r="B118" i="87"/>
  <c r="L18" i="87"/>
  <c r="D17" i="87"/>
  <c r="C17" i="87"/>
  <c r="L4" i="87"/>
  <c r="K4" i="87"/>
  <c r="H1" i="87"/>
  <c r="A124" i="86"/>
  <c r="A120" i="86"/>
  <c r="E111" i="86"/>
  <c r="A126" i="86"/>
  <c r="H109" i="86"/>
  <c r="D124" i="86"/>
  <c r="D125" i="86"/>
  <c r="E109" i="86"/>
  <c r="E107" i="86"/>
  <c r="A122" i="86"/>
  <c r="H106" i="86"/>
  <c r="H105" i="86"/>
  <c r="H104" i="86"/>
  <c r="H103" i="86"/>
  <c r="D120" i="86"/>
  <c r="D101" i="86"/>
  <c r="C101" i="86"/>
  <c r="D93" i="86"/>
  <c r="C91" i="86"/>
  <c r="E90" i="86"/>
  <c r="D89" i="86"/>
  <c r="C89" i="86"/>
  <c r="C87" i="86"/>
  <c r="D78" i="86"/>
  <c r="H77" i="86"/>
  <c r="D77" i="86"/>
  <c r="C77" i="86"/>
  <c r="C76" i="86"/>
  <c r="C74" i="86"/>
  <c r="D68" i="86"/>
  <c r="F59" i="86"/>
  <c r="E59" i="86"/>
  <c r="D59" i="86"/>
  <c r="N56" i="86"/>
  <c r="M56" i="86"/>
  <c r="K56" i="86"/>
  <c r="J56" i="86"/>
  <c r="J57" i="86"/>
  <c r="J59" i="86"/>
  <c r="J61" i="86"/>
  <c r="F56" i="86"/>
  <c r="O55" i="86"/>
  <c r="N55" i="86"/>
  <c r="M55" i="86"/>
  <c r="K55" i="86"/>
  <c r="J55" i="86"/>
  <c r="I55" i="86"/>
  <c r="F55" i="86"/>
  <c r="O53" i="86"/>
  <c r="O54" i="86"/>
  <c r="N54" i="86"/>
  <c r="F54" i="86"/>
  <c r="N53" i="86"/>
  <c r="F53" i="86"/>
  <c r="F52" i="86"/>
  <c r="M49" i="86"/>
  <c r="K49" i="86"/>
  <c r="F48" i="86"/>
  <c r="O52" i="86"/>
  <c r="E48" i="86"/>
  <c r="N52" i="86"/>
  <c r="D48" i="86"/>
  <c r="M52" i="86"/>
  <c r="M47" i="86"/>
  <c r="F33" i="86"/>
  <c r="D27" i="86"/>
  <c r="C25" i="86"/>
  <c r="C24" i="86"/>
  <c r="M19" i="86"/>
  <c r="C118" i="86"/>
  <c r="L19" i="86"/>
  <c r="M18" i="86"/>
  <c r="B118" i="86"/>
  <c r="L18" i="86"/>
  <c r="D17" i="86"/>
  <c r="C17" i="86"/>
  <c r="L4" i="86"/>
  <c r="K4" i="86"/>
  <c r="H1" i="86"/>
  <c r="G41" i="85"/>
  <c r="F38" i="85"/>
  <c r="E37" i="85"/>
  <c r="F36" i="85"/>
  <c r="F35" i="85"/>
  <c r="F30" i="85"/>
  <c r="C48" i="85"/>
  <c r="C30" i="85"/>
  <c r="G22" i="85"/>
  <c r="E19" i="85"/>
  <c r="E10" i="85"/>
  <c r="E9" i="85"/>
  <c r="F7" i="85"/>
  <c r="G1" i="85"/>
  <c r="D39" i="43"/>
  <c r="I7" i="34"/>
  <c r="G7" i="34"/>
  <c r="E7" i="34"/>
  <c r="D16" i="77"/>
  <c r="D15" i="77"/>
  <c r="I16" i="77"/>
  <c r="I15" i="77"/>
  <c r="G15" i="77"/>
  <c r="C18" i="87"/>
  <c r="D18" i="87"/>
  <c r="C18" i="86"/>
  <c r="D18" i="86"/>
  <c r="C12" i="88"/>
  <c r="H81" i="88"/>
  <c r="S5" i="88"/>
  <c r="H17" i="88"/>
  <c r="C23" i="88"/>
  <c r="H85" i="88"/>
  <c r="H72" i="88"/>
  <c r="H77" i="88"/>
  <c r="S6" i="88"/>
  <c r="X7" i="88"/>
  <c r="H70" i="88"/>
  <c r="H74" i="88"/>
  <c r="H78" i="88"/>
  <c r="H83" i="88"/>
  <c r="H88" i="88"/>
  <c r="N2" i="88"/>
  <c r="M3" i="88"/>
  <c r="N4" i="88"/>
  <c r="M5" i="88"/>
  <c r="M6" i="88"/>
  <c r="N7" i="88"/>
  <c r="N8" i="88"/>
  <c r="N9" i="88"/>
  <c r="M10" i="88"/>
  <c r="AA10" i="88"/>
  <c r="AC10" i="88"/>
  <c r="AE10" i="88"/>
  <c r="AG10" i="88"/>
  <c r="AI10" i="88"/>
  <c r="M11" i="88"/>
  <c r="M12" i="88"/>
  <c r="H39" i="88"/>
  <c r="G103" i="88"/>
  <c r="G105" i="88"/>
  <c r="G107" i="88"/>
  <c r="G109" i="88"/>
  <c r="I118" i="88"/>
  <c r="J118" i="88"/>
  <c r="K118" i="88"/>
  <c r="L118" i="88"/>
  <c r="M118" i="88"/>
  <c r="G118" i="88"/>
  <c r="H118" i="88"/>
  <c r="I117" i="88"/>
  <c r="J117" i="88"/>
  <c r="K117" i="88"/>
  <c r="L117" i="88"/>
  <c r="M117" i="88"/>
  <c r="I116" i="88"/>
  <c r="J116" i="88"/>
  <c r="K116" i="88"/>
  <c r="L116" i="88"/>
  <c r="M116" i="88"/>
  <c r="I115" i="88"/>
  <c r="J115" i="88"/>
  <c r="K115" i="88"/>
  <c r="L115" i="88"/>
  <c r="M115" i="88"/>
  <c r="D118" i="88"/>
  <c r="E118" i="88"/>
  <c r="F118" i="88"/>
  <c r="D117" i="88"/>
  <c r="E117" i="88"/>
  <c r="F117" i="88"/>
  <c r="G117" i="88"/>
  <c r="H117" i="88"/>
  <c r="D116" i="88"/>
  <c r="E116" i="88"/>
  <c r="F116" i="88"/>
  <c r="G116" i="88"/>
  <c r="H116" i="88"/>
  <c r="D115" i="88"/>
  <c r="E115" i="88"/>
  <c r="F115" i="88"/>
  <c r="G115" i="88"/>
  <c r="H115" i="88"/>
  <c r="B115" i="88"/>
  <c r="C115" i="88"/>
  <c r="B117" i="88"/>
  <c r="C117" i="88"/>
  <c r="N1" i="88"/>
  <c r="F48" i="88"/>
  <c r="H113" i="88"/>
  <c r="F38" i="88"/>
  <c r="F37" i="88"/>
  <c r="F36" i="88"/>
  <c r="F35" i="88"/>
  <c r="F34" i="88"/>
  <c r="F33" i="88"/>
  <c r="I17" i="88"/>
  <c r="G17" i="88"/>
  <c r="C17" i="88"/>
  <c r="M2" i="88"/>
  <c r="S2" i="88"/>
  <c r="N101" i="88"/>
  <c r="L101" i="88"/>
  <c r="J101" i="88"/>
  <c r="H101" i="88"/>
  <c r="F101" i="88"/>
  <c r="D101" i="88"/>
  <c r="M101" i="88"/>
  <c r="I101" i="88"/>
  <c r="I109" i="88"/>
  <c r="E101" i="88"/>
  <c r="H22" i="88"/>
  <c r="F22" i="88"/>
  <c r="AI11" i="88"/>
  <c r="AI13" i="88"/>
  <c r="AG11" i="88"/>
  <c r="AG13" i="88"/>
  <c r="N3" i="88"/>
  <c r="M4" i="88"/>
  <c r="S4" i="88"/>
  <c r="N5" i="88"/>
  <c r="C6" i="88"/>
  <c r="N6" i="88"/>
  <c r="M7" i="88"/>
  <c r="S7" i="88"/>
  <c r="Z7" i="88"/>
  <c r="M8" i="88"/>
  <c r="M9" i="88"/>
  <c r="AH13" i="88"/>
  <c r="N10" i="88"/>
  <c r="Z10" i="88"/>
  <c r="AB10" i="88"/>
  <c r="AD10" i="88"/>
  <c r="AF10" i="88"/>
  <c r="AH10" i="88"/>
  <c r="AJ10" i="88"/>
  <c r="N11" i="88"/>
  <c r="Z11" i="88"/>
  <c r="Z13" i="88"/>
  <c r="AB11" i="88"/>
  <c r="AB13" i="88"/>
  <c r="AD11" i="88"/>
  <c r="AD13" i="88"/>
  <c r="AF11" i="88"/>
  <c r="AF13" i="88"/>
  <c r="AJ11" i="88"/>
  <c r="AJ13" i="88"/>
  <c r="E17" i="88"/>
  <c r="J17" i="88"/>
  <c r="E22" i="88"/>
  <c r="D22" i="88"/>
  <c r="F39" i="88"/>
  <c r="E48" i="88"/>
  <c r="B46" i="88"/>
  <c r="F59" i="88"/>
  <c r="D109" i="88"/>
  <c r="F108" i="88"/>
  <c r="F109" i="88"/>
  <c r="F100" i="88"/>
  <c r="H108" i="88"/>
  <c r="H109" i="88"/>
  <c r="H100" i="88"/>
  <c r="J108" i="88"/>
  <c r="J109" i="88"/>
  <c r="J100" i="88"/>
  <c r="L108" i="88"/>
  <c r="L109" i="88"/>
  <c r="L100" i="88"/>
  <c r="N108" i="88"/>
  <c r="N109" i="88"/>
  <c r="N100" i="88"/>
  <c r="C101" i="88"/>
  <c r="K101" i="88"/>
  <c r="K109" i="88"/>
  <c r="G102" i="88"/>
  <c r="G104" i="88"/>
  <c r="B116" i="88"/>
  <c r="C116" i="88"/>
  <c r="B118" i="88"/>
  <c r="C118" i="88"/>
  <c r="P22" i="88"/>
  <c r="P23" i="88"/>
  <c r="H71" i="88"/>
  <c r="H73" i="88"/>
  <c r="H75" i="88"/>
  <c r="H82" i="88"/>
  <c r="H84" i="88"/>
  <c r="H86" i="88"/>
  <c r="E100" i="88"/>
  <c r="I100" i="88"/>
  <c r="M100" i="88"/>
  <c r="D113" i="88"/>
  <c r="J22" i="88"/>
  <c r="C21" i="88"/>
  <c r="C92" i="87"/>
  <c r="C94" i="87"/>
  <c r="K120" i="87"/>
  <c r="D121" i="87"/>
  <c r="L66" i="87"/>
  <c r="M66" i="87"/>
  <c r="L65" i="87"/>
  <c r="M65" i="87"/>
  <c r="L64" i="87"/>
  <c r="M64" i="87"/>
  <c r="L68" i="87"/>
  <c r="M68" i="87"/>
  <c r="L67" i="87"/>
  <c r="M67" i="87"/>
  <c r="H112" i="87"/>
  <c r="H110" i="87"/>
  <c r="H111" i="87"/>
  <c r="D126" i="87"/>
  <c r="D127" i="87"/>
  <c r="L66" i="86"/>
  <c r="M66" i="86"/>
  <c r="L65" i="86"/>
  <c r="M65" i="86"/>
  <c r="L64" i="86"/>
  <c r="M64" i="86"/>
  <c r="L68" i="86"/>
  <c r="M68" i="86"/>
  <c r="L67" i="86"/>
  <c r="M67" i="86"/>
  <c r="C92" i="86"/>
  <c r="C94" i="86"/>
  <c r="K120" i="86"/>
  <c r="D121" i="86"/>
  <c r="L63" i="86"/>
  <c r="M63" i="86"/>
  <c r="M69" i="86"/>
  <c r="N69" i="86"/>
  <c r="H112" i="86"/>
  <c r="H110" i="86"/>
  <c r="H111" i="86"/>
  <c r="D126" i="86"/>
  <c r="D127" i="86"/>
  <c r="F34" i="6"/>
  <c r="G16" i="77"/>
  <c r="K26" i="81"/>
  <c r="C16" i="77"/>
  <c r="C15" i="77"/>
  <c r="I13" i="77"/>
  <c r="B29" i="77"/>
  <c r="C29" i="77"/>
  <c r="D29" i="77"/>
  <c r="C5" i="77"/>
  <c r="K22" i="81"/>
  <c r="J23" i="81"/>
  <c r="K23" i="81"/>
  <c r="J21" i="81"/>
  <c r="K21" i="81"/>
  <c r="H24" i="81"/>
  <c r="H23" i="81"/>
  <c r="H22" i="81"/>
  <c r="H21" i="81"/>
  <c r="M15" i="78"/>
  <c r="M17" i="78"/>
  <c r="M16" i="78"/>
  <c r="L20" i="78"/>
  <c r="B21" i="77"/>
  <c r="B20" i="77"/>
  <c r="B16" i="77"/>
  <c r="B15" i="77"/>
  <c r="B17" i="77"/>
  <c r="C11" i="77"/>
  <c r="D10" i="77"/>
  <c r="B11" i="77"/>
  <c r="D4" i="77"/>
  <c r="D3" i="77"/>
  <c r="B5" i="77"/>
  <c r="D5" i="77"/>
  <c r="H16" i="81"/>
  <c r="G21" i="6"/>
  <c r="F20" i="6"/>
  <c r="G19" i="6"/>
  <c r="F19" i="6"/>
  <c r="AN14" i="3"/>
  <c r="O14" i="3"/>
  <c r="M14" i="3"/>
  <c r="K14" i="3"/>
  <c r="I14" i="3"/>
  <c r="A3" i="3"/>
  <c r="Q72" i="84"/>
  <c r="F60" i="84"/>
  <c r="Q59" i="84"/>
  <c r="K59" i="84"/>
  <c r="P74" i="84"/>
  <c r="F59" i="84"/>
  <c r="Q58" i="84"/>
  <c r="Q51" i="84"/>
  <c r="J50" i="84"/>
  <c r="J51" i="84"/>
  <c r="M47" i="84"/>
  <c r="D46" i="84"/>
  <c r="F34" i="84"/>
  <c r="F62" i="84"/>
  <c r="F33" i="84"/>
  <c r="F61" i="84"/>
  <c r="F32" i="84"/>
  <c r="F31" i="84"/>
  <c r="F28" i="84"/>
  <c r="C28" i="84"/>
  <c r="F23" i="84"/>
  <c r="M20" i="84"/>
  <c r="M19" i="84"/>
  <c r="M18" i="84"/>
  <c r="F18" i="84"/>
  <c r="M17" i="84"/>
  <c r="F17" i="84"/>
  <c r="F15" i="84"/>
  <c r="G1" i="84"/>
  <c r="Q72" i="83"/>
  <c r="F60" i="83"/>
  <c r="Q59" i="83"/>
  <c r="K59" i="83"/>
  <c r="P74" i="83"/>
  <c r="F59" i="83"/>
  <c r="Q58" i="83"/>
  <c r="Q51" i="83"/>
  <c r="J50" i="83"/>
  <c r="J51" i="83"/>
  <c r="M47" i="83"/>
  <c r="D46" i="83"/>
  <c r="F34" i="83"/>
  <c r="F62" i="83"/>
  <c r="F33" i="83"/>
  <c r="F61" i="83"/>
  <c r="F32" i="83"/>
  <c r="F31" i="83"/>
  <c r="F28" i="83"/>
  <c r="C28" i="83"/>
  <c r="F23" i="83"/>
  <c r="M20" i="83"/>
  <c r="M19" i="83"/>
  <c r="M18" i="83"/>
  <c r="F18" i="83"/>
  <c r="M17" i="83"/>
  <c r="F17" i="83"/>
  <c r="F15" i="83"/>
  <c r="G1" i="83"/>
  <c r="Q16" i="1"/>
  <c r="K4" i="78"/>
  <c r="AN13" i="3"/>
  <c r="AL13" i="3"/>
  <c r="O13" i="3"/>
  <c r="M13" i="3"/>
  <c r="K13" i="3"/>
  <c r="I13" i="3"/>
  <c r="D3" i="4"/>
  <c r="H54" i="88"/>
  <c r="H50" i="88"/>
  <c r="H49" i="88"/>
  <c r="H55" i="88"/>
  <c r="H56" i="88"/>
  <c r="H51" i="88"/>
  <c r="H48" i="88"/>
  <c r="H53" i="88"/>
  <c r="H52" i="88"/>
  <c r="D5" i="88"/>
  <c r="C107" i="88"/>
  <c r="C105" i="88"/>
  <c r="C103" i="88"/>
  <c r="C106" i="88"/>
  <c r="C104" i="88"/>
  <c r="C102" i="88"/>
  <c r="H63" i="88"/>
  <c r="G63" i="88"/>
  <c r="H62" i="88"/>
  <c r="G62" i="88"/>
  <c r="H66" i="88"/>
  <c r="G66" i="88"/>
  <c r="H64" i="88"/>
  <c r="G64" i="88"/>
  <c r="H60" i="88"/>
  <c r="G60" i="88"/>
  <c r="H67" i="88"/>
  <c r="G67" i="88"/>
  <c r="H65" i="88"/>
  <c r="G65" i="88"/>
  <c r="H61" i="88"/>
  <c r="G61" i="88"/>
  <c r="H59" i="88"/>
  <c r="G59" i="88"/>
  <c r="E107" i="88"/>
  <c r="E106" i="88"/>
  <c r="E105" i="88"/>
  <c r="E104" i="88"/>
  <c r="E103" i="88"/>
  <c r="E102" i="88"/>
  <c r="M107" i="88"/>
  <c r="M106" i="88"/>
  <c r="M105" i="88"/>
  <c r="M104" i="88"/>
  <c r="M103" i="88"/>
  <c r="M102" i="88"/>
  <c r="F107" i="88"/>
  <c r="F106" i="88"/>
  <c r="F105" i="88"/>
  <c r="F104" i="88"/>
  <c r="F103" i="88"/>
  <c r="F102" i="88"/>
  <c r="J107" i="88"/>
  <c r="J106" i="88"/>
  <c r="J105" i="88"/>
  <c r="J104" i="88"/>
  <c r="J103" i="88"/>
  <c r="J102" i="88"/>
  <c r="N107" i="88"/>
  <c r="N106" i="88"/>
  <c r="N105" i="88"/>
  <c r="N104" i="88"/>
  <c r="N103" i="88"/>
  <c r="N102" i="88"/>
  <c r="K107" i="88"/>
  <c r="K105" i="88"/>
  <c r="K103" i="88"/>
  <c r="K106" i="88"/>
  <c r="K104" i="88"/>
  <c r="K102" i="88"/>
  <c r="I107" i="88"/>
  <c r="I106" i="88"/>
  <c r="I105" i="88"/>
  <c r="I104" i="88"/>
  <c r="I103" i="88"/>
  <c r="I102" i="88"/>
  <c r="D107" i="88"/>
  <c r="D106" i="88"/>
  <c r="D105" i="88"/>
  <c r="D104" i="88"/>
  <c r="D103" i="88"/>
  <c r="D102" i="88"/>
  <c r="H107" i="88"/>
  <c r="H106" i="88"/>
  <c r="H105" i="88"/>
  <c r="H104" i="88"/>
  <c r="H103" i="88"/>
  <c r="H102" i="88"/>
  <c r="L107" i="88"/>
  <c r="L106" i="88"/>
  <c r="L105" i="88"/>
  <c r="L104" i="88"/>
  <c r="L103" i="88"/>
  <c r="L102" i="88"/>
  <c r="C16" i="88"/>
  <c r="M109" i="88"/>
  <c r="E109" i="88"/>
  <c r="C109" i="88"/>
  <c r="K24" i="81"/>
  <c r="J24" i="81"/>
  <c r="C20" i="77"/>
  <c r="D20" i="77"/>
  <c r="C21" i="77"/>
  <c r="D21" i="77"/>
  <c r="D11" i="77"/>
  <c r="D9" i="77"/>
  <c r="D23" i="84"/>
  <c r="D22" i="84"/>
  <c r="D24" i="84"/>
  <c r="P61" i="84"/>
  <c r="D23" i="83"/>
  <c r="D22" i="83"/>
  <c r="D24" i="83"/>
  <c r="P61" i="83"/>
  <c r="G8" i="81"/>
  <c r="G7" i="81"/>
  <c r="G6" i="81"/>
  <c r="H11" i="78"/>
  <c r="I12" i="81"/>
  <c r="G12" i="81"/>
  <c r="I9" i="81"/>
  <c r="J9" i="81"/>
  <c r="C122" i="81"/>
  <c r="I8" i="81"/>
  <c r="H7" i="81"/>
  <c r="I6" i="81"/>
  <c r="I10" i="81"/>
  <c r="J7" i="81"/>
  <c r="H17" i="81"/>
  <c r="H15" i="81"/>
  <c r="H8" i="81"/>
  <c r="M61" i="88"/>
  <c r="N61" i="88"/>
  <c r="K61" i="88"/>
  <c r="J61" i="88"/>
  <c r="D61" i="88"/>
  <c r="M67" i="88"/>
  <c r="N67" i="88"/>
  <c r="K67" i="88"/>
  <c r="J67" i="88"/>
  <c r="D67" i="88"/>
  <c r="M64" i="88"/>
  <c r="N64" i="88"/>
  <c r="K64" i="88"/>
  <c r="K62" i="88"/>
  <c r="M62" i="88"/>
  <c r="N62" i="88"/>
  <c r="M59" i="88"/>
  <c r="N59" i="88"/>
  <c r="K59" i="88"/>
  <c r="J59" i="88"/>
  <c r="D59" i="88"/>
  <c r="M65" i="88"/>
  <c r="N65" i="88"/>
  <c r="K65" i="88"/>
  <c r="J65" i="88"/>
  <c r="D65" i="88"/>
  <c r="M60" i="88"/>
  <c r="N60" i="88"/>
  <c r="K60" i="88"/>
  <c r="J60" i="88"/>
  <c r="D60" i="88"/>
  <c r="M66" i="88"/>
  <c r="N66" i="88"/>
  <c r="K66" i="88"/>
  <c r="J66" i="88"/>
  <c r="D66" i="88"/>
  <c r="K63" i="88"/>
  <c r="M63" i="88"/>
  <c r="N63" i="88"/>
  <c r="H18" i="81"/>
  <c r="J8" i="81"/>
  <c r="H10" i="81"/>
  <c r="J10" i="81"/>
  <c r="J6" i="81"/>
  <c r="C124" i="81"/>
  <c r="C123" i="81"/>
  <c r="C121" i="81"/>
  <c r="C120" i="81"/>
  <c r="C119" i="81"/>
  <c r="C118" i="81"/>
  <c r="C117" i="81"/>
  <c r="C113" i="81"/>
  <c r="C116" i="81"/>
  <c r="C38" i="81"/>
  <c r="D63" i="88"/>
  <c r="J63" i="88"/>
  <c r="D62" i="88"/>
  <c r="E59" i="88"/>
  <c r="B57" i="88"/>
  <c r="C24" i="88"/>
  <c r="J62" i="88"/>
  <c r="J64" i="88"/>
  <c r="D64" i="88"/>
  <c r="C114" i="81"/>
  <c r="C132" i="81"/>
  <c r="C125" i="81"/>
  <c r="C126" i="81"/>
  <c r="I29" i="78"/>
  <c r="F9" i="78"/>
  <c r="B28" i="78"/>
  <c r="B120" i="78"/>
  <c r="B119" i="78"/>
  <c r="F3" i="80"/>
  <c r="B3" i="80"/>
  <c r="G3" i="80"/>
  <c r="F4" i="80"/>
  <c r="B4" i="80"/>
  <c r="G4" i="80"/>
  <c r="F5" i="80"/>
  <c r="B5" i="80"/>
  <c r="G5" i="80"/>
  <c r="F6" i="80"/>
  <c r="B6" i="80"/>
  <c r="G6" i="80"/>
  <c r="F7" i="80"/>
  <c r="B7" i="80"/>
  <c r="G7" i="80"/>
  <c r="F8" i="80"/>
  <c r="B8" i="80"/>
  <c r="G8" i="80"/>
  <c r="F9" i="80"/>
  <c r="B9" i="80"/>
  <c r="G9" i="80"/>
  <c r="F10" i="80"/>
  <c r="B10" i="80"/>
  <c r="G10" i="80"/>
  <c r="A11" i="80"/>
  <c r="A10" i="80"/>
  <c r="A9" i="80"/>
  <c r="A8" i="80"/>
  <c r="A7" i="80"/>
  <c r="A6" i="80"/>
  <c r="A5" i="80"/>
  <c r="A4" i="80"/>
  <c r="A3" i="80"/>
  <c r="I7" i="78"/>
  <c r="J18" i="78"/>
  <c r="I4" i="78"/>
  <c r="F67" i="78"/>
  <c r="H4" i="78"/>
  <c r="H5" i="78"/>
  <c r="I5" i="78"/>
  <c r="H6" i="78"/>
  <c r="I6" i="78"/>
  <c r="G7" i="78"/>
  <c r="G8" i="78"/>
  <c r="I8" i="78"/>
  <c r="I9" i="78"/>
  <c r="H44" i="78"/>
  <c r="J14" i="78"/>
  <c r="K14" i="78"/>
  <c r="J15" i="78"/>
  <c r="K15" i="78"/>
  <c r="J16" i="78"/>
  <c r="K16" i="78"/>
  <c r="J17" i="78"/>
  <c r="K17" i="78"/>
  <c r="K18" i="78"/>
  <c r="J19" i="78"/>
  <c r="K19" i="78"/>
  <c r="J20" i="78"/>
  <c r="K20" i="78"/>
  <c r="F5" i="78"/>
  <c r="F7" i="78"/>
  <c r="K21" i="78"/>
  <c r="K22" i="78"/>
  <c r="J21" i="78"/>
  <c r="J22" i="78"/>
  <c r="I21" i="78"/>
  <c r="I20" i="78"/>
  <c r="I19" i="78"/>
  <c r="I18" i="78"/>
  <c r="H9" i="78"/>
  <c r="G9" i="78"/>
  <c r="F4" i="78"/>
  <c r="F8" i="78"/>
  <c r="E8" i="78"/>
  <c r="E7" i="78"/>
  <c r="E5" i="78"/>
  <c r="E4" i="78"/>
  <c r="B3" i="79"/>
  <c r="G3" i="79"/>
  <c r="B4" i="79"/>
  <c r="G4" i="79"/>
  <c r="B5" i="79"/>
  <c r="G5" i="79"/>
  <c r="B6" i="79"/>
  <c r="G6" i="79"/>
  <c r="B7" i="79"/>
  <c r="G7" i="79"/>
  <c r="B8" i="79"/>
  <c r="G8" i="79"/>
  <c r="B9" i="79"/>
  <c r="G9" i="79"/>
  <c r="B10" i="79"/>
  <c r="G10" i="79"/>
  <c r="B11" i="79"/>
  <c r="G11" i="79"/>
  <c r="B12" i="79"/>
  <c r="G12" i="79"/>
  <c r="B13" i="79"/>
  <c r="G13" i="79"/>
  <c r="B14" i="79"/>
  <c r="G14" i="79"/>
  <c r="B15" i="79"/>
  <c r="G15" i="79"/>
  <c r="B16" i="79"/>
  <c r="G16" i="79"/>
  <c r="B17" i="79"/>
  <c r="G17" i="79"/>
  <c r="B18" i="79"/>
  <c r="G18" i="79"/>
  <c r="B19" i="79"/>
  <c r="G19" i="79"/>
  <c r="B20" i="79"/>
  <c r="G20" i="79"/>
  <c r="B21" i="79"/>
  <c r="G21" i="79"/>
  <c r="B22" i="79"/>
  <c r="G22" i="79"/>
  <c r="B23" i="79"/>
  <c r="G23" i="79"/>
  <c r="B24" i="79"/>
  <c r="G24" i="79"/>
  <c r="B25" i="79"/>
  <c r="G25" i="79"/>
  <c r="B26" i="79"/>
  <c r="G26" i="79"/>
  <c r="B27" i="79"/>
  <c r="G27" i="79"/>
  <c r="B28" i="79"/>
  <c r="G28" i="79"/>
  <c r="B29" i="79"/>
  <c r="G29" i="79"/>
  <c r="B30" i="79"/>
  <c r="G30" i="79"/>
  <c r="B31" i="79"/>
  <c r="G31" i="79"/>
  <c r="B32" i="79"/>
  <c r="G32" i="79"/>
  <c r="B33" i="79"/>
  <c r="G33" i="79"/>
  <c r="B34" i="79"/>
  <c r="G34" i="79"/>
  <c r="B35" i="79"/>
  <c r="G35" i="79"/>
  <c r="B36" i="79"/>
  <c r="G36" i="79"/>
  <c r="B37" i="79"/>
  <c r="G37" i="79"/>
  <c r="B38" i="79"/>
  <c r="G38" i="79"/>
  <c r="B39" i="79"/>
  <c r="G39" i="79"/>
  <c r="B40" i="79"/>
  <c r="G40" i="79"/>
  <c r="B41" i="79"/>
  <c r="G41" i="79"/>
  <c r="B42" i="79"/>
  <c r="G42" i="79"/>
  <c r="B43" i="79"/>
  <c r="G43" i="79"/>
  <c r="B44" i="79"/>
  <c r="G44" i="79"/>
  <c r="B45" i="79"/>
  <c r="G45" i="79"/>
  <c r="B46" i="79"/>
  <c r="G46" i="79"/>
  <c r="B47" i="79"/>
  <c r="G47" i="79"/>
  <c r="B48" i="79"/>
  <c r="G48" i="79"/>
  <c r="B49" i="79"/>
  <c r="G49" i="79"/>
  <c r="B50" i="79"/>
  <c r="G50" i="79"/>
  <c r="B51" i="79"/>
  <c r="G51" i="79"/>
  <c r="B52" i="79"/>
  <c r="G52" i="79"/>
  <c r="B53" i="79"/>
  <c r="G53" i="79"/>
  <c r="B54" i="79"/>
  <c r="G54" i="79"/>
  <c r="B55" i="79"/>
  <c r="G55" i="79"/>
  <c r="A56" i="79"/>
  <c r="A55" i="79"/>
  <c r="A54" i="79"/>
  <c r="A53" i="79"/>
  <c r="A52" i="79"/>
  <c r="A51" i="79"/>
  <c r="A50" i="79"/>
  <c r="A49" i="79"/>
  <c r="A48" i="79"/>
  <c r="A47" i="79"/>
  <c r="A46" i="79"/>
  <c r="A45" i="79"/>
  <c r="A44" i="79"/>
  <c r="A43" i="79"/>
  <c r="A42" i="79"/>
  <c r="A41" i="79"/>
  <c r="A40" i="79"/>
  <c r="A39" i="79"/>
  <c r="A38" i="79"/>
  <c r="A37" i="79"/>
  <c r="A36" i="79"/>
  <c r="A35" i="79"/>
  <c r="A34" i="79"/>
  <c r="A33" i="79"/>
  <c r="A32" i="79"/>
  <c r="A31" i="79"/>
  <c r="A30" i="79"/>
  <c r="A29" i="79"/>
  <c r="A28" i="79"/>
  <c r="A27" i="79"/>
  <c r="A26" i="79"/>
  <c r="A25" i="79"/>
  <c r="A24" i="79"/>
  <c r="A23" i="79"/>
  <c r="A22" i="79"/>
  <c r="A21" i="79"/>
  <c r="A20" i="79"/>
  <c r="A19" i="79"/>
  <c r="A18" i="79"/>
  <c r="A17" i="79"/>
  <c r="A16" i="79"/>
  <c r="A15" i="79"/>
  <c r="A14" i="79"/>
  <c r="A13" i="79"/>
  <c r="A12" i="79"/>
  <c r="A11" i="79"/>
  <c r="A10" i="79"/>
  <c r="A9" i="79"/>
  <c r="A8" i="79"/>
  <c r="A7" i="79"/>
  <c r="A6" i="79"/>
  <c r="A5" i="79"/>
  <c r="A4" i="79"/>
  <c r="A3" i="79"/>
  <c r="L3" i="71"/>
  <c r="K3" i="71"/>
  <c r="J3" i="71"/>
  <c r="I3" i="71"/>
  <c r="AH5" i="71"/>
  <c r="AG5" i="71"/>
  <c r="AE5" i="71"/>
  <c r="AF5" i="71"/>
  <c r="AD5" i="71"/>
  <c r="Q5" i="71"/>
  <c r="Q6" i="71"/>
  <c r="Q7" i="71"/>
  <c r="Q8" i="71"/>
  <c r="Q9" i="71"/>
  <c r="Q10" i="71"/>
  <c r="Q11" i="71"/>
  <c r="Q12" i="71"/>
  <c r="Q13" i="71"/>
  <c r="Q14" i="71"/>
  <c r="Q15" i="71"/>
  <c r="Q16" i="71"/>
  <c r="Q17" i="71"/>
  <c r="Q18" i="71"/>
  <c r="Q19" i="71"/>
  <c r="Q20" i="71"/>
  <c r="Q21" i="71"/>
  <c r="Q22" i="71"/>
  <c r="Q23" i="71"/>
  <c r="AB5" i="71"/>
  <c r="P5" i="71"/>
  <c r="P6" i="71"/>
  <c r="P7" i="71"/>
  <c r="P8" i="71"/>
  <c r="P9" i="71"/>
  <c r="P10" i="71"/>
  <c r="P11" i="71"/>
  <c r="P12" i="71"/>
  <c r="P13" i="71"/>
  <c r="P14" i="71"/>
  <c r="P15" i="71"/>
  <c r="P16" i="71"/>
  <c r="P17" i="71"/>
  <c r="P18" i="71"/>
  <c r="P19" i="71"/>
  <c r="P20" i="71"/>
  <c r="P21" i="71"/>
  <c r="P22" i="71"/>
  <c r="P23" i="71"/>
  <c r="AA5" i="71"/>
  <c r="O5" i="71"/>
  <c r="O6" i="71"/>
  <c r="O7" i="71"/>
  <c r="O8" i="71"/>
  <c r="O9" i="71"/>
  <c r="O10" i="71"/>
  <c r="O11" i="71"/>
  <c r="O12" i="71"/>
  <c r="O13" i="71"/>
  <c r="O14" i="71"/>
  <c r="O15" i="71"/>
  <c r="O16" i="71"/>
  <c r="O17" i="71"/>
  <c r="O18" i="71"/>
  <c r="O19" i="71"/>
  <c r="O20" i="71"/>
  <c r="O21" i="71"/>
  <c r="O22" i="71"/>
  <c r="O23" i="71"/>
  <c r="Y5" i="71"/>
  <c r="Z5" i="71"/>
  <c r="N5" i="71"/>
  <c r="N6" i="71"/>
  <c r="N7" i="71"/>
  <c r="N8" i="71"/>
  <c r="N9" i="71"/>
  <c r="N10" i="71"/>
  <c r="N11" i="71"/>
  <c r="N12" i="71"/>
  <c r="N13" i="71"/>
  <c r="N14" i="71"/>
  <c r="N15" i="71"/>
  <c r="N16" i="71"/>
  <c r="N17" i="71"/>
  <c r="N18" i="71"/>
  <c r="N19" i="71"/>
  <c r="N20" i="71"/>
  <c r="N21" i="71"/>
  <c r="N22" i="71"/>
  <c r="N23" i="71"/>
  <c r="X5" i="71"/>
  <c r="F8" i="71"/>
  <c r="F7" i="71"/>
  <c r="F6" i="71"/>
  <c r="F5" i="71"/>
  <c r="E8" i="71"/>
  <c r="E7" i="71"/>
  <c r="E6" i="71"/>
  <c r="E5" i="71"/>
  <c r="C8" i="71"/>
  <c r="C7" i="71"/>
  <c r="C6" i="71"/>
  <c r="C5" i="71"/>
  <c r="D5" i="71"/>
  <c r="B8" i="71"/>
  <c r="B7" i="71"/>
  <c r="B6" i="71"/>
  <c r="B5" i="71"/>
  <c r="X6" i="71"/>
  <c r="AH6" i="71"/>
  <c r="AG6" i="71"/>
  <c r="AE6" i="71"/>
  <c r="AF6" i="71"/>
  <c r="AD6" i="71"/>
  <c r="AB6" i="71"/>
  <c r="AA6" i="71"/>
  <c r="Y6" i="71"/>
  <c r="Z6" i="71"/>
  <c r="D6" i="71"/>
  <c r="D7" i="71"/>
  <c r="B2" i="1"/>
  <c r="D8" i="71"/>
  <c r="D9" i="71"/>
  <c r="B12" i="71"/>
  <c r="B11" i="71"/>
  <c r="B10" i="71"/>
  <c r="C12" i="71"/>
  <c r="C11" i="71"/>
  <c r="C10" i="71"/>
  <c r="D10" i="71"/>
  <c r="E12" i="71"/>
  <c r="E11" i="71"/>
  <c r="E10" i="71"/>
  <c r="F12" i="71"/>
  <c r="F11" i="71"/>
  <c r="F10" i="71"/>
  <c r="D11" i="71"/>
  <c r="D12" i="71"/>
  <c r="D13" i="71"/>
  <c r="B14" i="71"/>
  <c r="C14" i="71"/>
  <c r="D14" i="71"/>
  <c r="E14" i="71"/>
  <c r="F14" i="71"/>
  <c r="B15" i="71"/>
  <c r="C15" i="71"/>
  <c r="D15" i="71"/>
  <c r="E15" i="71"/>
  <c r="F15" i="71"/>
  <c r="B16" i="71"/>
  <c r="C16" i="71"/>
  <c r="D16" i="71"/>
  <c r="E16" i="71"/>
  <c r="F16" i="71"/>
  <c r="D17" i="71"/>
  <c r="B18" i="71"/>
  <c r="C18" i="71"/>
  <c r="D18" i="71"/>
  <c r="E18" i="71"/>
  <c r="F18" i="71"/>
  <c r="B19" i="71"/>
  <c r="C19" i="71"/>
  <c r="D19" i="71"/>
  <c r="E19" i="71"/>
  <c r="F19" i="71"/>
  <c r="B20" i="71"/>
  <c r="C20" i="71"/>
  <c r="D20" i="71"/>
  <c r="E20" i="71"/>
  <c r="F20" i="71"/>
  <c r="D21" i="71"/>
  <c r="B22" i="71"/>
  <c r="C22" i="71"/>
  <c r="D22" i="71"/>
  <c r="E22" i="71"/>
  <c r="F22" i="71"/>
  <c r="B23" i="71"/>
  <c r="C23" i="71"/>
  <c r="D23" i="71"/>
  <c r="E23" i="71"/>
  <c r="F23" i="71"/>
  <c r="B24" i="71"/>
  <c r="C24" i="71"/>
  <c r="D24" i="71"/>
  <c r="E24" i="71"/>
  <c r="F24" i="71"/>
  <c r="M19" i="43"/>
  <c r="G2" i="43"/>
  <c r="H17" i="43"/>
  <c r="J17" i="43"/>
  <c r="J20" i="43"/>
  <c r="I20" i="43"/>
  <c r="F39" i="43"/>
  <c r="F37" i="43"/>
  <c r="F36" i="43"/>
  <c r="F34" i="43"/>
  <c r="M47" i="67"/>
  <c r="J53" i="67"/>
  <c r="Q52" i="67"/>
  <c r="M47" i="15"/>
  <c r="C18" i="43"/>
  <c r="AD5" i="3"/>
  <c r="AH5" i="3"/>
  <c r="AL5" i="3"/>
  <c r="AP5" i="3"/>
  <c r="H33" i="43"/>
  <c r="D1" i="43"/>
  <c r="C10" i="43"/>
  <c r="C11" i="43"/>
  <c r="E8" i="43"/>
  <c r="E11" i="43"/>
  <c r="C9" i="43"/>
  <c r="C15" i="43"/>
  <c r="D15" i="43"/>
  <c r="E15" i="43"/>
  <c r="F15" i="43"/>
  <c r="C12" i="43"/>
  <c r="C99" i="43"/>
  <c r="C100" i="43"/>
  <c r="C108" i="43"/>
  <c r="D48" i="43"/>
  <c r="D49" i="43"/>
  <c r="D50" i="43"/>
  <c r="D51" i="43"/>
  <c r="D52" i="43"/>
  <c r="D53" i="43"/>
  <c r="D54" i="43"/>
  <c r="D55" i="43"/>
  <c r="D56" i="43"/>
  <c r="D70" i="43"/>
  <c r="D71" i="43"/>
  <c r="D72" i="43"/>
  <c r="D73" i="43"/>
  <c r="D74" i="43"/>
  <c r="D75" i="43"/>
  <c r="D76" i="43"/>
  <c r="D77" i="43"/>
  <c r="D78" i="43"/>
  <c r="D81" i="43"/>
  <c r="D82" i="43"/>
  <c r="D83" i="43"/>
  <c r="D84" i="43"/>
  <c r="D85" i="43"/>
  <c r="D86" i="43"/>
  <c r="D87" i="43"/>
  <c r="D88" i="43"/>
  <c r="D99" i="43"/>
  <c r="D100" i="43"/>
  <c r="D108" i="43"/>
  <c r="F113" i="43"/>
  <c r="AH7" i="71"/>
  <c r="AG7" i="71"/>
  <c r="AE7" i="71"/>
  <c r="AF7" i="71"/>
  <c r="AD7" i="71"/>
  <c r="BB13" i="3"/>
  <c r="BC13" i="3"/>
  <c r="BD13" i="3"/>
  <c r="BE13" i="3"/>
  <c r="BF13" i="3"/>
  <c r="BG13" i="3"/>
  <c r="BH13" i="3"/>
  <c r="BI13" i="3"/>
  <c r="BJ13" i="3"/>
  <c r="BK13" i="3"/>
  <c r="BM13" i="3"/>
  <c r="BN13" i="3"/>
  <c r="BO13" i="3"/>
  <c r="BP13" i="3"/>
  <c r="BQ13" i="3"/>
  <c r="BR13" i="3"/>
  <c r="BS13" i="3"/>
  <c r="BT13" i="3"/>
  <c r="BL13" i="3"/>
  <c r="BB14" i="3"/>
  <c r="BC14" i="3"/>
  <c r="BD14" i="3"/>
  <c r="BD5" i="3"/>
  <c r="BE14" i="3"/>
  <c r="BF14" i="3"/>
  <c r="BG14" i="3"/>
  <c r="BH14" i="3"/>
  <c r="BH5" i="3"/>
  <c r="BI14" i="3"/>
  <c r="BJ14" i="3"/>
  <c r="BK14" i="3"/>
  <c r="BM14" i="3"/>
  <c r="BN14" i="3"/>
  <c r="BO14" i="3"/>
  <c r="BO5" i="3"/>
  <c r="BP14" i="3"/>
  <c r="BQ14" i="3"/>
  <c r="BR14" i="3"/>
  <c r="BS14" i="3"/>
  <c r="BS5" i="3"/>
  <c r="BT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AD8" i="71"/>
  <c r="AG8" i="71"/>
  <c r="AH8" i="71"/>
  <c r="AE8" i="71"/>
  <c r="AF8" i="71"/>
  <c r="X7" i="71"/>
  <c r="AB7" i="71"/>
  <c r="AA7" i="71"/>
  <c r="Y7" i="71"/>
  <c r="Z7" i="71"/>
  <c r="T8" i="71"/>
  <c r="S8" i="71"/>
  <c r="V8" i="71"/>
  <c r="U8" i="71"/>
  <c r="AB8" i="71"/>
  <c r="Y8" i="71"/>
  <c r="Z8" i="71"/>
  <c r="X8" i="71"/>
  <c r="AA8" i="71"/>
  <c r="A2" i="53"/>
  <c r="B19" i="72"/>
  <c r="K59" i="67"/>
  <c r="P61" i="67"/>
  <c r="K59" i="15"/>
  <c r="P74" i="15"/>
  <c r="P61" i="15"/>
  <c r="P74" i="67"/>
  <c r="D116" i="39"/>
  <c r="E116" i="39"/>
  <c r="F116" i="39"/>
  <c r="G116" i="39"/>
  <c r="H116" i="39"/>
  <c r="I116" i="39"/>
  <c r="J116" i="39"/>
  <c r="K116" i="39"/>
  <c r="L116" i="39"/>
  <c r="M116" i="39"/>
  <c r="C116" i="39"/>
  <c r="A21" i="62"/>
  <c r="B67" i="72"/>
  <c r="A20" i="62"/>
  <c r="A22" i="51"/>
  <c r="A21" i="51"/>
  <c r="A20" i="51"/>
  <c r="B15" i="72"/>
  <c r="A15" i="62"/>
  <c r="A14" i="62"/>
  <c r="B60" i="72"/>
  <c r="A13" i="62"/>
  <c r="A19" i="62"/>
  <c r="A12" i="62"/>
  <c r="A120" i="9"/>
  <c r="H2" i="52"/>
  <c r="A1" i="52"/>
  <c r="A3" i="53"/>
  <c r="A15" i="51"/>
  <c r="C76" i="9"/>
  <c r="I107" i="40"/>
  <c r="K6" i="4"/>
  <c r="B22" i="31"/>
  <c r="N56" i="9"/>
  <c r="M56" i="9"/>
  <c r="K56" i="9"/>
  <c r="E17" i="74"/>
  <c r="F17" i="74"/>
  <c r="E18" i="74"/>
  <c r="F18" i="74"/>
  <c r="E19" i="74"/>
  <c r="F19" i="74"/>
  <c r="E20" i="74"/>
  <c r="F20" i="74"/>
  <c r="E21" i="74"/>
  <c r="F21" i="74"/>
  <c r="E22" i="74"/>
  <c r="F22" i="74"/>
  <c r="E23" i="74"/>
  <c r="F23" i="74"/>
  <c r="B3" i="74"/>
  <c r="C91" i="9"/>
  <c r="B8" i="72"/>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59" i="72"/>
  <c r="B58" i="72"/>
  <c r="B66" i="72"/>
  <c r="B12" i="72"/>
  <c r="B10" i="72"/>
  <c r="C53" i="10"/>
  <c r="B51" i="10"/>
  <c r="A18" i="51"/>
  <c r="B13" i="72"/>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O37" i="71"/>
  <c r="C38" i="71"/>
  <c r="Q37" i="71"/>
  <c r="F38" i="71"/>
  <c r="F39" i="71"/>
  <c r="F40" i="71"/>
  <c r="V40" i="71"/>
  <c r="P37" i="71"/>
  <c r="E38"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AB23" i="71"/>
  <c r="AA23" i="71"/>
  <c r="Y23" i="71"/>
  <c r="Z23" i="71"/>
  <c r="X23" i="71"/>
  <c r="AB22" i="71"/>
  <c r="Y22" i="71"/>
  <c r="Z22" i="71"/>
  <c r="V24" i="71"/>
  <c r="AB20" i="71"/>
  <c r="Y20" i="71"/>
  <c r="Z20" i="71"/>
  <c r="AB19" i="71"/>
  <c r="Y19" i="71"/>
  <c r="Z19" i="71"/>
  <c r="AB18" i="71"/>
  <c r="Y18" i="71"/>
  <c r="Z18" i="71"/>
  <c r="V20" i="71"/>
  <c r="AB16" i="71"/>
  <c r="Y16" i="71"/>
  <c r="Z16" i="71"/>
  <c r="AB15" i="71"/>
  <c r="Y15" i="71"/>
  <c r="Z15" i="71"/>
  <c r="AB14" i="71"/>
  <c r="Y14" i="71"/>
  <c r="Z14" i="71"/>
  <c r="V16" i="71"/>
  <c r="S16" i="71"/>
  <c r="X13" i="71"/>
  <c r="U16" i="71"/>
  <c r="AA13" i="71"/>
  <c r="S20" i="71"/>
  <c r="X17" i="71"/>
  <c r="S24" i="71"/>
  <c r="X21" i="71"/>
  <c r="U24" i="71"/>
  <c r="AA21" i="71"/>
  <c r="N52" i="71"/>
  <c r="U20" i="71"/>
  <c r="AA17" i="71"/>
  <c r="Y13" i="71"/>
  <c r="Z13" i="71"/>
  <c r="AB13" i="71"/>
  <c r="X14" i="71"/>
  <c r="AA14" i="71"/>
  <c r="X15" i="71"/>
  <c r="AA15" i="71"/>
  <c r="X16" i="71"/>
  <c r="AA16" i="71"/>
  <c r="Y17" i="71"/>
  <c r="Z17" i="71"/>
  <c r="AB17" i="71"/>
  <c r="X18" i="71"/>
  <c r="AA18" i="71"/>
  <c r="X19" i="71"/>
  <c r="AA19" i="71"/>
  <c r="X20" i="71"/>
  <c r="AA20" i="71"/>
  <c r="Y21" i="71"/>
  <c r="Z21" i="71"/>
  <c r="AB21" i="71"/>
  <c r="X22" i="71"/>
  <c r="AA22" i="71"/>
  <c r="F35" i="71"/>
  <c r="F36" i="71"/>
  <c r="V36" i="71"/>
  <c r="Y3" i="71"/>
  <c r="Z3" i="71"/>
  <c r="Y9" i="71"/>
  <c r="Z9" i="71"/>
  <c r="Y10" i="71"/>
  <c r="Z10" i="71"/>
  <c r="Y11" i="71"/>
  <c r="Z11" i="71"/>
  <c r="Y12" i="71"/>
  <c r="Z12" i="71"/>
  <c r="X9" i="71"/>
  <c r="X10" i="71"/>
  <c r="X11" i="71"/>
  <c r="X3" i="71"/>
  <c r="X12" i="71"/>
  <c r="C27" i="71"/>
  <c r="D26" i="71"/>
  <c r="C31" i="71"/>
  <c r="D31" i="71"/>
  <c r="D30" i="71"/>
  <c r="C35" i="71"/>
  <c r="D34" i="71"/>
  <c r="E39" i="71"/>
  <c r="E40" i="71"/>
  <c r="U40" i="71"/>
  <c r="E43" i="71"/>
  <c r="E44" i="71"/>
  <c r="U44" i="71"/>
  <c r="E47" i="71"/>
  <c r="E48" i="71"/>
  <c r="U48" i="71"/>
  <c r="Q49" i="71"/>
  <c r="U52" i="71"/>
  <c r="E51"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S12" i="71"/>
  <c r="AB3" i="71"/>
  <c r="AB9" i="71"/>
  <c r="AB10" i="71"/>
  <c r="AB11" i="71"/>
  <c r="AB12" i="71"/>
  <c r="AA3" i="71"/>
  <c r="AA9" i="71"/>
  <c r="AA10" i="71"/>
  <c r="AA11" i="71"/>
  <c r="AA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V12" i="71"/>
  <c r="P49" i="71"/>
  <c r="P50" i="71"/>
  <c r="O50" i="71"/>
  <c r="D50" i="71"/>
  <c r="O49" i="71"/>
  <c r="T16" i="71"/>
  <c r="T20" i="71"/>
  <c r="T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84" i="34"/>
  <c r="G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H21" i="34"/>
  <c r="AB21" i="34"/>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J21" i="34"/>
  <c r="W21" i="34"/>
  <c r="G83" i="33"/>
  <c r="J21" i="33"/>
  <c r="F83" i="21"/>
  <c r="H21" i="21"/>
  <c r="F38" i="69"/>
  <c r="E37" i="69"/>
  <c r="F36" i="69"/>
  <c r="F35" i="69"/>
  <c r="F21" i="69"/>
  <c r="C21" i="69"/>
  <c r="F20" i="69"/>
  <c r="E10" i="69"/>
  <c r="E9" i="69"/>
  <c r="F7" i="69"/>
  <c r="C7" i="69"/>
  <c r="AC21" i="37"/>
  <c r="W21" i="37"/>
  <c r="AC21" i="34"/>
  <c r="AC21" i="33"/>
  <c r="W21" i="33"/>
  <c r="AB21" i="21"/>
  <c r="U21" i="21"/>
  <c r="G83" i="21"/>
  <c r="J21" i="21"/>
  <c r="F38" i="68"/>
  <c r="E37" i="68"/>
  <c r="F36" i="68"/>
  <c r="F35" i="68"/>
  <c r="E10" i="68"/>
  <c r="E9" i="68"/>
  <c r="F7" i="68"/>
  <c r="W21" i="21"/>
  <c r="AC21" i="21"/>
  <c r="Q72" i="67"/>
  <c r="Q59" i="67"/>
  <c r="Q58" i="67"/>
  <c r="Q51" i="67"/>
  <c r="J50" i="67"/>
  <c r="D46" i="67"/>
  <c r="F33" i="67"/>
  <c r="F61" i="67"/>
  <c r="F23" i="67"/>
  <c r="D24" i="67"/>
  <c r="F21" i="67"/>
  <c r="F20" i="67"/>
  <c r="M19" i="67"/>
  <c r="F18" i="67"/>
  <c r="F17" i="67"/>
  <c r="F15" i="67"/>
  <c r="S2" i="4"/>
  <c r="S1" i="4"/>
  <c r="A4" i="51"/>
  <c r="B6" i="72"/>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I15" i="4"/>
  <c r="H15" i="4"/>
  <c r="G15" i="4"/>
  <c r="E15" i="4"/>
  <c r="D15" i="4"/>
  <c r="F7" i="1"/>
  <c r="G7" i="1"/>
  <c r="L21" i="4"/>
  <c r="F19" i="4"/>
  <c r="F2" i="52"/>
  <c r="B50" i="72"/>
  <c r="D2" i="52"/>
  <c r="B46" i="72"/>
  <c r="B8" i="53"/>
  <c r="B23" i="72"/>
  <c r="L4" i="9"/>
  <c r="B17" i="72"/>
  <c r="A3" i="51"/>
  <c r="C8" i="11"/>
  <c r="B2" i="49"/>
  <c r="B10" i="49"/>
  <c r="B40" i="48"/>
  <c r="B3" i="72"/>
  <c r="I2" i="43"/>
  <c r="N1" i="43"/>
  <c r="F59" i="43"/>
  <c r="F35" i="4"/>
  <c r="J55" i="39"/>
  <c r="H34" i="43"/>
  <c r="H35" i="43"/>
  <c r="H36" i="43"/>
  <c r="H37" i="43"/>
  <c r="H38" i="43"/>
  <c r="H39" i="43"/>
  <c r="A7" i="43"/>
  <c r="F33" i="15"/>
  <c r="F61" i="15"/>
  <c r="M19" i="15"/>
  <c r="M10" i="1"/>
  <c r="O10" i="1"/>
  <c r="B22" i="1"/>
  <c r="E1" i="73"/>
  <c r="B23" i="1"/>
  <c r="B24" i="1"/>
  <c r="F11" i="12"/>
  <c r="F23" i="12"/>
  <c r="C23" i="12"/>
  <c r="B43" i="1"/>
  <c r="D78" i="9"/>
  <c r="E19" i="6"/>
  <c r="E20" i="6"/>
  <c r="E21" i="6"/>
  <c r="K8" i="1"/>
  <c r="M8" i="1"/>
  <c r="O8" i="1"/>
  <c r="P8" i="1"/>
  <c r="F23" i="15"/>
  <c r="D24" i="15"/>
  <c r="E22" i="6"/>
  <c r="E23" i="6"/>
  <c r="E24" i="6"/>
  <c r="E25" i="6"/>
  <c r="E26" i="6"/>
  <c r="BC10" i="3"/>
  <c r="BD10" i="3"/>
  <c r="BB10" i="3"/>
  <c r="I5" i="3"/>
  <c r="F35" i="11"/>
  <c r="F36" i="11"/>
  <c r="F38" i="11"/>
  <c r="E37" i="11"/>
  <c r="F20" i="11"/>
  <c r="F21" i="11"/>
  <c r="C21" i="11"/>
  <c r="F7" i="11"/>
  <c r="C7" i="11"/>
  <c r="C5" i="11"/>
  <c r="F12" i="12"/>
  <c r="F13" i="12"/>
  <c r="F15" i="12"/>
  <c r="E14" i="12"/>
  <c r="BC11" i="3"/>
  <c r="BD11" i="3"/>
  <c r="BB11" i="3"/>
  <c r="E19" i="12"/>
  <c r="E20" i="12"/>
  <c r="E17" i="12"/>
  <c r="F22" i="12"/>
  <c r="F24" i="12"/>
  <c r="I55" i="9"/>
  <c r="F55" i="9"/>
  <c r="O53" i="9"/>
  <c r="D89" i="9"/>
  <c r="C89" i="9"/>
  <c r="C87" i="9"/>
  <c r="G12" i="1"/>
  <c r="J55" i="9"/>
  <c r="B31" i="1"/>
  <c r="E19" i="69"/>
  <c r="B52" i="1"/>
  <c r="M20" i="15"/>
  <c r="T4" i="1"/>
  <c r="F15" i="15"/>
  <c r="F17" i="15"/>
  <c r="F18"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H46" i="34"/>
  <c r="B127" i="34"/>
  <c r="B99" i="34"/>
  <c r="F32" i="34"/>
  <c r="B97" i="34"/>
  <c r="B95" i="34"/>
  <c r="H30" i="34"/>
  <c r="B93" i="34"/>
  <c r="B75" i="34"/>
  <c r="B73" i="34"/>
  <c r="J1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E90" i="34"/>
  <c r="F90" i="34"/>
  <c r="G90" i="34"/>
  <c r="H90" i="34"/>
  <c r="I90" i="34"/>
  <c r="J90" i="34"/>
  <c r="K90" i="34"/>
  <c r="L90" i="34"/>
  <c r="M90" i="34"/>
  <c r="C15" i="34"/>
  <c r="G67" i="34"/>
  <c r="D126" i="34"/>
  <c r="E126" i="34"/>
  <c r="F126" i="34"/>
  <c r="G126" i="34"/>
  <c r="D124" i="34"/>
  <c r="E124" i="34"/>
  <c r="F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F28" i="34"/>
  <c r="B89" i="34"/>
  <c r="D88" i="34"/>
  <c r="E88" i="34"/>
  <c r="E86" i="34"/>
  <c r="F86" i="34"/>
  <c r="G86" i="34"/>
  <c r="E82" i="34"/>
  <c r="F82" i="34"/>
  <c r="G82" i="34"/>
  <c r="E80" i="34"/>
  <c r="F80" i="34"/>
  <c r="G80" i="34"/>
  <c r="D78" i="34"/>
  <c r="E78" i="34"/>
  <c r="F78" i="34"/>
  <c r="G78" i="34"/>
  <c r="D70" i="34"/>
  <c r="E70" i="34"/>
  <c r="F70" i="34"/>
  <c r="G70" i="34"/>
  <c r="H70" i="34"/>
  <c r="I70" i="34"/>
  <c r="J70" i="34"/>
  <c r="K70" i="34"/>
  <c r="L70" i="34"/>
  <c r="M70" i="34"/>
  <c r="M68" i="34"/>
  <c r="L68" i="34"/>
  <c r="K68" i="34"/>
  <c r="J68" i="34"/>
  <c r="I68" i="34"/>
  <c r="H68" i="34"/>
  <c r="G68" i="34"/>
  <c r="F68" i="34"/>
  <c r="E68" i="34"/>
  <c r="D68" i="34"/>
  <c r="C68" i="34"/>
  <c r="C64" i="34"/>
  <c r="J9" i="34"/>
  <c r="P50" i="34"/>
  <c r="P49"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U12" i="34"/>
  <c r="F12" i="34"/>
  <c r="S12" i="34"/>
  <c r="Q11" i="34"/>
  <c r="Z11" i="34"/>
  <c r="Q10" i="34"/>
  <c r="Z10" i="34"/>
  <c r="Q9" i="34"/>
  <c r="Z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S36" i="34"/>
  <c r="J35"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S35" i="34"/>
  <c r="U23" i="34"/>
  <c r="U17" i="34"/>
  <c r="F15" i="34"/>
  <c r="S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J40" i="34"/>
  <c r="W40" i="34"/>
  <c r="F114" i="34"/>
  <c r="G114" i="34"/>
  <c r="H114" i="34"/>
  <c r="I114" i="34"/>
  <c r="J114" i="34"/>
  <c r="K114" i="34"/>
  <c r="L114" i="34"/>
  <c r="M114" i="34"/>
  <c r="H38" i="34"/>
  <c r="AB38" i="34"/>
  <c r="J36" i="34"/>
  <c r="W36" i="34"/>
  <c r="H25" i="34"/>
  <c r="AB25" i="34"/>
  <c r="W17" i="34"/>
  <c r="AA15" i="34"/>
  <c r="S41" i="33"/>
  <c r="F113" i="33"/>
  <c r="G113" i="33"/>
  <c r="H113" i="33"/>
  <c r="I113" i="33"/>
  <c r="J113" i="33"/>
  <c r="K113" i="33"/>
  <c r="L113" i="33"/>
  <c r="M113" i="33"/>
  <c r="H37" i="33"/>
  <c r="AB37" i="33"/>
  <c r="H15" i="33"/>
  <c r="AB15" i="33"/>
  <c r="H11" i="33"/>
  <c r="AB11" i="33"/>
  <c r="F28" i="40"/>
  <c r="AA28" i="40"/>
  <c r="AA29" i="35"/>
  <c r="AA42" i="34"/>
  <c r="S42" i="34"/>
  <c r="AC38" i="34"/>
  <c r="J11" i="33"/>
  <c r="W11" i="33"/>
  <c r="U23" i="40"/>
  <c r="G123" i="21"/>
  <c r="H123" i="21"/>
  <c r="I123" i="21"/>
  <c r="J123" i="21"/>
  <c r="K123" i="21"/>
  <c r="L123" i="21"/>
  <c r="M123" i="21"/>
  <c r="J42" i="21"/>
  <c r="AC42" i="21"/>
  <c r="H42" i="21"/>
  <c r="U42" i="21"/>
  <c r="J44" i="34"/>
  <c r="AC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U14" i="34"/>
  <c r="F30" i="34"/>
  <c r="S30" i="34"/>
  <c r="J30" i="34"/>
  <c r="W30" i="34"/>
  <c r="H32" i="34"/>
  <c r="U32" i="34"/>
  <c r="J32" i="34"/>
  <c r="W32"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F13" i="34"/>
  <c r="AA13" i="34"/>
  <c r="J29" i="34"/>
  <c r="AC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c r="H41" i="34"/>
  <c r="U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W35" i="40"/>
  <c r="A118" i="9"/>
  <c r="A4" i="52"/>
  <c r="B41" i="72"/>
  <c r="J11" i="39"/>
  <c r="W11" i="39"/>
  <c r="F11" i="39"/>
  <c r="AA11" i="39"/>
  <c r="A12" i="52"/>
  <c r="B56" i="72"/>
  <c r="S11" i="39"/>
  <c r="G4" i="4"/>
  <c r="I4" i="4"/>
  <c r="K5" i="4"/>
  <c r="B47" i="48"/>
  <c r="A2" i="9"/>
  <c r="BM5" i="3"/>
  <c r="F29" i="6"/>
  <c r="BJ5" i="3"/>
  <c r="BF5" i="3"/>
  <c r="BQ5" i="3"/>
  <c r="BP5" i="3"/>
  <c r="BN5" i="3"/>
  <c r="BK5" i="3"/>
  <c r="BI5" i="3"/>
  <c r="BG5" i="3"/>
  <c r="BE5" i="3"/>
  <c r="BC5" i="3"/>
  <c r="BT5" i="3"/>
  <c r="BB5" i="3"/>
  <c r="BR5" i="3"/>
  <c r="G28" i="6"/>
  <c r="U36" i="40"/>
  <c r="F81" i="43"/>
  <c r="H83" i="43"/>
  <c r="F48" i="43"/>
  <c r="H52" i="43"/>
  <c r="F70" i="43"/>
  <c r="H73" i="43"/>
  <c r="E17" i="43"/>
  <c r="F6" i="1"/>
  <c r="G6" i="1"/>
  <c r="U17" i="39"/>
  <c r="S14" i="35"/>
  <c r="U43" i="21"/>
  <c r="U35" i="21"/>
  <c r="AC35" i="21"/>
  <c r="U10" i="21"/>
  <c r="G10" i="1"/>
  <c r="F48" i="9"/>
  <c r="O52" i="9"/>
  <c r="AC11" i="39"/>
  <c r="W37" i="37"/>
  <c r="W44" i="34"/>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AE9" i="1"/>
  <c r="G29" i="6"/>
  <c r="AC26" i="33"/>
  <c r="W26" i="33"/>
  <c r="AB34" i="36"/>
  <c r="U34" i="36"/>
  <c r="AB33" i="36"/>
  <c r="U33" i="36"/>
  <c r="AC12" i="39"/>
  <c r="W12" i="39"/>
  <c r="AC39" i="40"/>
  <c r="W39" i="40"/>
  <c r="W12" i="33"/>
  <c r="AC12" i="33"/>
  <c r="AA32" i="36"/>
  <c r="S32" i="36"/>
  <c r="U30" i="33"/>
  <c r="W28" i="37"/>
  <c r="S19" i="39"/>
  <c r="F12" i="33"/>
  <c r="H12" i="39"/>
  <c r="AB12" i="39"/>
  <c r="F39" i="40"/>
  <c r="S12" i="1"/>
  <c r="AR12" i="1"/>
  <c r="R12" i="1"/>
  <c r="B12" i="1"/>
  <c r="E12" i="1"/>
  <c r="S10" i="1"/>
  <c r="R10" i="1"/>
  <c r="B10" i="1"/>
  <c r="E10" i="1"/>
  <c r="D1" i="66"/>
  <c r="E10" i="66"/>
  <c r="K12" i="1"/>
  <c r="M12" i="1"/>
  <c r="S13" i="1"/>
  <c r="AR13" i="1"/>
  <c r="R13" i="1"/>
  <c r="S11" i="1"/>
  <c r="AQ11" i="1"/>
  <c r="R11" i="1"/>
  <c r="S9" i="1"/>
  <c r="T9" i="1"/>
  <c r="R9" i="1"/>
  <c r="J51" i="67"/>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AB8" i="34"/>
  <c r="AC39" i="34"/>
  <c r="AC42" i="34"/>
  <c r="AB35" i="34"/>
  <c r="AB41" i="34"/>
  <c r="W34" i="34"/>
  <c r="S17" i="34"/>
  <c r="AA29" i="34"/>
  <c r="U15" i="34"/>
  <c r="S10" i="34"/>
  <c r="H67" i="34"/>
  <c r="I67" i="34"/>
  <c r="U10" i="34"/>
  <c r="F11" i="34"/>
  <c r="S11"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D120" i="9"/>
  <c r="M20" i="67"/>
  <c r="J56" i="9"/>
  <c r="J57" i="9"/>
  <c r="A24" i="51"/>
  <c r="B18" i="72"/>
  <c r="U29" i="34"/>
  <c r="E5" i="6"/>
  <c r="D9" i="11"/>
  <c r="C9" i="11"/>
  <c r="E32" i="6"/>
  <c r="L19" i="6"/>
  <c r="G1" i="68"/>
  <c r="K1" i="12"/>
  <c r="G41" i="68"/>
  <c r="G41" i="11"/>
  <c r="E81" i="43"/>
  <c r="B79" i="43"/>
  <c r="E48" i="43"/>
  <c r="B46" i="43"/>
  <c r="E70" i="43"/>
  <c r="B68" i="43"/>
  <c r="F100" i="43"/>
  <c r="D9" i="53"/>
  <c r="B25" i="72"/>
  <c r="B24" i="72"/>
  <c r="H85" i="43"/>
  <c r="B19" i="53"/>
  <c r="B37" i="72"/>
  <c r="C4" i="12"/>
  <c r="L20" i="6"/>
  <c r="B6" i="1"/>
  <c r="E6" i="1"/>
  <c r="K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U19" i="34"/>
  <c r="W19" i="34"/>
  <c r="AB33" i="34"/>
  <c r="AA31" i="34"/>
  <c r="AA30" i="34"/>
  <c r="AB47" i="34"/>
  <c r="W33" i="34"/>
  <c r="AC32" i="34"/>
  <c r="AC40" i="34"/>
  <c r="S19" i="34"/>
  <c r="AA8" i="34"/>
  <c r="S8" i="34"/>
  <c r="AB32" i="34"/>
  <c r="AB14" i="34"/>
  <c r="W23" i="34"/>
  <c r="AC35" i="34"/>
  <c r="W35"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56" i="43"/>
  <c r="B60" i="43"/>
  <c r="B63" i="43"/>
  <c r="B67" i="43"/>
  <c r="D23" i="15"/>
  <c r="D22" i="15"/>
  <c r="E4" i="4"/>
  <c r="B5" i="62"/>
  <c r="B73" i="72"/>
  <c r="C4" i="4"/>
  <c r="F31" i="12"/>
  <c r="F32" i="15"/>
  <c r="F60" i="15"/>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c r="W10"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J59" i="9"/>
  <c r="J61" i="9"/>
  <c r="R22" i="31"/>
  <c r="B21" i="31"/>
  <c r="B4" i="62"/>
  <c r="B71" i="72"/>
  <c r="AP7" i="1"/>
  <c r="AB45" i="21"/>
  <c r="AC33" i="21"/>
  <c r="W33" i="21"/>
  <c r="S33" i="21"/>
  <c r="AA33" i="21"/>
  <c r="W32" i="21"/>
  <c r="AC32" i="21"/>
  <c r="AB9" i="21"/>
  <c r="U9" i="21"/>
  <c r="AA32" i="21"/>
  <c r="S32" i="21"/>
  <c r="W9" i="21"/>
  <c r="AC9" i="21"/>
  <c r="AB32" i="21"/>
  <c r="U32" i="21"/>
  <c r="AA10" i="21"/>
  <c r="S10" i="21"/>
  <c r="A18" i="62"/>
  <c r="B64" i="72"/>
  <c r="U32" i="39"/>
  <c r="AB32" i="39"/>
  <c r="AC32" i="39"/>
  <c r="W32" i="39"/>
  <c r="W19" i="37"/>
  <c r="AC19" i="37"/>
  <c r="W23" i="37"/>
  <c r="AC23" i="37"/>
  <c r="AB11" i="37"/>
  <c r="U11" i="37"/>
  <c r="H63" i="37"/>
  <c r="I63" i="37"/>
  <c r="J63" i="37"/>
  <c r="K63" i="37"/>
  <c r="L63" i="37"/>
  <c r="M63" i="37"/>
  <c r="J11" i="37"/>
  <c r="W10" i="37"/>
  <c r="AC10" i="37"/>
  <c r="U11" i="34"/>
  <c r="J11" i="34"/>
  <c r="W11" i="34"/>
  <c r="AC36" i="33"/>
  <c r="W36" i="33"/>
  <c r="U36" i="33"/>
  <c r="AB36" i="33"/>
  <c r="W27" i="33"/>
  <c r="AC27" i="33"/>
  <c r="W25" i="33"/>
  <c r="AC25" i="33"/>
  <c r="AA23" i="33"/>
  <c r="S23" i="33"/>
  <c r="AB19" i="33"/>
  <c r="U19" i="33"/>
  <c r="AA17" i="33"/>
  <c r="S17" i="33"/>
  <c r="U17" i="33"/>
  <c r="AB17" i="33"/>
  <c r="U23" i="21"/>
  <c r="AB23" i="21"/>
  <c r="AC23" i="21"/>
  <c r="W23" i="21"/>
  <c r="AC11" i="37"/>
  <c r="W11" i="37"/>
  <c r="F34" i="1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H112" i="9"/>
  <c r="D21" i="53"/>
  <c r="B39" i="72"/>
  <c r="H111" i="9"/>
  <c r="D126" i="9"/>
  <c r="D19" i="53"/>
  <c r="D59" i="9"/>
  <c r="M55" i="9"/>
  <c r="B38" i="72"/>
  <c r="D20" i="53"/>
  <c r="B40" i="72"/>
  <c r="I14" i="74"/>
  <c r="B8" i="74"/>
  <c r="D127" i="9"/>
  <c r="D13" i="52"/>
  <c r="D12" i="52"/>
  <c r="AD3" i="71"/>
  <c r="M10" i="43"/>
  <c r="M4" i="43"/>
  <c r="N8" i="43"/>
  <c r="N12" i="43"/>
  <c r="H54" i="43"/>
  <c r="M3" i="43"/>
  <c r="C51" i="10"/>
  <c r="A13" i="51"/>
  <c r="B11" i="72"/>
  <c r="A118" i="87"/>
  <c r="A2" i="87"/>
  <c r="A118" i="86"/>
  <c r="A2" i="86"/>
  <c r="K4" i="4"/>
  <c r="B46" i="48"/>
  <c r="B4" i="72"/>
  <c r="E9" i="43"/>
  <c r="H56" i="43"/>
  <c r="M5" i="43"/>
  <c r="N11" i="43"/>
  <c r="N6" i="43"/>
  <c r="M1" i="43"/>
  <c r="H49" i="43"/>
  <c r="M6" i="43"/>
  <c r="N7" i="43"/>
  <c r="N2" i="43"/>
  <c r="E10" i="43"/>
  <c r="C7" i="43"/>
  <c r="H84" i="43"/>
  <c r="H62" i="43"/>
  <c r="G62" i="43"/>
  <c r="H65" i="43"/>
  <c r="G65" i="43"/>
  <c r="H63" i="43"/>
  <c r="G63" i="43"/>
  <c r="M12" i="43"/>
  <c r="N5" i="43"/>
  <c r="M9" i="43"/>
  <c r="N3" i="43"/>
  <c r="M2" i="43"/>
  <c r="M7" i="43"/>
  <c r="H88" i="43"/>
  <c r="H81" i="43"/>
  <c r="N9" i="43"/>
  <c r="M8" i="43"/>
  <c r="N10" i="43"/>
  <c r="M11" i="43"/>
  <c r="N4" i="43"/>
  <c r="C6" i="43"/>
  <c r="AC45" i="34"/>
  <c r="J46" i="34"/>
  <c r="AB46" i="34"/>
  <c r="U46" i="34"/>
  <c r="AB45" i="34"/>
  <c r="AA45" i="34"/>
  <c r="AA47" i="34"/>
  <c r="W47" i="34"/>
  <c r="F46" i="34"/>
  <c r="U44" i="34"/>
  <c r="J41" i="34"/>
  <c r="AC41" i="34"/>
  <c r="F41" i="34"/>
  <c r="S41" i="34"/>
  <c r="W41" i="34"/>
  <c r="AA41" i="34"/>
  <c r="AB40" i="34"/>
  <c r="U39" i="34"/>
  <c r="AA38" i="34"/>
  <c r="G124" i="34"/>
  <c r="H124" i="34"/>
  <c r="I124" i="34"/>
  <c r="J124" i="34"/>
  <c r="K124" i="34"/>
  <c r="L124" i="34"/>
  <c r="M124" i="34"/>
  <c r="S43" i="34"/>
  <c r="U43" i="34"/>
  <c r="AA36" i="34"/>
  <c r="AA33" i="34"/>
  <c r="S28" i="34"/>
  <c r="AA28" i="34"/>
  <c r="U30" i="34"/>
  <c r="AB30" i="34"/>
  <c r="S32" i="34"/>
  <c r="AA32" i="34"/>
  <c r="W29" i="34"/>
  <c r="AC28" i="34"/>
  <c r="AC30" i="34"/>
  <c r="U27" i="34"/>
  <c r="W27" i="34"/>
  <c r="S27" i="34"/>
  <c r="J25" i="34"/>
  <c r="AC25" i="34"/>
  <c r="F88" i="34"/>
  <c r="G88" i="34"/>
  <c r="H88" i="34"/>
  <c r="I88" i="34"/>
  <c r="J88" i="34"/>
  <c r="K88" i="34"/>
  <c r="L88" i="34"/>
  <c r="M88" i="34"/>
  <c r="F25" i="34"/>
  <c r="S25" i="34"/>
  <c r="U21" i="34"/>
  <c r="S23" i="34"/>
  <c r="W13" i="34"/>
  <c r="AC13" i="34"/>
  <c r="AC11" i="34"/>
  <c r="AB13" i="34"/>
  <c r="AC12" i="34"/>
  <c r="AA39" i="34"/>
  <c r="U38" i="34"/>
  <c r="AB36" i="34"/>
  <c r="AC36" i="34"/>
  <c r="S34" i="34"/>
  <c r="U34" i="34"/>
  <c r="U28" i="34"/>
  <c r="AA25" i="34"/>
  <c r="U25" i="34"/>
  <c r="W25" i="34"/>
  <c r="AC14" i="34"/>
  <c r="S13" i="34"/>
  <c r="AA11" i="34"/>
  <c r="W9" i="34"/>
  <c r="AC9" i="34"/>
  <c r="H9" i="34"/>
  <c r="H72" i="43"/>
  <c r="H55" i="43"/>
  <c r="H64" i="43"/>
  <c r="G64" i="43"/>
  <c r="H66" i="43"/>
  <c r="G66" i="43"/>
  <c r="H70" i="43"/>
  <c r="H75" i="43"/>
  <c r="H82" i="43"/>
  <c r="H77" i="43"/>
  <c r="H76" i="43"/>
  <c r="H51" i="43"/>
  <c r="H67" i="43"/>
  <c r="G67" i="43"/>
  <c r="H59" i="43"/>
  <c r="G59" i="43"/>
  <c r="H60" i="43"/>
  <c r="G60" i="43"/>
  <c r="H61" i="43"/>
  <c r="G61" i="43"/>
  <c r="H71" i="43"/>
  <c r="H78" i="43"/>
  <c r="H53" i="43"/>
  <c r="H74" i="43"/>
  <c r="X7" i="43"/>
  <c r="H113" i="43"/>
  <c r="F33" i="43"/>
  <c r="F35" i="43"/>
  <c r="F38" i="43"/>
  <c r="C17" i="43"/>
  <c r="I17" i="43"/>
  <c r="G17" i="43"/>
  <c r="H87" i="43"/>
  <c r="H86" i="43"/>
  <c r="H48" i="43"/>
  <c r="H50" i="43"/>
  <c r="T35" i="4"/>
  <c r="A19" i="51"/>
  <c r="B14" i="72"/>
  <c r="K5" i="79"/>
  <c r="K4" i="79"/>
  <c r="B11" i="80"/>
  <c r="B56" i="79"/>
  <c r="B52" i="43"/>
  <c r="B49" i="43"/>
  <c r="C21" i="39"/>
  <c r="E29" i="6"/>
  <c r="K15" i="1"/>
  <c r="F28" i="6"/>
  <c r="F30" i="6"/>
  <c r="G30" i="6"/>
  <c r="BL14" i="3"/>
  <c r="BL5" i="3"/>
  <c r="BA14" i="3"/>
  <c r="AZ14" i="3"/>
  <c r="M7" i="1"/>
  <c r="F34" i="15"/>
  <c r="F62" i="15"/>
  <c r="F34" i="67"/>
  <c r="F62" i="67"/>
  <c r="C94" i="9"/>
  <c r="C92" i="9"/>
  <c r="F54" i="9"/>
  <c r="M18" i="15"/>
  <c r="M18" i="67"/>
  <c r="F30" i="68"/>
  <c r="D93" i="9"/>
  <c r="D68" i="9"/>
  <c r="F28" i="15"/>
  <c r="F30" i="69"/>
  <c r="F32" i="67"/>
  <c r="F60" i="67"/>
  <c r="F52" i="9"/>
  <c r="F28" i="67"/>
  <c r="F30" i="11"/>
  <c r="C40" i="69"/>
  <c r="E19" i="68"/>
  <c r="E19" i="11"/>
  <c r="F1" i="67"/>
  <c r="G25" i="12"/>
  <c r="G27" i="12"/>
  <c r="G41" i="69"/>
  <c r="D22" i="67"/>
  <c r="G22" i="11"/>
  <c r="G26" i="12"/>
  <c r="G22" i="68"/>
  <c r="G22" i="69"/>
  <c r="D23" i="67"/>
  <c r="G8" i="1"/>
  <c r="T11" i="1"/>
  <c r="G31" i="6"/>
  <c r="L27" i="6"/>
  <c r="K6" i="1"/>
  <c r="G5" i="3"/>
  <c r="B3" i="3"/>
  <c r="E13" i="3"/>
  <c r="E28" i="6"/>
  <c r="E114" i="3"/>
  <c r="E382" i="3"/>
  <c r="E252" i="3"/>
  <c r="E576" i="3"/>
  <c r="AC5" i="3"/>
  <c r="I4" i="6"/>
  <c r="G3" i="43"/>
  <c r="B113" i="43"/>
  <c r="BA13" i="3"/>
  <c r="E10" i="6"/>
  <c r="D9" i="69"/>
  <c r="C9" i="69"/>
  <c r="D19" i="12"/>
  <c r="C19" i="12"/>
  <c r="E15" i="6"/>
  <c r="AQ10" i="1"/>
  <c r="AR10" i="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14" i="6"/>
  <c r="E11" i="6"/>
  <c r="E13" i="6"/>
  <c r="E12" i="6"/>
  <c r="E8" i="6"/>
  <c r="C36" i="69"/>
  <c r="AQ12" i="1"/>
  <c r="P7" i="1"/>
  <c r="AR11" i="1"/>
  <c r="T10" i="1"/>
  <c r="T12" i="1"/>
  <c r="P10" i="1"/>
  <c r="M11" i="1"/>
  <c r="O9" i="1"/>
  <c r="P9" i="1"/>
  <c r="E65" i="39"/>
  <c r="E60" i="40"/>
  <c r="AZ13" i="3"/>
  <c r="AZ5" i="3"/>
  <c r="BA5" i="3"/>
  <c r="AR9" i="1"/>
  <c r="AQ9" i="1"/>
  <c r="O12" i="1"/>
  <c r="P12" i="1"/>
  <c r="O13" i="1"/>
  <c r="P13" i="1"/>
  <c r="T13" i="1"/>
  <c r="AQ13" i="1"/>
  <c r="G11" i="80"/>
  <c r="D12" i="80"/>
  <c r="K3" i="79"/>
  <c r="K6" i="79"/>
  <c r="G56" i="79"/>
  <c r="D57" i="79"/>
  <c r="G11" i="1"/>
  <c r="G9" i="1"/>
  <c r="G19" i="43"/>
  <c r="C7" i="37"/>
  <c r="C52" i="37"/>
  <c r="C7" i="36"/>
  <c r="C46" i="36"/>
  <c r="C7" i="39"/>
  <c r="C68" i="39"/>
  <c r="C7" i="33"/>
  <c r="C58" i="33"/>
  <c r="C7" i="21"/>
  <c r="C58" i="21"/>
  <c r="C42" i="1"/>
  <c r="C7" i="35"/>
  <c r="C48" i="35"/>
  <c r="C7" i="40"/>
  <c r="C63" i="40"/>
  <c r="M47" i="9"/>
  <c r="C7" i="34"/>
  <c r="C59" i="34"/>
  <c r="B16" i="49"/>
  <c r="F31" i="67"/>
  <c r="F31" i="15"/>
  <c r="F59" i="67"/>
  <c r="F59" i="15"/>
  <c r="M17" i="67"/>
  <c r="M17" i="15"/>
  <c r="M61" i="43"/>
  <c r="N61" i="43"/>
  <c r="K61" i="43"/>
  <c r="J61" i="43"/>
  <c r="D61" i="43"/>
  <c r="M59" i="43"/>
  <c r="N59" i="43"/>
  <c r="K59" i="43"/>
  <c r="J59" i="43"/>
  <c r="D59" i="43"/>
  <c r="M66" i="43"/>
  <c r="N66" i="43"/>
  <c r="K66" i="43"/>
  <c r="J66" i="43"/>
  <c r="D66" i="43"/>
  <c r="M65" i="43"/>
  <c r="N65" i="43"/>
  <c r="K65" i="43"/>
  <c r="J65" i="43"/>
  <c r="D65" i="43"/>
  <c r="M60" i="43"/>
  <c r="N60" i="43"/>
  <c r="K60" i="43"/>
  <c r="J60" i="43"/>
  <c r="D60" i="43"/>
  <c r="M67" i="43"/>
  <c r="N67" i="43"/>
  <c r="K67" i="43"/>
  <c r="J67" i="43"/>
  <c r="D67" i="43"/>
  <c r="M64" i="43"/>
  <c r="N64" i="43"/>
  <c r="K64" i="43"/>
  <c r="M63" i="43"/>
  <c r="N63" i="43"/>
  <c r="K63" i="43"/>
  <c r="M62" i="43"/>
  <c r="N62" i="43"/>
  <c r="K62" i="43"/>
  <c r="W46" i="34"/>
  <c r="AC46" i="34"/>
  <c r="AA46" i="34"/>
  <c r="S46" i="34"/>
  <c r="W43" i="34"/>
  <c r="U37" i="34"/>
  <c r="S37" i="34"/>
  <c r="H112" i="34"/>
  <c r="I112" i="34"/>
  <c r="J112" i="34"/>
  <c r="K112" i="34"/>
  <c r="L112" i="34"/>
  <c r="M112" i="34"/>
  <c r="U9" i="34"/>
  <c r="AB9" i="34"/>
  <c r="C16" i="43"/>
  <c r="C5" i="43"/>
  <c r="E164" i="3"/>
  <c r="E290" i="3"/>
  <c r="E352" i="3"/>
  <c r="Z6" i="3"/>
  <c r="E327" i="3"/>
  <c r="E204" i="3"/>
  <c r="E117" i="3"/>
  <c r="E169" i="3"/>
  <c r="E518" i="3"/>
  <c r="E550" i="3"/>
  <c r="E61" i="3"/>
  <c r="E298" i="3"/>
  <c r="E578" i="3"/>
  <c r="E128" i="3"/>
  <c r="E545" i="3"/>
  <c r="E395" i="3"/>
  <c r="U6" i="3"/>
  <c r="E585" i="3"/>
  <c r="E379" i="3"/>
  <c r="E107" i="3"/>
  <c r="E145" i="3"/>
  <c r="E271" i="3"/>
  <c r="E207" i="3"/>
  <c r="E161" i="3"/>
  <c r="E135" i="3"/>
  <c r="E185" i="3"/>
  <c r="E216" i="3"/>
  <c r="E263" i="3"/>
  <c r="E423" i="3"/>
  <c r="AI6" i="3"/>
  <c r="E385" i="3"/>
  <c r="E205" i="3"/>
  <c r="E510" i="3"/>
  <c r="E329" i="3"/>
  <c r="E260" i="3"/>
  <c r="E415" i="3"/>
  <c r="M6" i="1"/>
  <c r="O7" i="1"/>
  <c r="C30" i="11"/>
  <c r="C48" i="11"/>
  <c r="AG11" i="43"/>
  <c r="AG13" i="43"/>
  <c r="K101" i="43"/>
  <c r="K102" i="43"/>
  <c r="AJ11" i="43"/>
  <c r="AJ13" i="43"/>
  <c r="J101" i="43"/>
  <c r="J105" i="43"/>
  <c r="Y11" i="43"/>
  <c r="Y13" i="43"/>
  <c r="AB11" i="43"/>
  <c r="AB13" i="43"/>
  <c r="H22" i="43"/>
  <c r="N104" i="46"/>
  <c r="N101" i="43"/>
  <c r="N102" i="43"/>
  <c r="E22" i="43"/>
  <c r="AC11" i="43"/>
  <c r="AC13" i="43"/>
  <c r="Z7" i="43"/>
  <c r="AF11" i="43"/>
  <c r="AF13" i="43"/>
  <c r="I101" i="43"/>
  <c r="I109" i="43"/>
  <c r="G22" i="43"/>
  <c r="G16" i="1"/>
  <c r="F10" i="39"/>
  <c r="H16" i="1"/>
  <c r="G101" i="43"/>
  <c r="G105" i="43"/>
  <c r="F101" i="43"/>
  <c r="F104" i="43"/>
  <c r="D101" i="43"/>
  <c r="D104" i="43"/>
  <c r="C101" i="43"/>
  <c r="C102" i="43"/>
  <c r="AA11" i="43"/>
  <c r="AA13" i="43"/>
  <c r="AE11" i="43"/>
  <c r="AE13" i="43"/>
  <c r="AI11" i="43"/>
  <c r="AI13" i="43"/>
  <c r="Z11" i="43"/>
  <c r="Z13" i="43"/>
  <c r="AD11" i="43"/>
  <c r="AD13" i="43"/>
  <c r="AH11" i="43"/>
  <c r="AH13" i="43"/>
  <c r="E101" i="43"/>
  <c r="E104" i="43"/>
  <c r="M101" i="43"/>
  <c r="M104" i="43"/>
  <c r="F22" i="43"/>
  <c r="E542" i="3"/>
  <c r="E499" i="3"/>
  <c r="AD6" i="3"/>
  <c r="E575" i="3"/>
  <c r="E312" i="3"/>
  <c r="E286" i="3"/>
  <c r="E141" i="3"/>
  <c r="E199" i="3"/>
  <c r="E167" i="3"/>
  <c r="E253" i="3"/>
  <c r="E212" i="3"/>
  <c r="E77" i="3"/>
  <c r="E149" i="3"/>
  <c r="E180" i="3"/>
  <c r="E221" i="3"/>
  <c r="E91" i="3"/>
  <c r="E254" i="3"/>
  <c r="E134" i="3"/>
  <c r="E130" i="3"/>
  <c r="E189" i="3"/>
  <c r="E230" i="3"/>
  <c r="E215" i="3"/>
  <c r="E303" i="3"/>
  <c r="E350" i="3"/>
  <c r="E402" i="3"/>
  <c r="E586" i="3"/>
  <c r="AN6" i="3"/>
  <c r="E495" i="3"/>
  <c r="E353" i="3"/>
  <c r="E165" i="3"/>
  <c r="E227" i="3"/>
  <c r="E461" i="3"/>
  <c r="E567" i="3"/>
  <c r="E539" i="3"/>
  <c r="E535" i="3"/>
  <c r="E445" i="3"/>
  <c r="E172" i="3"/>
  <c r="E563" i="3"/>
  <c r="E278" i="3"/>
  <c r="E69" i="3"/>
  <c r="E30" i="6"/>
  <c r="K14" i="1"/>
  <c r="E261" i="3"/>
  <c r="E528" i="3"/>
  <c r="E183" i="3"/>
  <c r="E361" i="3"/>
  <c r="E503" i="3"/>
  <c r="E347" i="3"/>
  <c r="AA6" i="3"/>
  <c r="E399" i="3"/>
  <c r="E280" i="3"/>
  <c r="E124" i="3"/>
  <c r="E397" i="3"/>
  <c r="E568" i="3"/>
  <c r="I6" i="3"/>
  <c r="E536" i="3"/>
  <c r="E549" i="3"/>
  <c r="E453" i="3"/>
  <c r="E368" i="3"/>
  <c r="E244" i="3"/>
  <c r="E262" i="3"/>
  <c r="E196" i="3"/>
  <c r="E136" i="3"/>
  <c r="E156" i="3"/>
  <c r="E236" i="3"/>
  <c r="E148" i="3"/>
  <c r="E269" i="3"/>
  <c r="E122" i="3"/>
  <c r="E89" i="3"/>
  <c r="E140" i="3"/>
  <c r="E85" i="3"/>
  <c r="E223" i="3"/>
  <c r="E238" i="3"/>
  <c r="E197" i="3"/>
  <c r="E116" i="3"/>
  <c r="E173" i="3"/>
  <c r="E105" i="3"/>
  <c r="E369" i="3"/>
  <c r="E393" i="3"/>
  <c r="E525" i="3"/>
  <c r="E493" i="3"/>
  <c r="E534"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237" i="3"/>
  <c r="E565" i="3"/>
  <c r="E17" i="3"/>
  <c r="E583" i="3"/>
  <c r="E336" i="3"/>
  <c r="E293" i="3"/>
  <c r="E314" i="3"/>
  <c r="E16" i="3"/>
  <c r="E434" i="3"/>
  <c r="E296" i="3"/>
  <c r="E245" i="3"/>
  <c r="E191" i="3"/>
  <c r="E188" i="3"/>
  <c r="E181" i="3"/>
  <c r="E45" i="3"/>
  <c r="E224" i="3"/>
  <c r="E193" i="3"/>
  <c r="E313" i="3"/>
  <c r="E519" i="3"/>
  <c r="E532" i="3"/>
  <c r="R6" i="3"/>
  <c r="E552" i="3"/>
  <c r="E502" i="3"/>
  <c r="E421" i="3"/>
  <c r="E442" i="3"/>
  <c r="E464" i="3"/>
  <c r="E466" i="3"/>
  <c r="E487" i="3"/>
  <c r="E541" i="3"/>
  <c r="E398" i="3"/>
  <c r="E430" i="3"/>
  <c r="E416" i="3"/>
  <c r="E449" i="3"/>
  <c r="E459" i="3"/>
  <c r="E255" i="3"/>
  <c r="E374" i="3"/>
  <c r="I3" i="6"/>
  <c r="E566" i="3"/>
  <c r="AP6" i="3"/>
  <c r="E500" i="3"/>
  <c r="E554"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213" i="3"/>
  <c r="X6" i="3"/>
  <c r="AK6" i="3"/>
  <c r="E301" i="3"/>
  <c r="E99" i="3"/>
  <c r="E157" i="3"/>
  <c r="E120" i="3"/>
  <c r="E177" i="3"/>
  <c r="E330" i="3"/>
  <c r="Q6" i="3"/>
  <c r="E515" i="3"/>
  <c r="E411" i="3"/>
  <c r="E478" i="3"/>
  <c r="E548" i="3"/>
  <c r="E414" i="3"/>
  <c r="E432" i="3"/>
  <c r="E477" i="3"/>
  <c r="E367" i="3"/>
  <c r="E505" i="3"/>
  <c r="E547"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70" i="3"/>
  <c r="E364" i="3"/>
  <c r="AF6" i="3"/>
  <c r="AC6" i="3"/>
  <c r="E50" i="3"/>
  <c r="E102" i="3"/>
  <c r="E20" i="3"/>
  <c r="E80" i="3"/>
  <c r="E62" i="3"/>
  <c r="E113" i="3"/>
  <c r="E176" i="3"/>
  <c r="E158" i="3"/>
  <c r="E218" i="3"/>
  <c r="E287" i="3"/>
  <c r="E265" i="3"/>
  <c r="E308" i="3"/>
  <c r="E365" i="3"/>
  <c r="E326" i="3"/>
  <c r="E524" i="3"/>
  <c r="E22" i="3"/>
  <c r="E101" i="3"/>
  <c r="E83" i="3"/>
  <c r="E304" i="3"/>
  <c r="E302" i="3"/>
  <c r="E246" i="3"/>
  <c r="E511" i="3"/>
  <c r="E306" i="3"/>
  <c r="E159" i="3"/>
  <c r="E228" i="3"/>
  <c r="E277" i="3"/>
  <c r="E133" i="3"/>
  <c r="K6" i="3"/>
  <c r="AG6" i="3"/>
  <c r="AO6" i="3"/>
  <c r="E448" i="3"/>
  <c r="P6" i="3"/>
  <c r="E400" i="3"/>
  <c r="E443" i="3"/>
  <c r="E345" i="3"/>
  <c r="E558" i="3"/>
  <c r="E557" i="3"/>
  <c r="E581" i="3"/>
  <c r="AS6" i="3"/>
  <c r="E531" i="3"/>
  <c r="E403" i="3"/>
  <c r="E444" i="3"/>
  <c r="E476" i="3"/>
  <c r="E489" i="3"/>
  <c r="E546" i="3"/>
  <c r="E404" i="3"/>
  <c r="E447" i="3"/>
  <c r="E28" i="3"/>
  <c r="E71" i="3"/>
  <c r="E88" i="3"/>
  <c r="E27" i="3"/>
  <c r="E70" i="3"/>
  <c r="E92" i="3"/>
  <c r="E121" i="3"/>
  <c r="E162" i="3"/>
  <c r="E126" i="3"/>
  <c r="E166" i="3"/>
  <c r="E186" i="3"/>
  <c r="E272" i="3"/>
  <c r="E210" i="3"/>
  <c r="E291" i="3"/>
  <c r="E331" i="3"/>
  <c r="E317" i="3"/>
  <c r="E334" i="3"/>
  <c r="E572" i="3"/>
  <c r="E44" i="3"/>
  <c r="E109" i="3"/>
  <c r="E480" i="3"/>
  <c r="E484" i="3"/>
  <c r="E467" i="3"/>
  <c r="E46" i="3"/>
  <c r="E160" i="3"/>
  <c r="E200" i="3"/>
  <c r="E249" i="3"/>
  <c r="E371" i="3"/>
  <c r="E492" i="3"/>
  <c r="E84" i="3"/>
  <c r="E33" i="3"/>
  <c r="E184" i="3"/>
  <c r="E355" i="3"/>
  <c r="E381" i="3"/>
  <c r="E68" i="3"/>
  <c r="E63" i="3"/>
  <c r="E81" i="3"/>
  <c r="E118" i="3"/>
  <c r="E264" i="3"/>
  <c r="E283" i="3"/>
  <c r="E309" i="3"/>
  <c r="E513" i="3"/>
  <c r="E82" i="3"/>
  <c r="E485" i="3"/>
  <c r="E182" i="3"/>
  <c r="E211" i="3"/>
  <c r="E295" i="3"/>
  <c r="E273" i="3"/>
  <c r="E316" i="3"/>
  <c r="E377" i="3"/>
  <c r="E384" i="3"/>
  <c r="AM6" i="3"/>
  <c r="E30" i="3"/>
  <c r="E29" i="3"/>
  <c r="E441" i="3"/>
  <c r="E425" i="3"/>
  <c r="E64" i="3"/>
  <c r="E103" i="3"/>
  <c r="E142" i="3"/>
  <c r="E267" i="3"/>
  <c r="E300" i="3"/>
  <c r="E310" i="3"/>
  <c r="E23" i="3"/>
  <c r="E67" i="3"/>
  <c r="E144" i="3"/>
  <c r="E233" i="3"/>
  <c r="E341" i="3"/>
  <c r="Y6" i="3"/>
  <c r="E51" i="3"/>
  <c r="E19" i="3"/>
  <c r="E154" i="3"/>
  <c r="E179" i="3"/>
  <c r="E222" i="3"/>
  <c r="E323" i="3"/>
  <c r="E373" i="3"/>
  <c r="E21" i="3"/>
  <c r="L101" i="43"/>
  <c r="H101" i="43"/>
  <c r="E51" i="40"/>
  <c r="F27" i="6"/>
  <c r="F31" i="6"/>
  <c r="E56" i="39"/>
  <c r="E58" i="40"/>
  <c r="E63" i="39"/>
  <c r="E59" i="40"/>
  <c r="E64" i="39"/>
  <c r="E16" i="6"/>
  <c r="E57" i="40"/>
  <c r="E62" i="39"/>
  <c r="E56" i="40"/>
  <c r="E61" i="39"/>
  <c r="AY6" i="3"/>
  <c r="E3" i="6"/>
  <c r="O11" i="1"/>
  <c r="P11" i="1"/>
  <c r="J104" i="43"/>
  <c r="J106" i="43"/>
  <c r="N104" i="43"/>
  <c r="K106" i="43"/>
  <c r="K104" i="43"/>
  <c r="G104" i="43"/>
  <c r="D102" i="43"/>
  <c r="D105" i="43"/>
  <c r="E107" i="43"/>
  <c r="E106" i="43"/>
  <c r="D116" i="43"/>
  <c r="E116" i="43"/>
  <c r="F116" i="43"/>
  <c r="G116" i="43"/>
  <c r="H116" i="43"/>
  <c r="D118" i="43"/>
  <c r="E118" i="43"/>
  <c r="F118" i="43"/>
  <c r="G118" i="43"/>
  <c r="H118" i="43"/>
  <c r="I117" i="43"/>
  <c r="J117" i="43"/>
  <c r="K117" i="43"/>
  <c r="L117" i="43"/>
  <c r="M117" i="43"/>
  <c r="I116" i="43"/>
  <c r="J116" i="43"/>
  <c r="K116" i="43"/>
  <c r="L116" i="43"/>
  <c r="M116" i="43"/>
  <c r="B115" i="43"/>
  <c r="B116" i="43"/>
  <c r="C116" i="43"/>
  <c r="B117" i="43"/>
  <c r="C117" i="43"/>
  <c r="B118" i="43"/>
  <c r="C118" i="43"/>
  <c r="D115" i="43"/>
  <c r="E115" i="43"/>
  <c r="F115" i="43"/>
  <c r="G115" i="43"/>
  <c r="H115" i="43"/>
  <c r="D117" i="43"/>
  <c r="E117" i="43"/>
  <c r="F117" i="43"/>
  <c r="G117" i="43"/>
  <c r="H117" i="43"/>
  <c r="I115" i="43"/>
  <c r="J115" i="43"/>
  <c r="K115" i="43"/>
  <c r="L115" i="43"/>
  <c r="M115" i="43"/>
  <c r="I118" i="43"/>
  <c r="J118" i="43"/>
  <c r="K118" i="43"/>
  <c r="L118" i="43"/>
  <c r="M118" i="43"/>
  <c r="D59" i="34"/>
  <c r="E59" i="34"/>
  <c r="F59" i="34"/>
  <c r="G59" i="34"/>
  <c r="H59" i="34"/>
  <c r="I59" i="34"/>
  <c r="J59" i="34"/>
  <c r="K59" i="34"/>
  <c r="L59" i="34"/>
  <c r="M59" i="34"/>
  <c r="N59" i="34"/>
  <c r="O59" i="34"/>
  <c r="C65" i="40"/>
  <c r="D63" i="40"/>
  <c r="C31" i="12"/>
  <c r="C48" i="68"/>
  <c r="C30" i="69"/>
  <c r="C30" i="68"/>
  <c r="C28" i="67"/>
  <c r="C28" i="15"/>
  <c r="C77" i="9"/>
  <c r="C74" i="9"/>
  <c r="C24" i="12"/>
  <c r="C13" i="12"/>
  <c r="C48" i="69"/>
  <c r="C36" i="11"/>
  <c r="D58" i="33"/>
  <c r="E58" i="33"/>
  <c r="F58" i="33"/>
  <c r="G58" i="33"/>
  <c r="H58" i="33"/>
  <c r="I58" i="33"/>
  <c r="J58" i="33"/>
  <c r="K58" i="33"/>
  <c r="L58" i="33"/>
  <c r="M58" i="33"/>
  <c r="N58" i="33"/>
  <c r="O58" i="33"/>
  <c r="H7" i="33"/>
  <c r="D46" i="36"/>
  <c r="E46" i="36"/>
  <c r="F46" i="36"/>
  <c r="G46" i="36"/>
  <c r="H46" i="36"/>
  <c r="I46" i="36"/>
  <c r="J46" i="36"/>
  <c r="K46" i="36"/>
  <c r="L46" i="36"/>
  <c r="M46" i="36"/>
  <c r="N46" i="36"/>
  <c r="O46" i="36"/>
  <c r="F7" i="36"/>
  <c r="M20" i="43"/>
  <c r="C19" i="43"/>
  <c r="O19" i="43"/>
  <c r="P22" i="43"/>
  <c r="P21" i="43"/>
  <c r="P23" i="43"/>
  <c r="B71" i="39"/>
  <c r="P24" i="43"/>
  <c r="B66" i="40"/>
  <c r="P25" i="43"/>
  <c r="D48" i="35"/>
  <c r="E48" i="35"/>
  <c r="F48" i="35"/>
  <c r="G48" i="35"/>
  <c r="H48" i="35"/>
  <c r="I48" i="35"/>
  <c r="J48" i="35"/>
  <c r="K48" i="35"/>
  <c r="L48" i="35"/>
  <c r="M48" i="35"/>
  <c r="N48" i="35"/>
  <c r="O48" i="35"/>
  <c r="D58" i="21"/>
  <c r="E58" i="21"/>
  <c r="F58" i="21"/>
  <c r="G58" i="21"/>
  <c r="H58" i="21"/>
  <c r="I58" i="21"/>
  <c r="J58" i="21"/>
  <c r="K58" i="21"/>
  <c r="L58" i="21"/>
  <c r="M58" i="21"/>
  <c r="N58" i="21"/>
  <c r="O58" i="21"/>
  <c r="H7" i="21"/>
  <c r="C70" i="39"/>
  <c r="D68" i="39"/>
  <c r="F7" i="37"/>
  <c r="D52" i="37"/>
  <c r="E52" i="37"/>
  <c r="F52" i="37"/>
  <c r="G52" i="37"/>
  <c r="H52" i="37"/>
  <c r="I52" i="37"/>
  <c r="J52" i="37"/>
  <c r="K52" i="37"/>
  <c r="L52" i="37"/>
  <c r="M52" i="37"/>
  <c r="N52" i="37"/>
  <c r="O52" i="37"/>
  <c r="H7" i="37"/>
  <c r="J7" i="37"/>
  <c r="D62" i="43"/>
  <c r="J62" i="43"/>
  <c r="D63" i="43"/>
  <c r="J63" i="43"/>
  <c r="D64" i="43"/>
  <c r="E59" i="43"/>
  <c r="B57" i="43"/>
  <c r="C24" i="43"/>
  <c r="J64" i="43"/>
  <c r="D5" i="43"/>
  <c r="W37" i="34"/>
  <c r="K107" i="43"/>
  <c r="K103" i="43"/>
  <c r="J109" i="43"/>
  <c r="J103" i="43"/>
  <c r="K105" i="43"/>
  <c r="K109" i="43"/>
  <c r="J107" i="43"/>
  <c r="J102" i="43"/>
  <c r="E66" i="39"/>
  <c r="E102" i="43"/>
  <c r="D109" i="43"/>
  <c r="D106" i="43"/>
  <c r="G103" i="43"/>
  <c r="G102" i="43"/>
  <c r="N109" i="43"/>
  <c r="N103" i="43"/>
  <c r="E109" i="43"/>
  <c r="E103" i="43"/>
  <c r="E105" i="43"/>
  <c r="D107" i="43"/>
  <c r="D103" i="43"/>
  <c r="G106" i="43"/>
  <c r="G109" i="43"/>
  <c r="G107" i="43"/>
  <c r="N107" i="43"/>
  <c r="N105" i="43"/>
  <c r="N106" i="43"/>
  <c r="H6" i="3"/>
  <c r="O6" i="1"/>
  <c r="P6" i="1"/>
  <c r="D22" i="43"/>
  <c r="H10" i="40"/>
  <c r="M106" i="43"/>
  <c r="C103" i="43"/>
  <c r="F105" i="43"/>
  <c r="I105" i="43"/>
  <c r="F10" i="40"/>
  <c r="S10" i="40"/>
  <c r="J10" i="40"/>
  <c r="M102" i="43"/>
  <c r="M107" i="43"/>
  <c r="C107" i="43"/>
  <c r="C104" i="43"/>
  <c r="F102" i="43"/>
  <c r="F107" i="43"/>
  <c r="I106" i="43"/>
  <c r="I104" i="43"/>
  <c r="J10" i="39"/>
  <c r="AC10" i="39"/>
  <c r="H10" i="39"/>
  <c r="M103" i="43"/>
  <c r="M109" i="43"/>
  <c r="M105" i="43"/>
  <c r="C109" i="43"/>
  <c r="C105" i="43"/>
  <c r="C106" i="43"/>
  <c r="F103" i="43"/>
  <c r="F109" i="43"/>
  <c r="F106" i="43"/>
  <c r="I103" i="43"/>
  <c r="I102" i="43"/>
  <c r="I107" i="43"/>
  <c r="E6" i="3"/>
  <c r="M14" i="1"/>
  <c r="C34" i="69"/>
  <c r="C38" i="69"/>
  <c r="K16" i="1"/>
  <c r="L109" i="43"/>
  <c r="L102" i="43"/>
  <c r="L104" i="43"/>
  <c r="L105" i="43"/>
  <c r="L103" i="43"/>
  <c r="L106" i="43"/>
  <c r="L107" i="43"/>
  <c r="H106" i="43"/>
  <c r="H102" i="43"/>
  <c r="H104" i="43"/>
  <c r="H105" i="43"/>
  <c r="H103" i="43"/>
  <c r="H109" i="43"/>
  <c r="H107" i="43"/>
  <c r="E27"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D3" i="6"/>
  <c r="AY87" i="3"/>
  <c r="AY51" i="3"/>
  <c r="AY34" i="3"/>
  <c r="AY207" i="3"/>
  <c r="AY144" i="3"/>
  <c r="AY124" i="3"/>
  <c r="AY95" i="3"/>
  <c r="AY42" i="3"/>
  <c r="AY152" i="3"/>
  <c r="AY281" i="3"/>
  <c r="AY111" i="3"/>
  <c r="AY168" i="3"/>
  <c r="AY253"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66" i="3"/>
  <c r="AY176" i="3"/>
  <c r="AY115" i="3"/>
  <c r="AY188" i="3"/>
  <c r="AY276" i="3"/>
  <c r="AY297"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36" i="3"/>
  <c r="AY527" i="3"/>
  <c r="AY520" i="3"/>
  <c r="AY518" i="3"/>
  <c r="AY552" i="3"/>
  <c r="AY559" i="3"/>
  <c r="AY83" i="3"/>
  <c r="AY155" i="3"/>
  <c r="AY131"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71" i="3"/>
  <c r="AY495" i="3"/>
  <c r="BG6"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3" i="3"/>
  <c r="AY59" i="3"/>
  <c r="AY58" i="3"/>
  <c r="AY225"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46" i="3"/>
  <c r="AY510"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213" i="3"/>
  <c r="AY367" i="3"/>
  <c r="AY323" i="3"/>
  <c r="AY306" i="3"/>
  <c r="AY459" i="3"/>
  <c r="AY416" i="3"/>
  <c r="AY550" i="3"/>
  <c r="BC6" i="3"/>
  <c r="AY511" i="3"/>
  <c r="AY504" i="3"/>
  <c r="AY586" i="3"/>
  <c r="AY498" i="3"/>
  <c r="AY391" i="3"/>
  <c r="AY354" i="3"/>
  <c r="AY338" i="3"/>
  <c r="AY490" i="3"/>
  <c r="AY448" i="3"/>
  <c r="AY429" i="3"/>
  <c r="BD6" i="3"/>
  <c r="AY566" i="3"/>
  <c r="AY583" i="3"/>
  <c r="BT6" i="3"/>
  <c r="AY567" i="3"/>
  <c r="D3" i="21"/>
  <c r="D19" i="11"/>
  <c r="C19" i="11"/>
  <c r="D37" i="11"/>
  <c r="C37" i="11"/>
  <c r="D14" i="12"/>
  <c r="D17" i="12"/>
  <c r="C17" i="12"/>
  <c r="M18" i="9"/>
  <c r="B118" i="9"/>
  <c r="B14" i="74"/>
  <c r="B1" i="74"/>
  <c r="D3" i="34"/>
  <c r="E6" i="6"/>
  <c r="C17" i="4"/>
  <c r="B4" i="52"/>
  <c r="B43" i="72"/>
  <c r="L18" i="9"/>
  <c r="D3" i="37"/>
  <c r="D3" i="33"/>
  <c r="C115" i="43"/>
  <c r="D113" i="43"/>
  <c r="J22" i="43"/>
  <c r="S6" i="43"/>
  <c r="S5" i="43"/>
  <c r="S3" i="43"/>
  <c r="S7" i="43"/>
  <c r="S2" i="43"/>
  <c r="S4" i="43"/>
  <c r="C23" i="43"/>
  <c r="U7" i="37"/>
  <c r="AB7" i="37"/>
  <c r="T42" i="37"/>
  <c r="G42" i="37"/>
  <c r="S7" i="37"/>
  <c r="AA7" i="37"/>
  <c r="R42" i="37"/>
  <c r="U7" i="21"/>
  <c r="AB7" i="21"/>
  <c r="T48" i="21"/>
  <c r="G48" i="21"/>
  <c r="J7" i="35"/>
  <c r="AC7" i="37"/>
  <c r="V42" i="37"/>
  <c r="I42" i="37"/>
  <c r="W7" i="37"/>
  <c r="D70" i="39"/>
  <c r="E68" i="39"/>
  <c r="F7" i="21"/>
  <c r="J7" i="21"/>
  <c r="F7" i="35"/>
  <c r="H7" i="35"/>
  <c r="S7" i="36"/>
  <c r="AA7" i="36"/>
  <c r="R36" i="36"/>
  <c r="AB7" i="33"/>
  <c r="T48" i="33"/>
  <c r="G48" i="33"/>
  <c r="U7" i="33"/>
  <c r="D65" i="40"/>
  <c r="E63" i="40"/>
  <c r="J7" i="34"/>
  <c r="U10" i="40"/>
  <c r="AB10" i="40"/>
  <c r="AC10" i="40"/>
  <c r="W10" i="40"/>
  <c r="H7" i="36"/>
  <c r="J7" i="36"/>
  <c r="F7" i="33"/>
  <c r="J7" i="33"/>
  <c r="H7" i="34"/>
  <c r="F7" i="34"/>
  <c r="U10" i="39"/>
  <c r="AB10" i="39"/>
  <c r="S10" i="39"/>
  <c r="AA10" i="39"/>
  <c r="C21" i="43"/>
  <c r="AA10" i="40"/>
  <c r="W10" i="39"/>
  <c r="O14" i="1"/>
  <c r="M16" i="1"/>
  <c r="K26" i="6"/>
  <c r="M26" i="6"/>
  <c r="I26" i="6"/>
  <c r="S26" i="6"/>
  <c r="K20" i="6"/>
  <c r="K22" i="6"/>
  <c r="M22" i="6"/>
  <c r="I22" i="6"/>
  <c r="S22" i="6"/>
  <c r="K23" i="6"/>
  <c r="M23" i="6"/>
  <c r="I23" i="6"/>
  <c r="S23" i="6"/>
  <c r="K24" i="6"/>
  <c r="M24" i="6"/>
  <c r="I24" i="6"/>
  <c r="S24" i="6"/>
  <c r="K19" i="6"/>
  <c r="S6" i="1"/>
  <c r="E31" i="6"/>
  <c r="K25" i="6"/>
  <c r="M25" i="6"/>
  <c r="I25" i="6"/>
  <c r="S25" i="6"/>
  <c r="K21" i="6"/>
  <c r="C20" i="11"/>
  <c r="M19" i="9"/>
  <c r="C118" i="9"/>
  <c r="C14" i="74"/>
  <c r="B2" i="74"/>
  <c r="D19" i="6"/>
  <c r="D26" i="6"/>
  <c r="C18" i="4"/>
  <c r="D8" i="6"/>
  <c r="D23" i="6"/>
  <c r="D14" i="6"/>
  <c r="D6" i="6"/>
  <c r="D9" i="6"/>
  <c r="D10" i="6"/>
  <c r="L19" i="9"/>
  <c r="D29" i="6"/>
  <c r="H26" i="6"/>
  <c r="D25" i="6"/>
  <c r="D15" i="6"/>
  <c r="D22" i="6"/>
  <c r="D21" i="6"/>
  <c r="D24" i="6"/>
  <c r="D20" i="6"/>
  <c r="D5" i="6"/>
  <c r="D12" i="6"/>
  <c r="D11" i="6"/>
  <c r="D13" i="6"/>
  <c r="D28" i="6"/>
  <c r="E61" i="40"/>
  <c r="D10" i="69"/>
  <c r="C10" i="69"/>
  <c r="D10" i="11"/>
  <c r="C10" i="11"/>
  <c r="D20" i="12"/>
  <c r="C20" i="12"/>
  <c r="C7" i="74"/>
  <c r="C8" i="74"/>
  <c r="S7" i="34"/>
  <c r="AA7" i="34"/>
  <c r="S7" i="33"/>
  <c r="AA7" i="33"/>
  <c r="R48" i="33"/>
  <c r="U7" i="36"/>
  <c r="AB7" i="36"/>
  <c r="T36" i="36"/>
  <c r="G36" i="36"/>
  <c r="E65" i="40"/>
  <c r="F63" i="40"/>
  <c r="G52" i="33"/>
  <c r="H52" i="33"/>
  <c r="AB7" i="35"/>
  <c r="T38" i="35"/>
  <c r="G38" i="35"/>
  <c r="U7" i="35"/>
  <c r="AC7" i="21"/>
  <c r="V48" i="21"/>
  <c r="I48" i="21"/>
  <c r="W7" i="21"/>
  <c r="F68" i="39"/>
  <c r="E70" i="39"/>
  <c r="AC7" i="35"/>
  <c r="V38" i="35"/>
  <c r="I38" i="35"/>
  <c r="W7" i="35"/>
  <c r="E42" i="37"/>
  <c r="R43" i="37"/>
  <c r="G46" i="37"/>
  <c r="H46" i="37"/>
  <c r="G47" i="37"/>
  <c r="H47" i="37"/>
  <c r="U7" i="34"/>
  <c r="AB7" i="34"/>
  <c r="G49" i="34"/>
  <c r="W7" i="33"/>
  <c r="AC7" i="33"/>
  <c r="V48" i="33"/>
  <c r="I48" i="33"/>
  <c r="W7" i="36"/>
  <c r="AC7" i="36"/>
  <c r="V36" i="36"/>
  <c r="I36" i="36"/>
  <c r="AC7" i="34"/>
  <c r="I49" i="34"/>
  <c r="W7" i="34"/>
  <c r="E36" i="36"/>
  <c r="R37" i="36"/>
  <c r="S7" i="35"/>
  <c r="AA7" i="35"/>
  <c r="R38" i="35"/>
  <c r="S7" i="21"/>
  <c r="AA7" i="21"/>
  <c r="R48" i="21"/>
  <c r="I47" i="37"/>
  <c r="J47" i="37"/>
  <c r="I46" i="37"/>
  <c r="J46" i="37"/>
  <c r="G52" i="21"/>
  <c r="H52" i="21"/>
  <c r="G53" i="21"/>
  <c r="H53" i="21"/>
  <c r="E6" i="70"/>
  <c r="H25" i="6"/>
  <c r="H22" i="6"/>
  <c r="R22" i="6"/>
  <c r="H24" i="6"/>
  <c r="M21" i="6"/>
  <c r="I21" i="6"/>
  <c r="S21" i="6"/>
  <c r="S8" i="1"/>
  <c r="AQ6" i="1"/>
  <c r="AR6" i="1"/>
  <c r="T6" i="1"/>
  <c r="M20" i="6"/>
  <c r="I20" i="6"/>
  <c r="S20" i="6"/>
  <c r="S7" i="1"/>
  <c r="C34" i="11"/>
  <c r="L16" i="1"/>
  <c r="P14" i="1"/>
  <c r="P16" i="1"/>
  <c r="C11" i="12"/>
  <c r="C12" i="12"/>
  <c r="O16" i="1"/>
  <c r="H20" i="6"/>
  <c r="R20" i="6"/>
  <c r="H23" i="6"/>
  <c r="R23" i="6"/>
  <c r="D30" i="6"/>
  <c r="D16" i="6"/>
  <c r="K27" i="6"/>
  <c r="M19" i="6"/>
  <c r="R24" i="6"/>
  <c r="R25" i="6"/>
  <c r="C4" i="52"/>
  <c r="B45" i="72"/>
  <c r="A7" i="51"/>
  <c r="B7" i="72"/>
  <c r="A10" i="51"/>
  <c r="B9" i="72"/>
  <c r="D27" i="6"/>
  <c r="R26" i="6"/>
  <c r="D7" i="74"/>
  <c r="D8" i="74"/>
  <c r="E48" i="21"/>
  <c r="R49" i="21"/>
  <c r="E38" i="35"/>
  <c r="R39" i="35"/>
  <c r="C37" i="36"/>
  <c r="C36" i="36"/>
  <c r="I41" i="36"/>
  <c r="J41" i="36"/>
  <c r="I40" i="36"/>
  <c r="J40" i="36"/>
  <c r="I52" i="33"/>
  <c r="J52" i="33"/>
  <c r="I53" i="33"/>
  <c r="J53" i="33"/>
  <c r="G54" i="34"/>
  <c r="H54" i="34"/>
  <c r="G53" i="34"/>
  <c r="H53" i="34"/>
  <c r="C43" i="37"/>
  <c r="C42" i="37"/>
  <c r="I42" i="35"/>
  <c r="J42" i="35"/>
  <c r="I43" i="35"/>
  <c r="J43" i="35"/>
  <c r="F70" i="39"/>
  <c r="G68" i="39"/>
  <c r="I53" i="21"/>
  <c r="J53" i="21"/>
  <c r="I52" i="21"/>
  <c r="J52" i="21"/>
  <c r="G42" i="35"/>
  <c r="H42" i="35"/>
  <c r="G43" i="35"/>
  <c r="H43" i="35"/>
  <c r="E41" i="36"/>
  <c r="F41" i="36"/>
  <c r="E40" i="36"/>
  <c r="F40" i="36"/>
  <c r="I53" i="34"/>
  <c r="J53" i="34"/>
  <c r="E47" i="37"/>
  <c r="F47" i="37"/>
  <c r="E46" i="37"/>
  <c r="F46" i="37"/>
  <c r="G53" i="33"/>
  <c r="H53" i="33"/>
  <c r="F65" i="40"/>
  <c r="G63" i="40"/>
  <c r="G40" i="36"/>
  <c r="H40" i="36"/>
  <c r="G41" i="36"/>
  <c r="H41" i="36"/>
  <c r="E48" i="33"/>
  <c r="R49" i="33"/>
  <c r="E49" i="34"/>
  <c r="H21" i="6"/>
  <c r="R21" i="6"/>
  <c r="S16" i="1"/>
  <c r="E7" i="70"/>
  <c r="E8" i="70"/>
  <c r="D31" i="6"/>
  <c r="I5" i="6"/>
  <c r="T7" i="1"/>
  <c r="AR7" i="1"/>
  <c r="AQ7" i="1"/>
  <c r="AR8" i="1"/>
  <c r="AQ8" i="1"/>
  <c r="T8" i="1"/>
  <c r="F50" i="11"/>
  <c r="F50" i="69"/>
  <c r="C38" i="11"/>
  <c r="C35" i="11"/>
  <c r="I19" i="6"/>
  <c r="M27" i="6"/>
  <c r="I6" i="6"/>
  <c r="E54" i="34"/>
  <c r="F54" i="34"/>
  <c r="E53" i="34"/>
  <c r="F53" i="34"/>
  <c r="C49" i="33"/>
  <c r="C48" i="33"/>
  <c r="H63" i="40"/>
  <c r="G65" i="40"/>
  <c r="H68" i="39"/>
  <c r="G70" i="39"/>
  <c r="C39" i="35"/>
  <c r="C38" i="35"/>
  <c r="C49" i="21"/>
  <c r="C48" i="21"/>
  <c r="C49" i="34"/>
  <c r="E53" i="33"/>
  <c r="F53" i="33"/>
  <c r="E52" i="33"/>
  <c r="F52" i="33"/>
  <c r="I54" i="34"/>
  <c r="J54" i="34"/>
  <c r="E43" i="35"/>
  <c r="F43" i="35"/>
  <c r="E42" i="35"/>
  <c r="F42" i="35"/>
  <c r="E53" i="21"/>
  <c r="F53" i="21"/>
  <c r="E52" i="21"/>
  <c r="F52" i="21"/>
  <c r="B3" i="34"/>
  <c r="E2" i="70"/>
  <c r="T16" i="1"/>
  <c r="C33" i="11"/>
  <c r="H19" i="6"/>
  <c r="S19" i="6"/>
  <c r="S27" i="6"/>
  <c r="I27" i="6"/>
  <c r="H70" i="39"/>
  <c r="I68" i="39"/>
  <c r="H65" i="40"/>
  <c r="I63" i="40"/>
  <c r="C39" i="11"/>
  <c r="H27" i="6"/>
  <c r="R19" i="6"/>
  <c r="I65" i="40"/>
  <c r="J63" i="40"/>
  <c r="J68" i="39"/>
  <c r="I70" i="39"/>
  <c r="R27" i="6"/>
  <c r="K68" i="39"/>
  <c r="J70" i="39"/>
  <c r="K63" i="40"/>
  <c r="J65" i="40"/>
  <c r="K65" i="40"/>
  <c r="L63" i="40"/>
  <c r="L68" i="39"/>
  <c r="K70" i="39"/>
  <c r="M63" i="40"/>
  <c r="L65" i="40"/>
  <c r="M68" i="39"/>
  <c r="L70" i="39"/>
  <c r="N68" i="39"/>
  <c r="M70" i="39"/>
  <c r="N63" i="40"/>
  <c r="M65" i="40"/>
  <c r="O63" i="40"/>
  <c r="O65" i="40"/>
  <c r="N65" i="40"/>
  <c r="O68" i="39"/>
  <c r="O70" i="39"/>
  <c r="N70" i="39"/>
  <c r="F7" i="39"/>
  <c r="J7" i="39"/>
  <c r="H7" i="39"/>
  <c r="H7" i="40"/>
  <c r="J7" i="40"/>
  <c r="F7" i="40"/>
  <c r="AA7" i="40"/>
  <c r="R42" i="40"/>
  <c r="S7" i="40"/>
  <c r="AB7" i="40"/>
  <c r="T42" i="40"/>
  <c r="G42" i="40"/>
  <c r="U7" i="40"/>
  <c r="AC7" i="39"/>
  <c r="V47" i="39"/>
  <c r="I47" i="39"/>
  <c r="W7" i="39"/>
  <c r="W7" i="40"/>
  <c r="AC7" i="40"/>
  <c r="V42" i="40"/>
  <c r="I42" i="40"/>
  <c r="AB7" i="39"/>
  <c r="T47" i="39"/>
  <c r="G47" i="39"/>
  <c r="U7" i="39"/>
  <c r="S7" i="39"/>
  <c r="AA7" i="39"/>
  <c r="R47" i="39"/>
  <c r="E47" i="39"/>
  <c r="R48" i="39"/>
  <c r="I46" i="40"/>
  <c r="J46" i="40"/>
  <c r="G52" i="39"/>
  <c r="H52" i="39"/>
  <c r="G51" i="39"/>
  <c r="H51" i="39"/>
  <c r="I51" i="39"/>
  <c r="J51" i="39"/>
  <c r="I52" i="39"/>
  <c r="J52" i="39"/>
  <c r="G46" i="40"/>
  <c r="H46" i="40"/>
  <c r="G47" i="40"/>
  <c r="H47" i="40"/>
  <c r="R43" i="40"/>
  <c r="E42" i="40"/>
  <c r="E46" i="40"/>
  <c r="F46" i="40"/>
  <c r="E47" i="40"/>
  <c r="F47" i="40"/>
  <c r="C47" i="39"/>
  <c r="C48" i="39"/>
  <c r="C43" i="40"/>
  <c r="C42" i="40"/>
  <c r="I47" i="40"/>
  <c r="J47" i="40"/>
  <c r="E51" i="39"/>
  <c r="F51" i="39"/>
  <c r="E52" i="39"/>
  <c r="F52" i="39"/>
  <c r="B61" i="39"/>
  <c r="F61" i="39"/>
  <c r="B60" i="39"/>
  <c r="F60" i="39"/>
  <c r="B56" i="39"/>
  <c r="F56" i="39"/>
  <c r="F66" i="39"/>
  <c r="B2" i="39"/>
  <c r="B3" i="39"/>
  <c r="B58" i="39"/>
  <c r="F58" i="39"/>
  <c r="B59" i="39"/>
  <c r="F59" i="39"/>
  <c r="B64" i="39"/>
  <c r="F64" i="39"/>
  <c r="B65" i="39"/>
  <c r="F65" i="39"/>
  <c r="B57" i="39"/>
  <c r="F57" i="39"/>
  <c r="B63" i="39"/>
  <c r="F63" i="39"/>
  <c r="B62" i="39"/>
  <c r="F62" i="39"/>
  <c r="B57" i="40"/>
  <c r="F57" i="40"/>
  <c r="B58" i="40"/>
  <c r="F58" i="40"/>
  <c r="B59" i="40"/>
  <c r="F59" i="40"/>
  <c r="B52" i="40"/>
  <c r="F52" i="40"/>
  <c r="B56" i="40"/>
  <c r="F56" i="40"/>
  <c r="B51" i="40"/>
  <c r="F51" i="40"/>
  <c r="B54" i="40"/>
  <c r="F54" i="40"/>
  <c r="B55" i="40"/>
  <c r="F55" i="40"/>
  <c r="B53" i="40"/>
  <c r="F53" i="40"/>
  <c r="B60" i="40"/>
  <c r="F60" i="40"/>
  <c r="F61" i="40"/>
  <c r="B2" i="40"/>
  <c r="B3" i="40"/>
  <c r="E2" i="85"/>
  <c r="M26" i="84"/>
  <c r="M28" i="84"/>
  <c r="M27" i="84"/>
  <c r="M26" i="83"/>
  <c r="M28" i="83"/>
  <c r="M27" i="83"/>
  <c r="M22" i="84"/>
  <c r="M22" i="83"/>
  <c r="L47" i="84"/>
  <c r="L47" i="83"/>
  <c r="M23" i="84"/>
  <c r="M23" i="83"/>
  <c r="L47" i="15"/>
  <c r="M29" i="67"/>
  <c r="M28" i="15"/>
  <c r="E11" i="76"/>
  <c r="F38" i="67"/>
  <c r="E9" i="76"/>
  <c r="E10" i="76"/>
  <c r="F20" i="31"/>
  <c r="F7" i="73"/>
  <c r="M29" i="15"/>
  <c r="M9" i="67"/>
  <c r="E12" i="76"/>
  <c r="C76" i="15"/>
  <c r="AO13" i="1"/>
  <c r="F5" i="73"/>
  <c r="F16" i="67"/>
  <c r="AO9" i="1"/>
  <c r="B9" i="76"/>
  <c r="M6" i="67"/>
  <c r="M29" i="83"/>
  <c r="M26" i="67"/>
  <c r="AO12" i="1"/>
  <c r="M8" i="67"/>
  <c r="B10" i="76"/>
  <c r="D2" i="36"/>
  <c r="L48" i="67"/>
  <c r="M22" i="67"/>
  <c r="M27" i="15"/>
  <c r="M24" i="83"/>
  <c r="J15" i="83"/>
  <c r="C76" i="84"/>
  <c r="D7" i="73"/>
  <c r="F7" i="67"/>
  <c r="M24" i="67"/>
  <c r="F37" i="67"/>
  <c r="D2" i="33"/>
  <c r="F36" i="67"/>
  <c r="D2" i="35"/>
  <c r="F42" i="67"/>
  <c r="F6" i="67"/>
  <c r="D3" i="73"/>
  <c r="M23" i="15"/>
  <c r="F8" i="67"/>
  <c r="C76" i="67"/>
  <c r="AO10" i="1"/>
  <c r="D2" i="34"/>
  <c r="M22" i="15"/>
  <c r="E2" i="69"/>
  <c r="F13" i="67"/>
  <c r="F43" i="67"/>
  <c r="M27" i="67"/>
  <c r="F26" i="67"/>
  <c r="J15" i="15"/>
  <c r="F35" i="67"/>
  <c r="M24" i="84"/>
  <c r="F9" i="67"/>
  <c r="D2" i="37"/>
  <c r="M21" i="67"/>
  <c r="D2" i="21"/>
  <c r="F3" i="73"/>
  <c r="B13" i="76"/>
  <c r="AO11" i="1"/>
  <c r="M28" i="67"/>
  <c r="F41" i="67"/>
  <c r="J15" i="84"/>
  <c r="C76" i="83"/>
  <c r="B12" i="76"/>
  <c r="E2" i="68"/>
  <c r="J15" i="67"/>
  <c r="F40" i="67"/>
  <c r="F6" i="73"/>
  <c r="M23" i="67"/>
  <c r="L47" i="67"/>
  <c r="E13" i="76"/>
  <c r="M24" i="15"/>
  <c r="M26" i="15"/>
  <c r="B11" i="76"/>
  <c r="M29" i="84"/>
  <c r="C20" i="9"/>
  <c r="M21" i="83"/>
  <c r="M21" i="84"/>
  <c r="M21" i="15"/>
  <c r="F27" i="69"/>
  <c r="C29" i="69"/>
  <c r="D27" i="69"/>
  <c r="F28" i="12"/>
  <c r="C29" i="12"/>
  <c r="D28" i="12"/>
  <c r="F27" i="11"/>
  <c r="B8" i="49"/>
  <c r="E22" i="49"/>
  <c r="R16" i="1"/>
  <c r="C15" i="12"/>
  <c r="C35" i="69"/>
  <c r="C14" i="12"/>
  <c r="E8" i="49"/>
  <c r="B23" i="49"/>
  <c r="E5" i="49"/>
  <c r="B9" i="49"/>
  <c r="B7" i="49"/>
  <c r="B11" i="49"/>
  <c r="E6" i="49"/>
  <c r="E4" i="49"/>
  <c r="C8" i="69"/>
  <c r="C5" i="69"/>
  <c r="C16" i="12"/>
  <c r="D19" i="69"/>
  <c r="E11" i="49"/>
  <c r="B4" i="49"/>
  <c r="E10" i="49"/>
  <c r="E16" i="49"/>
  <c r="B5" i="49"/>
  <c r="B14" i="49"/>
  <c r="B22" i="49"/>
  <c r="E7" i="49"/>
  <c r="E9" i="49"/>
  <c r="E21" i="49"/>
  <c r="B13" i="49"/>
  <c r="B6" i="49"/>
  <c r="J20" i="15"/>
  <c r="F63" i="83"/>
  <c r="C62" i="83"/>
  <c r="F63" i="15"/>
  <c r="C62" i="15"/>
  <c r="B29" i="1"/>
  <c r="C18" i="12"/>
  <c r="J20" i="84"/>
  <c r="J20" i="83"/>
  <c r="F63" i="84"/>
  <c r="C62" i="84"/>
  <c r="C103" i="9"/>
  <c r="C21" i="9"/>
  <c r="C102" i="9"/>
  <c r="F71" i="84"/>
  <c r="L58" i="67"/>
  <c r="M59" i="67"/>
  <c r="L59" i="67"/>
  <c r="N59" i="67"/>
  <c r="F68" i="67"/>
  <c r="F50" i="15"/>
  <c r="F68" i="84"/>
  <c r="Q71" i="83"/>
  <c r="F51" i="84"/>
  <c r="F69" i="67"/>
  <c r="B11" i="70"/>
  <c r="F50" i="83"/>
  <c r="F71" i="15"/>
  <c r="F51" i="15"/>
  <c r="C49" i="15"/>
  <c r="B2" i="21"/>
  <c r="B3" i="21"/>
  <c r="J20" i="67"/>
  <c r="F64" i="15"/>
  <c r="B2" i="37"/>
  <c r="B3" i="37"/>
  <c r="L57" i="84"/>
  <c r="J57" i="84"/>
  <c r="J55" i="84"/>
  <c r="J58" i="84"/>
  <c r="Q50" i="84"/>
  <c r="J59" i="84"/>
  <c r="Q48" i="84"/>
  <c r="I54" i="84"/>
  <c r="L56" i="84"/>
  <c r="L60" i="84"/>
  <c r="F66" i="84"/>
  <c r="F50" i="84"/>
  <c r="F63" i="67"/>
  <c r="C62" i="67"/>
  <c r="C34" i="67"/>
  <c r="C27" i="67"/>
  <c r="F71" i="67"/>
  <c r="F66" i="15"/>
  <c r="B10" i="70"/>
  <c r="Q71" i="67"/>
  <c r="F51" i="67"/>
  <c r="C6" i="67"/>
  <c r="F70" i="67"/>
  <c r="B2" i="35"/>
  <c r="B3" i="35"/>
  <c r="F68" i="15"/>
  <c r="F64" i="67"/>
  <c r="B2" i="33"/>
  <c r="B3" i="33"/>
  <c r="F65" i="67"/>
  <c r="I54" i="15"/>
  <c r="L56" i="15"/>
  <c r="J57" i="15"/>
  <c r="J55" i="15"/>
  <c r="J58" i="15"/>
  <c r="Q50" i="15"/>
  <c r="J59" i="15"/>
  <c r="Q48" i="15"/>
  <c r="L60" i="15"/>
  <c r="L57" i="15"/>
  <c r="F50" i="67"/>
  <c r="M7" i="67"/>
  <c r="J6" i="67"/>
  <c r="F68" i="83"/>
  <c r="L56" i="83"/>
  <c r="Q48" i="83"/>
  <c r="L60" i="83"/>
  <c r="I54" i="83"/>
  <c r="L57" i="83"/>
  <c r="J57" i="83"/>
  <c r="J55" i="83"/>
  <c r="J58" i="83"/>
  <c r="Q50" i="83"/>
  <c r="J59" i="83"/>
  <c r="F66" i="83"/>
  <c r="F51" i="83"/>
  <c r="Q71" i="84"/>
  <c r="J57" i="67"/>
  <c r="J55" i="67"/>
  <c r="J58" i="67"/>
  <c r="Q50" i="67"/>
  <c r="L56" i="67"/>
  <c r="I54" i="67"/>
  <c r="B2" i="36"/>
  <c r="B3" i="36"/>
  <c r="F65" i="15"/>
  <c r="B12" i="70"/>
  <c r="B9" i="70"/>
  <c r="B13" i="70"/>
  <c r="Q71" i="15"/>
  <c r="B20" i="31"/>
  <c r="F66" i="67"/>
  <c r="M59" i="15"/>
  <c r="L59" i="15"/>
  <c r="L58" i="15"/>
  <c r="N59" i="15"/>
  <c r="F71" i="83"/>
  <c r="N59" i="83"/>
  <c r="L58" i="83"/>
  <c r="L59" i="83"/>
  <c r="M59" i="83"/>
  <c r="L59" i="84"/>
  <c r="M59" i="84"/>
  <c r="N59" i="84"/>
  <c r="L58" i="84"/>
  <c r="F65" i="83"/>
  <c r="F64" i="83"/>
  <c r="F65" i="84"/>
  <c r="F64" i="84"/>
  <c r="C47" i="69"/>
  <c r="D45" i="69"/>
  <c r="C16" i="67"/>
  <c r="C14" i="67"/>
  <c r="C17" i="67"/>
  <c r="C47" i="11"/>
  <c r="D45" i="11"/>
  <c r="C29" i="11"/>
  <c r="D27" i="11"/>
  <c r="C46" i="11"/>
  <c r="C45" i="11"/>
  <c r="C28" i="11"/>
  <c r="C27" i="11"/>
  <c r="C49" i="83"/>
  <c r="C21" i="12"/>
  <c r="C22" i="12"/>
  <c r="C30" i="12"/>
  <c r="C28" i="12"/>
  <c r="D37" i="69"/>
  <c r="C37" i="69"/>
  <c r="C33" i="69"/>
  <c r="C19" i="69"/>
  <c r="C15" i="67"/>
  <c r="C18" i="67"/>
  <c r="Q74" i="84"/>
  <c r="Q61" i="84"/>
  <c r="Q61" i="83"/>
  <c r="Q74" i="83"/>
  <c r="Q74" i="15"/>
  <c r="Q61" i="15"/>
  <c r="Q52" i="83"/>
  <c r="Q66" i="83"/>
  <c r="Q57" i="83"/>
  <c r="Q57" i="15"/>
  <c r="Q66" i="15"/>
  <c r="C49" i="84"/>
  <c r="M17" i="43"/>
  <c r="P17" i="43"/>
  <c r="O17" i="43"/>
  <c r="Q73" i="84"/>
  <c r="Q60" i="84"/>
  <c r="Q60" i="83"/>
  <c r="Q73" i="83"/>
  <c r="Q60" i="15"/>
  <c r="Q73" i="15"/>
  <c r="C53" i="84"/>
  <c r="C53" i="83"/>
  <c r="M11" i="67"/>
  <c r="J10" i="67"/>
  <c r="F11" i="67"/>
  <c r="C53" i="15"/>
  <c r="C48" i="15"/>
  <c r="J5" i="67"/>
  <c r="Q52" i="15"/>
  <c r="C49" i="67"/>
  <c r="Q57" i="84"/>
  <c r="Q66" i="84"/>
  <c r="Q52" i="84"/>
  <c r="Q74" i="67"/>
  <c r="Q61" i="67"/>
  <c r="Q73" i="67"/>
  <c r="Q60" i="67"/>
  <c r="O17" i="88"/>
  <c r="P17" i="88"/>
  <c r="N17" i="88"/>
  <c r="C48" i="83"/>
  <c r="C19" i="67"/>
  <c r="C20" i="67"/>
  <c r="C26" i="67"/>
  <c r="C20" i="69"/>
  <c r="C28" i="69"/>
  <c r="C27" i="69"/>
  <c r="C39" i="69"/>
  <c r="C46" i="69"/>
  <c r="C45" i="69"/>
  <c r="F69" i="84"/>
  <c r="F69" i="15"/>
  <c r="F69" i="83"/>
  <c r="C66" i="15"/>
  <c r="C60" i="15"/>
  <c r="J24" i="84"/>
  <c r="J18" i="84"/>
  <c r="J18" i="15"/>
  <c r="J24" i="15"/>
  <c r="J24" i="83"/>
  <c r="J18" i="83"/>
  <c r="C36" i="88"/>
  <c r="C35" i="88"/>
  <c r="C39" i="88"/>
  <c r="T16" i="88"/>
  <c r="V16" i="88"/>
  <c r="T12" i="88"/>
  <c r="V12" i="88"/>
  <c r="T8" i="88"/>
  <c r="V8" i="88"/>
  <c r="T5" i="88"/>
  <c r="V5" i="88"/>
  <c r="T15" i="88"/>
  <c r="V15" i="88"/>
  <c r="T11" i="88"/>
  <c r="V11" i="88"/>
  <c r="T7" i="88"/>
  <c r="V7" i="88"/>
  <c r="C38" i="88"/>
  <c r="T14" i="88"/>
  <c r="V14" i="88"/>
  <c r="T9" i="88"/>
  <c r="V9" i="88"/>
  <c r="T6" i="88"/>
  <c r="V6" i="88"/>
  <c r="T3" i="88"/>
  <c r="V3" i="88"/>
  <c r="T13" i="88"/>
  <c r="V13" i="88"/>
  <c r="T10" i="88"/>
  <c r="V10" i="88"/>
  <c r="C29" i="88"/>
  <c r="C34" i="88"/>
  <c r="C37" i="88"/>
  <c r="J24" i="67"/>
  <c r="J26" i="67"/>
  <c r="J29" i="67"/>
  <c r="J18" i="67"/>
  <c r="C60" i="83"/>
  <c r="C66" i="83"/>
  <c r="C10" i="67"/>
  <c r="C5" i="67"/>
  <c r="C53" i="67"/>
  <c r="C48" i="67"/>
  <c r="C35" i="43"/>
  <c r="T12" i="43"/>
  <c r="V12" i="43"/>
  <c r="T10" i="43"/>
  <c r="V10" i="43"/>
  <c r="T9" i="43"/>
  <c r="V9" i="43"/>
  <c r="C38" i="43"/>
  <c r="T13" i="43"/>
  <c r="V13" i="43"/>
  <c r="C36" i="43"/>
  <c r="T16" i="43"/>
  <c r="V16" i="43"/>
  <c r="T15" i="43"/>
  <c r="V15" i="43"/>
  <c r="T11" i="43"/>
  <c r="V11" i="43"/>
  <c r="T8" i="43"/>
  <c r="V8" i="43"/>
  <c r="T14" i="43"/>
  <c r="V14" i="43"/>
  <c r="T2" i="43"/>
  <c r="V2" i="43"/>
  <c r="T3" i="43"/>
  <c r="V3" i="43"/>
  <c r="T6" i="43"/>
  <c r="V6" i="43"/>
  <c r="C34" i="43"/>
  <c r="T4" i="43"/>
  <c r="V4" i="43"/>
  <c r="T7" i="43"/>
  <c r="V7" i="43"/>
  <c r="T5" i="43"/>
  <c r="V5" i="43"/>
  <c r="C33" i="43"/>
  <c r="C37" i="43"/>
  <c r="C29" i="43"/>
  <c r="C48" i="84"/>
  <c r="F25" i="12"/>
  <c r="C26" i="12"/>
  <c r="D25" i="12"/>
  <c r="F22" i="11"/>
  <c r="F24" i="67"/>
  <c r="C24" i="67"/>
  <c r="F22" i="69"/>
  <c r="C66" i="67"/>
  <c r="C60" i="67"/>
  <c r="C23" i="67"/>
  <c r="C29" i="67"/>
  <c r="C66" i="84"/>
  <c r="C60" i="84"/>
  <c r="G37" i="43"/>
  <c r="I37" i="43"/>
  <c r="E37" i="43"/>
  <c r="G36" i="43"/>
  <c r="I36" i="43"/>
  <c r="E36" i="43"/>
  <c r="C32" i="67"/>
  <c r="C38" i="67"/>
  <c r="C27" i="12"/>
  <c r="C25" i="12"/>
  <c r="C32" i="12"/>
  <c r="B2" i="12"/>
  <c r="B3" i="12"/>
  <c r="E34" i="88"/>
  <c r="G34" i="88"/>
  <c r="I34" i="88"/>
  <c r="G33" i="88"/>
  <c r="I33" i="88"/>
  <c r="G38" i="88"/>
  <c r="I38" i="88"/>
  <c r="E38" i="88"/>
  <c r="G35" i="88"/>
  <c r="I35" i="88"/>
  <c r="E35" i="88"/>
  <c r="C26" i="69"/>
  <c r="D22" i="69"/>
  <c r="C44" i="69"/>
  <c r="D41" i="69"/>
  <c r="C24" i="69"/>
  <c r="C42" i="69"/>
  <c r="C23" i="69"/>
  <c r="C43" i="69"/>
  <c r="C25" i="69"/>
  <c r="C25" i="11"/>
  <c r="C42" i="11"/>
  <c r="C26" i="11"/>
  <c r="D22" i="11"/>
  <c r="C24" i="11"/>
  <c r="C44" i="11"/>
  <c r="D41" i="11"/>
  <c r="C23" i="11"/>
  <c r="C43" i="11"/>
  <c r="E29" i="43"/>
  <c r="C30" i="43"/>
  <c r="E30" i="43"/>
  <c r="G33" i="43"/>
  <c r="I33" i="43"/>
  <c r="E33" i="43"/>
  <c r="E34" i="43"/>
  <c r="G34" i="43"/>
  <c r="I34" i="43"/>
  <c r="G39" i="43"/>
  <c r="I39" i="43"/>
  <c r="E38" i="43"/>
  <c r="G38" i="43"/>
  <c r="I38" i="43"/>
  <c r="E35" i="43"/>
  <c r="G35" i="43"/>
  <c r="I35" i="43"/>
  <c r="G37" i="88"/>
  <c r="I37" i="88"/>
  <c r="E37" i="88"/>
  <c r="C30" i="88"/>
  <c r="E30" i="88"/>
  <c r="E29" i="88"/>
  <c r="G39" i="88"/>
  <c r="I39" i="88"/>
  <c r="E39" i="88"/>
  <c r="E36" i="88"/>
  <c r="G36" i="88"/>
  <c r="I36" i="88"/>
  <c r="C22" i="11"/>
  <c r="C31" i="11"/>
  <c r="C41" i="11"/>
  <c r="C49" i="11"/>
  <c r="C51" i="11"/>
  <c r="C57" i="83"/>
  <c r="J19" i="83"/>
  <c r="J17" i="83"/>
  <c r="Q49" i="83"/>
  <c r="J14" i="83"/>
  <c r="Q49" i="67"/>
  <c r="C13" i="67"/>
  <c r="C33" i="67"/>
  <c r="C31" i="67"/>
  <c r="C57" i="67"/>
  <c r="J14" i="67"/>
  <c r="J19" i="67"/>
  <c r="J17" i="67"/>
  <c r="C36" i="67"/>
  <c r="J59" i="67"/>
  <c r="J60" i="67"/>
  <c r="C26" i="88"/>
  <c r="B2" i="88"/>
  <c r="B3" i="88"/>
  <c r="C26" i="43"/>
  <c r="B2" i="43"/>
  <c r="B3" i="43"/>
  <c r="C22" i="69"/>
  <c r="C31" i="69"/>
  <c r="J19" i="84"/>
  <c r="J17" i="84"/>
  <c r="C57" i="84"/>
  <c r="Q49" i="84"/>
  <c r="J14" i="84"/>
  <c r="J19" i="15"/>
  <c r="J17" i="15"/>
  <c r="C57" i="15"/>
  <c r="Q49" i="15"/>
  <c r="J14" i="15"/>
  <c r="C27" i="88"/>
  <c r="C27" i="43"/>
  <c r="C41" i="69"/>
  <c r="C49" i="69"/>
  <c r="C51" i="69"/>
  <c r="C52" i="11"/>
  <c r="J22" i="15"/>
  <c r="J13" i="15"/>
  <c r="J23" i="15"/>
  <c r="C64" i="15"/>
  <c r="C61" i="15"/>
  <c r="C59" i="15"/>
  <c r="C64" i="84"/>
  <c r="C61" i="84"/>
  <c r="C59" i="84"/>
  <c r="C52" i="69"/>
  <c r="B2" i="69"/>
  <c r="B3" i="69"/>
  <c r="Q48" i="67"/>
  <c r="L46" i="67"/>
  <c r="C61" i="67"/>
  <c r="C59" i="67"/>
  <c r="C64" i="67"/>
  <c r="C56" i="67"/>
  <c r="C65" i="67"/>
  <c r="C37" i="67"/>
  <c r="C30" i="67"/>
  <c r="C39" i="67"/>
  <c r="Q70" i="67"/>
  <c r="C75" i="67"/>
  <c r="J13" i="83"/>
  <c r="J23" i="83"/>
  <c r="J22" i="83"/>
  <c r="Q70" i="83"/>
  <c r="C75" i="83"/>
  <c r="C56" i="83"/>
  <c r="C65" i="83"/>
  <c r="C56" i="15"/>
  <c r="C65" i="15"/>
  <c r="C75" i="15"/>
  <c r="Q70" i="15"/>
  <c r="J13" i="84"/>
  <c r="J23" i="84"/>
  <c r="J22" i="84"/>
  <c r="C56" i="84"/>
  <c r="C65" i="84"/>
  <c r="Q70" i="84"/>
  <c r="C75" i="84"/>
  <c r="J13" i="67"/>
  <c r="J23" i="67"/>
  <c r="J22" i="67"/>
  <c r="C61" i="83"/>
  <c r="C59" i="83"/>
  <c r="C64" i="83"/>
  <c r="C58" i="83"/>
  <c r="C67" i="83"/>
  <c r="C68" i="83"/>
  <c r="C71" i="83"/>
  <c r="J16" i="84"/>
  <c r="J25" i="84"/>
  <c r="J16" i="83"/>
  <c r="J25" i="83"/>
  <c r="J16" i="15"/>
  <c r="J25" i="15"/>
  <c r="J16" i="67"/>
  <c r="J25" i="67"/>
  <c r="C58" i="15"/>
  <c r="C67" i="15"/>
  <c r="C68" i="15"/>
  <c r="C71" i="15"/>
  <c r="B2" i="11"/>
  <c r="B3" i="11"/>
  <c r="C56" i="11"/>
  <c r="C57" i="11"/>
  <c r="C80" i="83"/>
  <c r="C79" i="83"/>
  <c r="C80" i="15"/>
  <c r="C79" i="15"/>
  <c r="C40" i="67"/>
  <c r="Q69" i="67"/>
  <c r="Q68" i="67"/>
  <c r="C80" i="67"/>
  <c r="C79" i="67"/>
  <c r="C58" i="67"/>
  <c r="C67" i="67"/>
  <c r="C68" i="67"/>
  <c r="C58" i="84"/>
  <c r="C67" i="84"/>
  <c r="C68" i="84"/>
  <c r="C57" i="69"/>
  <c r="C56" i="69"/>
  <c r="L51" i="67"/>
  <c r="Q67" i="67"/>
  <c r="L57" i="67"/>
  <c r="L60" i="67"/>
  <c r="C71" i="84"/>
  <c r="Q56" i="67"/>
  <c r="C43" i="67"/>
  <c r="Q65" i="67"/>
  <c r="Q47" i="67"/>
  <c r="Q53" i="67"/>
  <c r="D2" i="67"/>
  <c r="C83" i="67"/>
  <c r="C82" i="67"/>
  <c r="C46" i="84"/>
  <c r="Q69" i="84"/>
  <c r="Q68" i="84"/>
  <c r="C45" i="67"/>
  <c r="C46" i="67"/>
  <c r="C71" i="67"/>
  <c r="C80" i="84"/>
  <c r="C79" i="84"/>
  <c r="Q69" i="15"/>
  <c r="Q68" i="15"/>
  <c r="Q69" i="83"/>
  <c r="Q68" i="83"/>
  <c r="L51" i="84"/>
  <c r="L51" i="15"/>
  <c r="L51" i="83"/>
  <c r="C57" i="85"/>
  <c r="C56" i="85"/>
  <c r="C57" i="68"/>
  <c r="C56" i="68"/>
  <c r="Q67" i="83"/>
  <c r="C21" i="86"/>
  <c r="C102" i="86"/>
  <c r="Q67" i="15"/>
  <c r="Q67" i="84"/>
  <c r="C21" i="87"/>
  <c r="C102" i="87"/>
  <c r="Q57" i="67"/>
  <c r="Q66" i="67"/>
  <c r="Q75" i="67"/>
  <c r="Q65" i="83"/>
  <c r="Q75" i="83"/>
  <c r="Q56" i="83"/>
  <c r="Q62" i="83"/>
  <c r="Q47" i="83"/>
  <c r="Q53" i="83"/>
  <c r="C43" i="83"/>
  <c r="C83" i="83"/>
  <c r="C82" i="83"/>
  <c r="C46" i="83"/>
  <c r="C43" i="15"/>
  <c r="Q56" i="15"/>
  <c r="Q62" i="15"/>
  <c r="Q65" i="15"/>
  <c r="Q75" i="15"/>
  <c r="Q47" i="15"/>
  <c r="Q53" i="15"/>
  <c r="C83" i="15"/>
  <c r="C82" i="15"/>
  <c r="C46" i="15"/>
  <c r="Q47" i="84"/>
  <c r="Q53" i="84"/>
  <c r="Q56" i="84"/>
  <c r="Q62" i="84"/>
  <c r="C43" i="84"/>
  <c r="Q65" i="84"/>
  <c r="Q75" i="84"/>
  <c r="C83" i="84"/>
  <c r="C82" i="84"/>
  <c r="B2" i="67"/>
  <c r="B3" i="67"/>
  <c r="Q62" i="67"/>
  <c r="E7" i="76"/>
  <c r="E6" i="76"/>
  <c r="B3" i="68"/>
  <c r="B3" i="85"/>
  <c r="B7" i="76"/>
  <c r="AO7" i="1"/>
  <c r="E8" i="76"/>
  <c r="AO8" i="1"/>
  <c r="B8" i="76"/>
  <c r="AO6" i="1"/>
  <c r="B6" i="76"/>
  <c r="D35" i="87"/>
  <c r="D34" i="87"/>
  <c r="C20" i="87"/>
  <c r="D34" i="86"/>
  <c r="D35" i="86"/>
  <c r="C20" i="86"/>
  <c r="C103" i="86"/>
  <c r="C103" i="87"/>
  <c r="B2" i="76"/>
  <c r="B6" i="70"/>
  <c r="D21" i="86"/>
  <c r="D102" i="86"/>
  <c r="D22" i="86"/>
  <c r="B8" i="70"/>
  <c r="D21" i="87"/>
  <c r="D102" i="87"/>
  <c r="D22" i="87"/>
  <c r="D21" i="9"/>
  <c r="D102" i="9"/>
  <c r="D22" i="9"/>
  <c r="B7" i="70"/>
  <c r="E2" i="76"/>
  <c r="B3" i="84"/>
  <c r="B3" i="15"/>
  <c r="B3" i="83"/>
  <c r="D20" i="87"/>
  <c r="D20" i="86"/>
  <c r="D35" i="9"/>
  <c r="D34" i="9"/>
  <c r="D20" i="9"/>
  <c r="D103" i="9"/>
  <c r="G20" i="9"/>
  <c r="D103" i="86"/>
  <c r="G20" i="86"/>
  <c r="D103" i="87"/>
  <c r="G20" i="87"/>
  <c r="G21" i="9"/>
  <c r="G21" i="87"/>
  <c r="B2" i="70"/>
  <c r="B3" i="70"/>
  <c r="G21" i="86"/>
  <c r="B3" i="76"/>
  <c r="C35" i="86"/>
  <c r="F118" i="86"/>
  <c r="C35" i="87"/>
  <c r="F118" i="87"/>
  <c r="C35" i="9"/>
  <c r="F118" i="9"/>
  <c r="C34" i="9"/>
  <c r="D118" i="9"/>
  <c r="C34" i="86"/>
  <c r="D118" i="86"/>
  <c r="D119" i="86"/>
  <c r="D4" i="52"/>
  <c r="B47" i="72"/>
  <c r="D119" i="9"/>
  <c r="D5" i="52"/>
  <c r="B49" i="72"/>
  <c r="F4" i="52"/>
  <c r="B51" i="72"/>
  <c r="F119" i="9"/>
  <c r="F5" i="52"/>
  <c r="B53" i="72"/>
  <c r="G118" i="9"/>
  <c r="G4" i="52"/>
  <c r="B52" i="72"/>
  <c r="F119" i="87"/>
  <c r="G118" i="87"/>
  <c r="H119" i="9"/>
  <c r="H5" i="52"/>
  <c r="H4" i="52"/>
  <c r="C104" i="9"/>
  <c r="H101" i="9"/>
  <c r="I118" i="9"/>
  <c r="C34" i="87"/>
  <c r="D118" i="87"/>
  <c r="D119" i="87"/>
  <c r="C104" i="87"/>
  <c r="I118" i="87"/>
  <c r="G16" i="74"/>
  <c r="H101" i="87"/>
  <c r="H119" i="87"/>
  <c r="G118" i="86"/>
  <c r="F119" i="86"/>
  <c r="I118" i="86"/>
  <c r="C104" i="86"/>
  <c r="G15" i="74"/>
  <c r="H119" i="86"/>
  <c r="H101" i="86"/>
  <c r="H107" i="9"/>
  <c r="D45" i="9"/>
  <c r="M48" i="9"/>
  <c r="D5" i="53"/>
  <c r="D45" i="86"/>
  <c r="M48" i="86"/>
  <c r="H107" i="86"/>
  <c r="E15" i="74"/>
  <c r="F15" i="74"/>
  <c r="E118" i="86"/>
  <c r="C105" i="86"/>
  <c r="H102" i="86"/>
  <c r="D45" i="87"/>
  <c r="M48" i="87"/>
  <c r="H107" i="87"/>
  <c r="E118" i="87"/>
  <c r="C105" i="87"/>
  <c r="H102" i="87"/>
  <c r="F16" i="74"/>
  <c r="E16" i="74"/>
  <c r="C105" i="9"/>
  <c r="I4" i="52"/>
  <c r="H102" i="9"/>
  <c r="D7" i="53"/>
  <c r="B21" i="72"/>
  <c r="E118" i="9"/>
  <c r="E4" i="52"/>
  <c r="B48" i="72"/>
  <c r="E14" i="74"/>
  <c r="F14" i="74"/>
  <c r="C5" i="74"/>
  <c r="D5" i="74"/>
  <c r="D6" i="53"/>
  <c r="B22" i="72"/>
  <c r="B20" i="72"/>
  <c r="D53" i="9"/>
  <c r="D52" i="9"/>
  <c r="C64" i="9"/>
  <c r="C63" i="9"/>
  <c r="C67" i="9"/>
  <c r="C68" i="9"/>
  <c r="D54" i="9"/>
  <c r="C78" i="9"/>
  <c r="C73" i="9"/>
  <c r="C93" i="9"/>
  <c r="C86" i="9"/>
  <c r="C85" i="9"/>
  <c r="D55" i="9"/>
  <c r="M53" i="9"/>
  <c r="C72" i="9"/>
  <c r="C79" i="9"/>
  <c r="H108" i="87"/>
  <c r="D122" i="87"/>
  <c r="D123" i="87"/>
  <c r="C85" i="87"/>
  <c r="D53" i="87"/>
  <c r="D52" i="87"/>
  <c r="C64" i="87"/>
  <c r="C63" i="87"/>
  <c r="C67" i="87"/>
  <c r="C68" i="87"/>
  <c r="D54" i="87"/>
  <c r="C78" i="87"/>
  <c r="C73" i="87"/>
  <c r="C93" i="87"/>
  <c r="C86" i="87"/>
  <c r="C72" i="87"/>
  <c r="C79" i="87"/>
  <c r="D55" i="87"/>
  <c r="M53" i="87"/>
  <c r="D122" i="86"/>
  <c r="D123" i="86"/>
  <c r="H108" i="86"/>
  <c r="C78" i="86"/>
  <c r="C73" i="86"/>
  <c r="C93" i="86"/>
  <c r="C86" i="86"/>
  <c r="C72" i="86"/>
  <c r="D53" i="86"/>
  <c r="C85" i="86"/>
  <c r="D52" i="86"/>
  <c r="D55" i="86"/>
  <c r="M53" i="86"/>
  <c r="C64" i="86"/>
  <c r="C63" i="86"/>
  <c r="C67" i="86"/>
  <c r="C68" i="86"/>
  <c r="D54" i="86"/>
  <c r="D13" i="53"/>
  <c r="D122" i="9"/>
  <c r="H108" i="9"/>
  <c r="D15" i="53"/>
  <c r="B31" i="72"/>
  <c r="C95" i="86"/>
  <c r="C95" i="87"/>
  <c r="C96" i="87"/>
  <c r="E96" i="87"/>
  <c r="E97" i="87"/>
  <c r="B30" i="72"/>
  <c r="D14" i="53"/>
  <c r="B32" i="72"/>
  <c r="C96" i="86"/>
  <c r="E96" i="86"/>
  <c r="E97" i="86"/>
  <c r="C79" i="86"/>
  <c r="G14" i="74"/>
  <c r="B6" i="74"/>
  <c r="D123" i="9"/>
  <c r="D9" i="52"/>
  <c r="D8" i="52"/>
  <c r="C80" i="9"/>
  <c r="E80" i="9"/>
  <c r="E81" i="9"/>
  <c r="C95" i="9"/>
  <c r="C80" i="87"/>
  <c r="E80" i="87"/>
  <c r="E81" i="87"/>
  <c r="C97" i="86"/>
  <c r="D58" i="86"/>
  <c r="D56" i="86"/>
  <c r="M54" i="86"/>
  <c r="N57" i="86"/>
  <c r="N59" i="86"/>
  <c r="C81" i="87"/>
  <c r="C81" i="9"/>
  <c r="C96" i="9"/>
  <c r="E96" i="9"/>
  <c r="E97" i="9"/>
  <c r="D6" i="74"/>
  <c r="C6" i="74"/>
  <c r="C97" i="87"/>
  <c r="D58" i="87"/>
  <c r="D56" i="87"/>
  <c r="M54" i="87"/>
  <c r="N57" i="87"/>
  <c r="C80" i="86"/>
  <c r="E80" i="86"/>
  <c r="E81" i="86"/>
  <c r="P57" i="86"/>
  <c r="N58" i="86"/>
  <c r="C81" i="86"/>
  <c r="C97" i="9"/>
  <c r="D58" i="9"/>
  <c r="D56" i="9"/>
  <c r="M54" i="9"/>
  <c r="N57" i="9"/>
  <c r="N58" i="9"/>
  <c r="N61" i="86"/>
  <c r="N60" i="86"/>
  <c r="P57" i="87"/>
  <c r="N59" i="87"/>
  <c r="N58" i="87"/>
  <c r="N59" i="9"/>
  <c r="P57" i="9"/>
  <c r="N61" i="9"/>
  <c r="N60" i="9"/>
  <c r="N60" i="87"/>
  <c r="N61" i="87"/>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<sst xmlns="http://schemas.openxmlformats.org/spreadsheetml/2006/main" count="9838" uniqueCount="3383">
  <si>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</si>
  <si>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</si>
  <si>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</si>
  <si>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</si>
  <si>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</si>
  <si>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</si>
  <si>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</si>
  <si>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</si>
  <si>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</si>
  <si>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</si>
  <si>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</si>
  <si>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</si>
  <si>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</si>
  <si>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</si>
  <si>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</si>
  <si>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</si>
  <si>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</si>
  <si>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</si>
  <si>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</si>
  <si>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</si>
  <si>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</si>
  <si>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</si>
  <si>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</si>
  <si>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</si>
  <si>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</si>
  <si>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</si>
  <si>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</si>
  <si>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</si>
  <si>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</si>
  <si>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</si>
  <si>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</si>
  <si>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</si>
  <si>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</si>
  <si>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</si>
  <si>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</si>
  <si>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</si>
  <si>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</si>
  <si>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</si>
  <si>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</si>
  <si>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</si>
  <si>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</si>
  <si>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</si>
  <si>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</si>
  <si>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</si>
  <si>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</si>
  <si>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</si>
  <si>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</si>
  <si>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</si>
  <si>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</si>
  <si>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</si>
  <si>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</si>
  <si>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</si>
  <si>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</si>
  <si>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</si>
  <si>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</si>
  <si>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</si>
  <si>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</si>
  <si>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</si>
  <si>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</si>
  <si>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</si>
  <si>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</si>
  <si>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</si>
  <si>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</si>
  <si>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</si>
  <si>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</si>
  <si>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</si>
  <si>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</si>
  <si>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</si>
  <si>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</si>
  <si>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</si>
  <si>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</si>
  <si>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</si>
  <si>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</si>
  <si>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</si>
  <si>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</si>
  <si>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</si>
  <si>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</si>
  <si>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</si>
  <si>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</si>
  <si>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</si>
  <si>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</si>
  <si>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</si>
  <si>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</si>
  <si>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</si>
  <si>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</si>
  <si>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</si>
  <si>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</si>
  <si>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</si>
  <si>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</si>
  <si>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</si>
  <si>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</si>
  <si>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</si>
  <si>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</si>
  <si>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</si>
  <si>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</si>
  <si>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</si>
  <si>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</si>
  <si>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</si>
  <si>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</si>
  <si>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</si>
  <si>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</si>
  <si>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</si>
  <si>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</si>
  <si>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</si>
  <si>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</si>
  <si>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</si>
  <si>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</si>
  <si>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</si>
  <si>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</si>
  <si>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</si>
  <si>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</si>
  <si>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</si>
  <si>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</si>
  <si>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</si>
  <si>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</si>
  <si>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</si>
  <si>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</si>
  <si>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</si>
  <si>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</si>
  <si>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</si>
  <si>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</si>
  <si>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</si>
  <si>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</si>
  <si>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</si>
  <si>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</si>
  <si>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</si>
  <si>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</si>
  <si>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</si>
  <si>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</si>
  <si>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</si>
  <si>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</si>
  <si>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</si>
  <si>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</si>
  <si>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</si>
  <si>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</si>
  <si>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</si>
  <si>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</si>
  <si>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</si>
  <si>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</si>
  <si>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</si>
  <si>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</si>
  <si>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</si>
  <si>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</si>
  <si>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</si>
  <si>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</si>
  <si>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</si>
  <si>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</si>
  <si>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</si>
  <si>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</si>
  <si>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</si>
  <si>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</si>
  <si>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</si>
  <si>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</si>
  <si>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</si>
  <si>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</si>
  <si>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</si>
  <si>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</si>
  <si>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</si>
  <si>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</si>
  <si>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</si>
  <si>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</si>
  <si>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</si>
  <si>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</si>
  <si>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</si>
  <si>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</si>
  <si>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</si>
  <si>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</si>
  <si>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</si>
  <si>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</si>
  <si>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</si>
  <si>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</si>
  <si>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</si>
  <si>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</si>
  <si>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</si>
  <si>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</si>
  <si>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</si>
  <si>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</si>
  <si>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</si>
  <si>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</si>
  <si>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</si>
  <si>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</si>
  <si>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</si>
  <si>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</si>
  <si>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</si>
  <si>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</si>
  <si>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</si>
  <si>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</si>
  <si>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</si>
  <si>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</si>
  <si>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</si>
  <si>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</si>
  <si>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</si>
  <si>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</si>
  <si>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</si>
  <si>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</si>
  <si>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</si>
  <si>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</si>
  <si>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</si>
  <si>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</si>
  <si>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</si>
  <si>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</si>
  <si>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</si>
  <si>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</si>
  <si>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</si>
  <si>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</si>
  <si>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</si>
  <si>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</si>
  <si>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</si>
  <si>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</si>
  <si>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</si>
  <si>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</si>
  <si>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</si>
  <si>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</si>
  <si>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</si>
  <si>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</si>
  <si>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</si>
  <si>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</si>
  <si>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</si>
  <si>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</si>
  <si>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</si>
  <si>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</si>
  <si>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</si>
  <si>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</si>
  <si>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</si>
  <si>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</si>
  <si>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</si>
  <si>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</si>
  <si>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</si>
  <si>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</si>
  <si>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</si>
  <si>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</si>
  <si>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</si>
  <si>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</si>
  <si>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</si>
  <si>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</si>
  <si>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</si>
  <si>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</si>
  <si>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</si>
  <si>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</si>
  <si>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</si>
  <si>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</si>
  <si>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</si>
  <si>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</si>
  <si>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</si>
  <si>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</si>
  <si>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</si>
  <si>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</si>
  <si>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</si>
  <si>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</si>
  <si>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</si>
  <si>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</si>
  <si>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</si>
  <si>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</si>
  <si>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</si>
  <si>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</si>
  <si>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</si>
  <si>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</si>
  <si>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</si>
  <si>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</si>
  <si>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</si>
  <si>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</si>
  <si>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</si>
  <si>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</si>
  <si>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</si>
  <si>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</si>
  <si>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</si>
  <si>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</si>
  <si>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</si>
  <si>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</si>
  <si>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</si>
  <si>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</si>
  <si>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</si>
  <si>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</si>
  <si>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</si>
  <si>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</si>
  <si>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</si>
  <si>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</si>
  <si>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</si>
  <si>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</si>
  <si>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</si>
  <si>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</si>
  <si>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</si>
  <si>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</si>
  <si>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</si>
  <si>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</si>
  <si>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</si>
  <si>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</si>
  <si>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</si>
  <si>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</si>
  <si>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</si>
  <si>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</si>
  <si>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</si>
  <si>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</si>
  <si>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</si>
  <si>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</si>
  <si>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</si>
  <si>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</si>
  <si>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</si>
  <si>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</si>
  <si>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</si>
  <si>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</si>
  <si>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</si>
  <si>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</si>
  <si>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</si>
  <si>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</si>
  <si>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</si>
  <si>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</si>
  <si>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</si>
  <si>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</si>
  <si>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</si>
  <si>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</si>
  <si>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</si>
  <si>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</si>
  <si>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</si>
  <si>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</si>
  <si>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</si>
  <si>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</si>
  <si>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</si>
  <si>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</si>
  <si>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</si>
  <si>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</si>
  <si>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</si>
  <si>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</si>
  <si>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</si>
  <si>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</si>
  <si>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</si>
  <si>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</si>
  <si>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</si>
  <si>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</si>
  <si>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</si>
  <si>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</si>
  <si>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</si>
  <si>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</si>
  <si>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</si>
  <si>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</si>
  <si>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</si>
  <si>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</si>
  <si>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</si>
  <si>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</si>
  <si>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</si>
  <si>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</si>
  <si>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</si>
  <si>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</si>
  <si>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</si>
  <si>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</si>
  <si>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</si>
  <si>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</si>
  <si>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</si>
  <si>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</si>
  <si>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</si>
  <si>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</si>
  <si>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</si>
  <si>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</si>
  <si>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</si>
  <si>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</si>
  <si>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</si>
  <si>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</si>
  <si>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</si>
  <si>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</si>
  <si>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</si>
  <si>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</si>
  <si>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</si>
  <si>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</si>
  <si>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</si>
  <si>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</si>
  <si>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</si>
  <si>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</si>
  <si>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</si>
  <si>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</si>
  <si>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</si>
  <si>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</si>
  <si>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</si>
  <si>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</si>
  <si>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</si>
  <si>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</si>
  <si>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</si>
  <si>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</si>
  <si>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</si>
  <si>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</si>
  <si>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</si>
  <si>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</si>
  <si>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</si>
  <si>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</si>
  <si>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</si>
  <si>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</si>
  <si>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</si>
  <si>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</si>
  <si>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</si>
  <si>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</si>
  <si>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</si>
  <si>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</si>
  <si>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</si>
  <si>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</si>
  <si>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</si>
  <si>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</si>
  <si>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</si>
  <si>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</si>
  <si>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</si>
  <si>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</si>
  <si>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</si>
  <si>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</si>
  <si>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</si>
  <si>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</si>
  <si>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</si>
  <si>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</si>
  <si>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</si>
  <si>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</si>
  <si>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</si>
  <si>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</si>
  <si>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</si>
  <si>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</si>
  <si>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</si>
  <si>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</si>
  <si>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</si>
  <si>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</si>
  <si>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</si>
  <si>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</si>
  <si>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</si>
  <si>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</si>
  <si>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</si>
  <si>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</si>
  <si>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</si>
  <si>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</si>
  <si>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</si>
  <si>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</si>
  <si>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</si>
  <si>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</si>
  <si>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</si>
  <si>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</si>
  <si>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</si>
  <si>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</si>
  <si>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</si>
  <si>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</si>
  <si>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</si>
  <si>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</si>
  <si>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</si>
  <si>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</si>
  <si>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</si>
  <si>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</si>
  <si>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</si>
  <si>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</si>
  <si>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</si>
  <si>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</si>
  <si>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</si>
  <si>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</si>
  <si>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</si>
  <si>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</si>
  <si>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</si>
  <si>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</si>
  <si>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</si>
  <si>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</si>
  <si>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</si>
  <si>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</si>
  <si>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</si>
  <si>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</si>
  <si>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</si>
  <si>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</si>
  <si>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</si>
  <si>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</si>
  <si>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</si>
  <si>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</si>
  <si>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</si>
  <si>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</si>
  <si>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</si>
  <si>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</si>
  <si>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</si>
  <si>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</si>
  <si>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</si>
  <si>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</si>
  <si>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</si>
  <si>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</si>
  <si>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</si>
  <si>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</si>
  <si>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</si>
  <si>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</si>
  <si>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</si>
  <si>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</si>
  <si>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</si>
  <si>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</si>
  <si>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</si>
  <si>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</si>
  <si>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</si>
  <si>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</si>
  <si>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</si>
  <si>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</si>
  <si>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</si>
  <si>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</si>
  <si>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</si>
  <si>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</si>
  <si>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</si>
  <si>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</si>
  <si>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</si>
  <si>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</si>
  <si>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</si>
  <si>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</si>
  <si>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</si>
  <si>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</si>
  <si>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</si>
  <si>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</si>
  <si>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</si>
  <si>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</si>
  <si>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</si>
  <si>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</si>
  <si>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</si>
  <si>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</si>
  <si>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</si>
  <si>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</si>
  <si>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</si>
  <si>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</si>
  <si>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</si>
  <si>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</si>
  <si>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</si>
  <si>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</si>
  <si>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</si>
  <si>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</si>
  <si>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</si>
  <si>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</si>
  <si>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</si>
  <si>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</si>
  <si>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</si>
  <si>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</si>
  <si>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</si>
  <si>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</si>
  <si>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</si>
  <si>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</si>
  <si>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</si>
  <si>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</si>
  <si>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</si>
  <si>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</si>
  <si>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</si>
  <si>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</si>
  <si>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</si>
  <si>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</si>
  <si>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</si>
  <si>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</si>
  <si>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</si>
  <si>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</si>
  <si>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</si>
  <si>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</si>
  <si>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</si>
  <si>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</si>
  <si>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</si>
  <si>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</si>
  <si>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</si>
  <si>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</si>
  <si>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</si>
  <si>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</si>
  <si>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</si>
  <si>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</si>
  <si>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</si>
  <si>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</si>
  <si>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</si>
  <si>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</si>
  <si>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</si>
  <si>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</si>
  <si>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</si>
  <si>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</si>
  <si>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</si>
  <si>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</si>
  <si>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</si>
  <si>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</si>
  <si>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</si>
  <si>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</si>
  <si>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</si>
  <si>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</si>
  <si>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</si>
  <si>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</si>
  <si>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</si>
  <si>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</si>
  <si>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</si>
  <si>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</si>
  <si>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</si>
  <si>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</si>
  <si>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</si>
  <si>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</si>
  <si>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</si>
  <si>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</si>
  <si>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</si>
  <si>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</si>
  <si>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</si>
  <si>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</si>
  <si>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</si>
  <si>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</si>
  <si>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</si>
  <si>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</si>
  <si>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</si>
  <si>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</si>
  <si>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</si>
  <si>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</si>
  <si>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</si>
  <si>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</si>
  <si>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</si>
  <si>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</si>
  <si>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</si>
  <si>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</si>
  <si>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</si>
  <si>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</si>
  <si>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</si>
  <si>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</si>
  <si>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</si>
  <si>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</si>
  <si>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</si>
  <si>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</si>
  <si>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</si>
  <si>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</si>
  <si>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</si>
  <si>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</si>
  <si>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</si>
  <si>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</si>
  <si>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</si>
  <si>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</si>
  <si>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</si>
  <si>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</si>
  <si>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</si>
  <si>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</si>
  <si>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</si>
  <si>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</si>
  <si>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</si>
  <si>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</si>
  <si>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</si>
  <si>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</si>
  <si>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</si>
  <si>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</si>
  <si>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</si>
  <si>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</si>
  <si>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</si>
  <si>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</si>
  <si>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</si>
  <si>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</si>
  <si>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</si>
  <si>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</si>
  <si>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</si>
  <si>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</si>
  <si>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</si>
  <si>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</si>
  <si>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</si>
  <si>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</si>
  <si>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</si>
  <si>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</si>
  <si>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</si>
  <si>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</si>
  <si>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</si>
  <si>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</si>
  <si>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</si>
  <si>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</si>
  <si>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</si>
  <si>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</si>
  <si>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</si>
  <si>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</si>
  <si>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</si>
  <si>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</si>
  <si>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</si>
  <si>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</si>
  <si>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</si>
  <si>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</si>
  <si>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</si>
  <si>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</si>
  <si>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</si>
  <si>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</si>
  <si>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</si>
  <si>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</si>
  <si>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</si>
  <si>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</si>
  <si>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</si>
  <si>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</si>
  <si>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</si>
  <si>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</si>
  <si>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</si>
  <si>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</si>
  <si>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</si>
  <si>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</si>
  <si>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</si>
  <si>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</si>
  <si>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</si>
  <si>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</si>
  <si>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</si>
  <si>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</si>
  <si>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</si>
  <si>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</si>
  <si>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</si>
  <si>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</si>
  <si>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</si>
  <si>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</si>
  <si>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</si>
  <si>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</si>
  <si>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</si>
  <si>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</si>
  <si>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</si>
  <si>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</si>
  <si>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</si>
  <si>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</si>
  <si>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</si>
  <si>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</si>
  <si>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</si>
  <si>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</si>
  <si>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</si>
  <si>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</si>
  <si>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</si>
  <si>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</si>
  <si>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</si>
  <si>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</si>
  <si>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</si>
  <si>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</si>
  <si>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</si>
  <si>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</si>
  <si>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</si>
  <si>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</si>
  <si>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</si>
  <si>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</si>
  <si>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</si>
  <si>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</si>
  <si>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</si>
  <si>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</si>
  <si>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</si>
  <si>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</si>
  <si>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</si>
  <si>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</si>
  <si>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</si>
  <si>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</si>
  <si>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</si>
  <si>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</si>
  <si>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</si>
  <si>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</si>
  <si>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</si>
  <si>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</si>
  <si>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</si>
  <si>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</si>
  <si>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</si>
  <si>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</si>
  <si>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</si>
  <si>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</si>
  <si>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</si>
  <si>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</si>
  <si>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</si>
  <si>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</si>
  <si>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</si>
  <si>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</si>
  <si>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</si>
  <si>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</si>
  <si>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</si>
  <si>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</si>
  <si>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</si>
  <si>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</si>
  <si>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</si>
  <si>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</si>
  <si>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</si>
  <si>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</si>
  <si>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</si>
  <si>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</si>
  <si>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</si>
  <si>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</si>
  <si>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</si>
  <si>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</si>
  <si>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</si>
  <si>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</si>
  <si>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</si>
  <si>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</si>
  <si>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</si>
  <si>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</si>
  <si>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</si>
  <si>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</si>
  <si>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</si>
  <si>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</si>
  <si>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</si>
  <si>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</si>
  <si>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</si>
  <si>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</si>
  <si>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</si>
  <si>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</si>
  <si>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</si>
  <si>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</si>
  <si>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</si>
  <si>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</si>
  <si>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</si>
  <si>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</si>
  <si>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</si>
  <si>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</si>
  <si>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</si>
  <si>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</si>
  <si>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</si>
  <si>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</si>
  <si>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</si>
  <si>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</si>
  <si>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</si>
  <si>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</si>
  <si>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</si>
  <si>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</si>
  <si>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</si>
  <si>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</si>
  <si>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</si>
  <si>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</si>
  <si>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</si>
  <si>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</si>
  <si>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</si>
  <si>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</si>
  <si>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</si>
  <si>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</si>
  <si>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</si>
  <si>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</si>
  <si>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</si>
  <si>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</si>
  <si>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</si>
  <si>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</si>
  <si>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</si>
  <si>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</si>
  <si>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</si>
  <si>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</si>
  <si>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</si>
  <si>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</si>
  <si>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</si>
  <si>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</si>
  <si>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</si>
  <si>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</si>
  <si>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</si>
  <si>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</si>
  <si>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</si>
  <si>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</si>
  <si>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</si>
  <si>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</si>
  <si>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</si>
  <si>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</si>
  <si>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</si>
  <si>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</si>
  <si>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</si>
  <si>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</si>
  <si>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今日</t>
    <phoneticPr fontId="84" type="noConversion"/>
  </si>
  <si>
    <t>资质过期显示为红色</t>
    <phoneticPr fontId="84" type="noConversion"/>
  </si>
  <si>
    <t>注册房地产估价师</t>
    <phoneticPr fontId="84" type="noConversion"/>
  </si>
  <si>
    <t>注册证号</t>
    <phoneticPr fontId="84" type="noConversion"/>
  </si>
  <si>
    <t>资质有效期</t>
    <phoneticPr fontId="84" type="noConversion"/>
  </si>
  <si>
    <t>土地估价师</t>
    <phoneticPr fontId="84" type="noConversion"/>
  </si>
  <si>
    <t>证号</t>
    <phoneticPr fontId="84" type="noConversion"/>
  </si>
  <si>
    <t>梁津</t>
    <phoneticPr fontId="84" type="noConversion"/>
  </si>
  <si>
    <t>李立</t>
    <phoneticPr fontId="84" type="noConversion"/>
  </si>
  <si>
    <t>叶凌</t>
    <phoneticPr fontId="84" type="noConversion"/>
  </si>
  <si>
    <t>王鹏</t>
    <phoneticPr fontId="84" type="noConversion"/>
  </si>
  <si>
    <t>欧红伟</t>
    <phoneticPr fontId="84" type="noConversion"/>
  </si>
  <si>
    <t>吴薇</t>
    <phoneticPr fontId="84" type="noConversion"/>
  </si>
  <si>
    <t>陈颖</t>
    <phoneticPr fontId="84" type="noConversion"/>
  </si>
  <si>
    <t>崔锴</t>
    <phoneticPr fontId="84" type="noConversion"/>
  </si>
  <si>
    <t>郑燚</t>
    <phoneticPr fontId="84" type="noConversion"/>
  </si>
  <si>
    <t>马琳琳</t>
    <phoneticPr fontId="84" type="noConversion"/>
  </si>
  <si>
    <t>刘梅</t>
    <phoneticPr fontId="84" type="noConversion"/>
  </si>
  <si>
    <t>赵雯</t>
    <phoneticPr fontId="84" type="noConversion"/>
  </si>
  <si>
    <t>刘敬东</t>
    <phoneticPr fontId="84" type="noConversion"/>
  </si>
  <si>
    <t>王萌</t>
    <phoneticPr fontId="84" type="noConversion"/>
  </si>
  <si>
    <t>估价机构</t>
    <phoneticPr fontId="84" type="noConversion"/>
  </si>
  <si>
    <t>房地产</t>
    <phoneticPr fontId="84" type="noConversion"/>
  </si>
  <si>
    <t>土地</t>
    <phoneticPr fontId="84" type="noConversion"/>
  </si>
  <si>
    <t>证书名称</t>
    <phoneticPr fontId="84" type="noConversion"/>
  </si>
  <si>
    <t>号码</t>
    <phoneticPr fontId="84" type="noConversion"/>
  </si>
  <si>
    <t>资质有效期</t>
    <phoneticPr fontId="84" type="noConversion"/>
  </si>
  <si>
    <t>资质证书：一级</t>
    <phoneticPr fontId="84" type="noConversion"/>
  </si>
  <si>
    <t>建房估证字[2013]081号</t>
    <phoneticPr fontId="84" type="noConversion"/>
  </si>
  <si>
    <t>注册证书</t>
    <phoneticPr fontId="84" type="noConversion"/>
  </si>
  <si>
    <t>A201111009</t>
    <phoneticPr fontId="84" type="noConversion"/>
  </si>
  <si>
    <t>资信等级：A级</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</si>
  <si>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</si>
  <si>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</si>
  <si>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</si>
  <si>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</si>
  <si>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</si>
  <si>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</si>
  <si>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</si>
  <si>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</si>
  <si>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</si>
  <si>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</si>
  <si>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</si>
  <si>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</si>
  <si>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</si>
  <si>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</si>
  <si>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</si>
  <si>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</si>
  <si>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</si>
  <si>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</si>
  <si>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</si>
  <si>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</si>
  <si>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</si>
  <si>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</si>
  <si>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</si>
  <si>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</si>
  <si>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</si>
  <si>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</si>
  <si>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</si>
  <si>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</si>
  <si>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</si>
  <si>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</si>
  <si>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</si>
  <si>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</si>
  <si>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</si>
  <si>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</si>
  <si>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</si>
  <si>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</si>
  <si>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</si>
  <si>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</si>
  <si>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</si>
  <si>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</si>
  <si>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</si>
  <si>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</si>
  <si>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</si>
  <si>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</si>
  <si>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</si>
  <si>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</si>
  <si>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</si>
  <si>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</si>
  <si>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</si>
  <si>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</si>
  <si>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</si>
  <si>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</si>
  <si>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</si>
  <si>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</si>
  <si>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</si>
  <si>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</si>
  <si>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</si>
  <si>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</si>
  <si>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</si>
  <si>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</si>
  <si>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</si>
  <si>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</si>
  <si>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</si>
  <si>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</si>
  <si>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</si>
  <si>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</si>
  <si>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</si>
  <si>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</si>
  <si>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</si>
  <si>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</si>
  <si>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</si>
  <si>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</si>
  <si>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</si>
  <si>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</si>
  <si>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</si>
  <si>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</si>
  <si>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</si>
  <si>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</si>
  <si>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</si>
  <si>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</si>
  <si>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</si>
  <si>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</si>
  <si>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</si>
  <si>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</si>
  <si>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</si>
  <si>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</si>
  <si>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</si>
  <si>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</si>
  <si>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</si>
  <si>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</si>
  <si>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</si>
  <si>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</si>
  <si>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</si>
  <si>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</si>
  <si>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</si>
  <si>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</si>
  <si>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</si>
  <si>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</si>
  <si>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</si>
  <si>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</si>
  <si>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</si>
  <si>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</si>
  <si>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</si>
  <si>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</si>
  <si>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</si>
  <si>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</si>
  <si>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</si>
  <si>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</si>
  <si>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</si>
  <si>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</si>
  <si>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</si>
  <si>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</si>
  <si>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</si>
  <si>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</si>
  <si>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</si>
  <si>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</si>
  <si>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</si>
  <si>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</si>
  <si>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</si>
  <si>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</si>
  <si>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</si>
  <si>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</si>
  <si>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</si>
  <si>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</si>
  <si>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</si>
  <si>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</si>
  <si>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</si>
  <si>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</si>
  <si>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</si>
  <si>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</si>
  <si>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</si>
  <si>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</si>
  <si>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</si>
  <si>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</si>
  <si>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</si>
  <si>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</si>
  <si>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</si>
  <si>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</si>
  <si>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</si>
  <si>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</si>
  <si>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</si>
  <si>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</si>
  <si>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</si>
  <si>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</si>
  <si>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</si>
  <si>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</si>
  <si>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</si>
  <si>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</si>
  <si>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</si>
  <si>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</si>
  <si>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</si>
  <si>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</si>
  <si>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</si>
  <si>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</si>
  <si>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</si>
  <si>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</si>
  <si>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</si>
  <si>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</si>
  <si>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</si>
  <si>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</si>
  <si>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</si>
  <si>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</si>
  <si>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</si>
  <si>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</si>
  <si>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</si>
  <si>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</si>
  <si>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</si>
  <si>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</si>
  <si>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</si>
  <si>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</si>
  <si>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</si>
  <si>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</si>
  <si>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</si>
  <si>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</si>
  <si>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</si>
  <si>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</si>
  <si>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</si>
  <si>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</si>
  <si>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</si>
  <si>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</si>
  <si>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</si>
  <si>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</si>
  <si>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</si>
  <si>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</si>
  <si>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</si>
  <si>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</si>
  <si>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</si>
  <si>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</si>
  <si>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</si>
  <si>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</si>
  <si>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</si>
  <si>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</si>
  <si>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</si>
  <si>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</si>
  <si>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</si>
  <si>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</si>
  <si>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</si>
  <si>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</si>
  <si>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</si>
  <si>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</si>
  <si>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</si>
  <si>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</si>
  <si>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</si>
  <si>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</si>
  <si>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</si>
  <si>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</si>
  <si>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</si>
  <si>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</si>
  <si>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</si>
  <si>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</si>
  <si>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</si>
  <si>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</si>
  <si>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</si>
  <si>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</si>
  <si>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</si>
  <si>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</si>
  <si>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</si>
  <si>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</si>
  <si>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</si>
  <si>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</si>
  <si>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</si>
  <si>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</si>
  <si>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</si>
  <si>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</si>
  <si>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</si>
  <si>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</si>
  <si>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</si>
  <si>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</si>
  <si>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</si>
  <si>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</si>
  <si>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</si>
  <si>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</si>
  <si>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</si>
  <si>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</si>
  <si>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</si>
  <si>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</si>
  <si>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</si>
  <si>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</si>
  <si>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</si>
  <si>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</si>
  <si>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</si>
  <si>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</si>
  <si>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</si>
  <si>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</si>
  <si>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</si>
  <si>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</si>
  <si>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</si>
  <si>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</si>
  <si>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</si>
  <si>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</si>
  <si>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</si>
  <si>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</si>
  <si>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</si>
  <si>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</si>
  <si>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</si>
  <si>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</si>
  <si>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</si>
  <si>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</si>
  <si>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</si>
  <si>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</si>
  <si>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</si>
  <si>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</si>
  <si>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</si>
  <si>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</si>
  <si>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</si>
  <si>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</si>
  <si>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</si>
  <si>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</si>
  <si>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</si>
  <si>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</si>
  <si>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</si>
  <si>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</si>
  <si>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</si>
  <si>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</si>
  <si>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</si>
  <si>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</si>
  <si>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</si>
  <si>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</si>
  <si>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</si>
  <si>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</si>
  <si>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</si>
  <si>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</si>
  <si>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</si>
  <si>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</si>
  <si>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</si>
  <si>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</si>
  <si>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</si>
  <si>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</si>
  <si>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</si>
  <si>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</si>
  <si>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</si>
  <si>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</si>
  <si>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</si>
  <si>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</si>
  <si>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</si>
  <si>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</si>
  <si>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</si>
  <si>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</si>
  <si>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</si>
  <si>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</si>
  <si>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</si>
  <si>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</si>
  <si>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</si>
  <si>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</si>
  <si>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</si>
  <si>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</si>
  <si>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</si>
  <si>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</si>
  <si>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</si>
  <si>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</si>
  <si>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</si>
  <si>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</si>
  <si>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</si>
  <si>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</si>
  <si>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</si>
  <si>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</si>
  <si>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</si>
  <si>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</si>
  <si>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</si>
  <si>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</si>
  <si>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</si>
  <si>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</si>
  <si>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</si>
  <si>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</si>
  <si>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</si>
  <si>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</si>
  <si>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</si>
  <si>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</si>
  <si>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</si>
  <si>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</si>
  <si>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</si>
  <si>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</si>
  <si>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</si>
  <si>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</si>
  <si>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</si>
  <si>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</si>
  <si>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</si>
  <si>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</si>
  <si>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</si>
  <si>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</si>
  <si>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</si>
  <si>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</si>
  <si>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</si>
  <si>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</si>
  <si>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</si>
  <si>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</si>
  <si>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</si>
  <si>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</si>
  <si>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</si>
  <si>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</si>
  <si>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</si>
  <si>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</si>
  <si>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</si>
  <si>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</si>
  <si>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</si>
  <si>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</si>
  <si>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</si>
  <si>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</si>
  <si>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</si>
  <si>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</si>
  <si>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</si>
  <si>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</si>
  <si>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</si>
  <si>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</si>
  <si>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</si>
  <si>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</si>
  <si>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</si>
  <si>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</si>
  <si>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</si>
  <si>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</si>
  <si>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</si>
  <si>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</si>
  <si>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</si>
  <si>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</si>
  <si>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</si>
  <si>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</si>
  <si>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</si>
  <si>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</si>
  <si>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</si>
  <si>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</si>
  <si>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</si>
  <si>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</si>
  <si>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</si>
  <si>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</si>
  <si>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</si>
  <si>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</si>
  <si>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</si>
  <si>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</si>
  <si>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</si>
  <si>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</si>
  <si>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</si>
  <si>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</si>
  <si>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</si>
  <si>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</si>
  <si>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</si>
  <si>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</si>
  <si>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</si>
  <si>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</si>
  <si>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</si>
  <si>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</si>
  <si>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</si>
  <si>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</si>
  <si>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</si>
  <si>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</si>
  <si>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</si>
  <si>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</si>
  <si>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</si>
  <si>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</si>
  <si>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</si>
  <si>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</si>
  <si>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</si>
  <si>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</si>
  <si>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</si>
  <si>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</si>
  <si>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</si>
  <si>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</si>
  <si>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</si>
  <si>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</si>
  <si>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</si>
  <si>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</si>
  <si>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</si>
  <si>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</si>
  <si>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</si>
  <si>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</si>
  <si>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</si>
  <si>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</si>
  <si>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</si>
  <si>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</si>
  <si>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</si>
  <si>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</si>
  <si>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</si>
  <si>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</si>
  <si>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</si>
  <si>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</si>
  <si>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</si>
  <si>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</si>
  <si>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</si>
  <si>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</si>
  <si>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</si>
  <si>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</si>
  <si>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</si>
  <si>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</si>
  <si>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</si>
  <si>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3" type="noConversion"/>
  </si>
  <si>
    <t>开发期</t>
    <phoneticPr fontId="142" type="noConversion"/>
  </si>
  <si>
    <t>贷款利率</t>
    <phoneticPr fontId="3" type="noConversion"/>
  </si>
  <si>
    <t>贷款利率</t>
    <phoneticPr fontId="142" type="noConversion"/>
  </si>
  <si>
    <t>存款利率</t>
    <phoneticPr fontId="14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</si>
  <si>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</si>
  <si>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</si>
  <si>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</si>
  <si>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</si>
  <si>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</si>
  <si>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</si>
  <si>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</si>
  <si>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</si>
  <si>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</si>
  <si>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</si>
  <si>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</si>
  <si>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</si>
  <si>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</si>
  <si>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</si>
  <si>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</si>
  <si>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</si>
  <si>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</si>
  <si>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</si>
  <si>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</si>
  <si>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</si>
  <si>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</si>
  <si>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</si>
  <si>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</si>
  <si>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</si>
  <si>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</si>
  <si>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</si>
  <si>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</si>
  <si>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</si>
  <si>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5"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</si>
  <si>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</si>
  <si>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</si>
  <si>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</si>
  <si>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</si>
  <si>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</si>
  <si>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</si>
  <si>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2"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</si>
  <si>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</si>
  <si>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</si>
  <si>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</si>
  <si>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</si>
  <si>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</si>
  <si>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</si>
  <si>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</si>
  <si>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</si>
  <si>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</si>
  <si>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</si>
  <si>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</si>
  <si>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</si>
  <si>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</si>
  <si>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</si>
  <si>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</si>
  <si>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</si>
  <si>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</si>
  <si>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</si>
  <si>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</si>
  <si>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</si>
  <si>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</si>
  <si>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</si>
  <si>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</si>
  <si>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</si>
  <si>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</si>
  <si>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</si>
  <si>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</si>
  <si>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</si>
  <si>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</si>
  <si>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</si>
  <si>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</si>
  <si>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</si>
  <si>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</si>
  <si>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</si>
  <si>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</si>
  <si>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</si>
  <si>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</si>
  <si>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</si>
  <si>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</si>
  <si>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</si>
  <si>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</si>
  <si>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</si>
  <si>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</si>
  <si>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2017A-006</t>
    <phoneticPr fontId="135"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</si>
  <si>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</si>
  <si>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</si>
  <si>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</si>
  <si>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</si>
  <si>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</si>
  <si>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</si>
  <si>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</si>
  <si>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</si>
  <si>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</si>
  <si>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</si>
  <si>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</si>
  <si>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</si>
  <si>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</si>
  <si>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</si>
  <si>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</si>
  <si>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</si>
  <si>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</si>
  <si>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</si>
  <si>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</si>
  <si>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</si>
  <si>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</si>
  <si>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</si>
  <si>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</si>
  <si>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</si>
  <si>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</si>
  <si>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</si>
  <si>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</si>
  <si>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</si>
  <si>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</si>
  <si>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</si>
  <si>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</si>
  <si>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</si>
  <si>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</si>
  <si>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</si>
  <si>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</si>
  <si>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</si>
  <si>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</si>
  <si>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</si>
  <si>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</si>
  <si>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</si>
  <si>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</si>
  <si>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</si>
  <si>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</si>
  <si>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</si>
  <si>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</si>
  <si>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</si>
  <si>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</si>
  <si>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</si>
  <si>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</si>
  <si>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</si>
  <si>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</si>
  <si>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</si>
  <si>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</si>
  <si>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</si>
  <si>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</si>
  <si>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</si>
  <si>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</si>
  <si>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</si>
  <si>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</si>
  <si>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</si>
  <si>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</si>
  <si>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</si>
  <si>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</si>
  <si>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</si>
  <si>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</si>
  <si>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</si>
  <si>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</si>
  <si>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</si>
  <si>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</si>
  <si>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</si>
  <si>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</si>
  <si>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</si>
  <si>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</si>
  <si>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</si>
  <si>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</si>
  <si>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</si>
  <si>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</si>
  <si>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</si>
  <si>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</si>
  <si>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</si>
  <si>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</si>
  <si>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</si>
  <si>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</si>
  <si>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</si>
  <si>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</si>
  <si>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</si>
  <si>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</si>
  <si>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</si>
  <si>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</si>
  <si>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</si>
  <si>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</si>
  <si>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</si>
  <si>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</si>
  <si>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</si>
  <si>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</si>
  <si>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</si>
  <si>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</si>
  <si>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</si>
  <si>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</si>
  <si>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</si>
  <si>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</si>
  <si>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</si>
  <si>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</si>
  <si>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</si>
  <si>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</si>
  <si>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</si>
  <si>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</si>
  <si>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</si>
  <si>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</si>
  <si>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</si>
  <si>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</si>
  <si>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</si>
  <si>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</si>
  <si>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</si>
  <si>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</si>
  <si>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</si>
  <si>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</si>
  <si>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</si>
  <si>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</si>
  <si>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</si>
  <si>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</si>
  <si>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</si>
  <si>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</si>
  <si>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</si>
  <si>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</si>
  <si>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</si>
  <si>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</si>
  <si>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</si>
  <si>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</si>
  <si>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</si>
  <si>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</si>
  <si>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</si>
  <si>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</si>
  <si>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</si>
  <si>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</si>
  <si>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</si>
  <si>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</si>
  <si>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</si>
  <si>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</si>
  <si>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</si>
  <si>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</si>
  <si>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</si>
  <si>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</si>
  <si>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</si>
  <si>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</si>
  <si>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</si>
  <si>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</si>
  <si>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</si>
  <si>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</si>
  <si>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</si>
  <si>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</si>
  <si>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</si>
  <si>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</si>
  <si>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</si>
  <si>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</si>
  <si>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</si>
  <si>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</si>
  <si>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</si>
  <si>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</si>
  <si>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</si>
  <si>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</si>
  <si>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</si>
  <si>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</si>
  <si>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</si>
  <si>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</si>
  <si>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</si>
  <si>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</si>
  <si>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</si>
  <si>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</si>
  <si>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</si>
  <si>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</si>
  <si>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</si>
  <si>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</si>
  <si>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</si>
  <si>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</si>
  <si>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</si>
  <si>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</si>
  <si>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</si>
  <si>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</si>
  <si>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</si>
  <si>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</si>
  <si>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</si>
  <si>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</si>
  <si>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</si>
  <si>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</si>
  <si>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</si>
  <si>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</si>
  <si>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</si>
  <si>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</si>
  <si>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</si>
  <si>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</si>
  <si>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</si>
  <si>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</si>
  <si>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</si>
  <si>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</si>
  <si>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</si>
  <si>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</si>
  <si>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</si>
  <si>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</si>
  <si>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</si>
  <si>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</si>
  <si>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</si>
  <si>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</si>
  <si>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</si>
  <si>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</si>
  <si>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</si>
  <si>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</si>
  <si>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5"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</si>
  <si>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</si>
  <si>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</si>
  <si>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</si>
  <si>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</si>
  <si>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</si>
  <si>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</si>
  <si>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</si>
  <si>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</si>
  <si>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</si>
  <si>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</si>
  <si>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</si>
  <si>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</si>
  <si>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</si>
  <si>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</si>
  <si>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</si>
  <si>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</si>
  <si>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</si>
  <si>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</si>
  <si>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</si>
  <si>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</si>
  <si>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</si>
  <si>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</si>
  <si>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</si>
  <si>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</si>
  <si>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</si>
  <si>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</si>
  <si>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</si>
  <si>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</si>
  <si>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</si>
  <si>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</si>
  <si>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</si>
  <si>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</si>
  <si>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</si>
  <si>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</si>
  <si>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</si>
  <si>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</si>
  <si>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</si>
  <si>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</si>
  <si>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</si>
  <si>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</si>
  <si>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</si>
  <si>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</si>
  <si>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</si>
  <si>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</si>
  <si>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</si>
  <si>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</si>
  <si>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</si>
  <si>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</si>
  <si>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</si>
  <si>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</si>
  <si>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</si>
  <si>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</si>
  <si>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</si>
  <si>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</si>
  <si>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</si>
  <si>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</si>
  <si>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</si>
  <si>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</si>
  <si>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</si>
  <si>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</si>
  <si>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</si>
  <si>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</si>
  <si>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</si>
  <si>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</si>
  <si>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</si>
  <si>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</si>
  <si>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</si>
  <si>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</si>
  <si>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</si>
  <si>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</si>
  <si>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</si>
  <si>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</si>
  <si>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</si>
  <si>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</si>
  <si>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</si>
  <si>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</si>
  <si>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</si>
  <si>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</si>
  <si>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</si>
  <si>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</si>
  <si>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</si>
  <si>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</si>
  <si>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</si>
  <si>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</si>
  <si>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</si>
  <si>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</si>
  <si>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</si>
  <si>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</si>
  <si>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</si>
  <si>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</si>
  <si>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</si>
  <si>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</si>
  <si>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</si>
  <si>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</si>
  <si>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</si>
  <si>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</si>
  <si>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</si>
  <si>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</si>
  <si>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</si>
  <si>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</si>
  <si>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</si>
  <si>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</si>
  <si>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</si>
  <si>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</si>
  <si>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</si>
  <si>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</si>
  <si>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</si>
  <si>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</si>
  <si>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</si>
  <si>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</si>
  <si>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</si>
  <si>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</si>
  <si>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</si>
  <si>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</si>
  <si>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</si>
  <si>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</si>
  <si>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</si>
  <si>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</si>
  <si>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</si>
  <si>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</si>
  <si>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</si>
  <si>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</si>
  <si>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</si>
  <si>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</si>
  <si>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</si>
  <si>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</si>
  <si>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</si>
  <si>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</si>
  <si>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</si>
  <si>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</si>
  <si>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</si>
  <si>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</si>
  <si>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</si>
  <si>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</si>
  <si>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</si>
  <si>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</si>
  <si>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</si>
  <si>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</si>
  <si>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</si>
  <si>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</si>
  <si>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</si>
  <si>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</si>
  <si>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</si>
  <si>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</si>
  <si>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</si>
  <si>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</si>
  <si>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</si>
  <si>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</si>
  <si>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</si>
  <si>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</si>
  <si>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</si>
  <si>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</si>
  <si>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</si>
  <si>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</si>
  <si>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</si>
  <si>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</si>
  <si>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</si>
  <si>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</si>
  <si>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</si>
  <si>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</si>
  <si>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</si>
  <si>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</si>
  <si>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</si>
  <si>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</si>
  <si>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</si>
  <si>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</si>
  <si>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</si>
  <si>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</si>
  <si>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</si>
  <si>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</si>
  <si>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</si>
  <si>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</si>
  <si>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</si>
  <si>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</si>
  <si>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</si>
  <si>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</si>
  <si>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</si>
  <si>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</si>
  <si>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</si>
  <si>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</si>
  <si>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</si>
  <si>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</si>
  <si>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</si>
  <si>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</si>
  <si>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</si>
  <si>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6" type="noConversion"/>
  </si>
  <si>
    <r>
      <rPr>
        <sz val="12"/>
        <color indexed="8"/>
        <rFont val="宋体"/>
        <family val="3"/>
        <charset val="134"/>
      </rPr>
      <t>价值时点</t>
    </r>
    <phoneticPr fontId="86" type="noConversion"/>
  </si>
  <si>
    <r>
      <rPr>
        <sz val="12"/>
        <color indexed="8"/>
        <rFont val="宋体"/>
        <family val="3"/>
        <charset val="134"/>
      </rPr>
      <t>签字估价师</t>
    </r>
    <phoneticPr fontId="86" type="noConversion"/>
  </si>
  <si>
    <r>
      <rPr>
        <sz val="12"/>
        <color indexed="8"/>
        <rFont val="宋体"/>
        <family val="3"/>
        <charset val="134"/>
      </rPr>
      <t>估价委托人</t>
    </r>
    <r>
      <rPr>
        <sz val="12"/>
        <color indexed="8"/>
        <rFont val="Arial"/>
        <family val="2"/>
      </rPr>
      <t xml:space="preserve">  </t>
    </r>
    <phoneticPr fontId="84"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</si>
  <si>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4" type="noConversion"/>
  </si>
  <si>
    <r>
      <rPr>
        <sz val="12"/>
        <color indexed="8"/>
        <rFont val="宋体"/>
        <family val="3"/>
        <charset val="134"/>
      </rPr>
      <t>借款方</t>
    </r>
    <phoneticPr fontId="6" type="noConversion"/>
  </si>
  <si>
    <r>
      <rPr>
        <sz val="12"/>
        <color indexed="8"/>
        <rFont val="宋体"/>
        <family val="3"/>
        <charset val="134"/>
      </rPr>
      <t>估价目的</t>
    </r>
    <phoneticPr fontId="84" type="noConversion"/>
  </si>
  <si>
    <r>
      <rPr>
        <sz val="12"/>
        <color indexed="8"/>
        <rFont val="宋体"/>
        <family val="3"/>
        <charset val="134"/>
      </rPr>
      <t>抵押结果包含：</t>
    </r>
    <phoneticPr fontId="86" type="noConversion"/>
  </si>
  <si>
    <r>
      <rPr>
        <sz val="12"/>
        <color indexed="8"/>
        <rFont val="宋体"/>
        <family val="3"/>
        <charset val="134"/>
      </rPr>
      <t>价值类型</t>
    </r>
    <phoneticPr fontId="84" type="noConversion"/>
  </si>
  <si>
    <r>
      <rPr>
        <sz val="12"/>
        <color indexed="8"/>
        <rFont val="宋体"/>
        <family val="3"/>
        <charset val="134"/>
      </rPr>
      <t>项目所在城市</t>
    </r>
    <phoneticPr fontId="6" type="noConversion"/>
  </si>
  <si>
    <r>
      <rPr>
        <sz val="12"/>
        <color indexed="8"/>
        <rFont val="宋体"/>
        <family val="3"/>
        <charset val="134"/>
      </rPr>
      <t>坐落</t>
    </r>
    <phoneticPr fontId="84" type="noConversion"/>
  </si>
  <si>
    <r>
      <rPr>
        <sz val="12"/>
        <color indexed="8"/>
        <rFont val="宋体"/>
        <family val="3"/>
        <charset val="134"/>
      </rPr>
      <t>不动产权利人</t>
    </r>
    <phoneticPr fontId="6" type="noConversion"/>
  </si>
  <si>
    <r>
      <rPr>
        <sz val="12"/>
        <color indexed="8"/>
        <rFont val="宋体"/>
        <family val="3"/>
        <charset val="134"/>
      </rPr>
      <t>土地性质</t>
    </r>
    <phoneticPr fontId="84"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</si>
  <si>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</si>
  <si>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</si>
  <si>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</si>
  <si>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</si>
  <si>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</si>
  <si>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</si>
  <si>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</si>
  <si>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</si>
  <si>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</si>
  <si>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</si>
  <si>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4" type="noConversion"/>
  </si>
  <si>
    <r>
      <rPr>
        <sz val="12"/>
        <color indexed="8"/>
        <rFont val="宋体"/>
        <family val="3"/>
        <charset val="134"/>
      </rPr>
      <t>剩余土地年限</t>
    </r>
    <phoneticPr fontId="6" type="noConversion"/>
  </si>
  <si>
    <r>
      <rPr>
        <sz val="12"/>
        <color indexed="8"/>
        <rFont val="宋体"/>
        <family val="3"/>
        <charset val="134"/>
      </rPr>
      <t>面积指标</t>
    </r>
    <phoneticPr fontId="84" type="noConversion"/>
  </si>
  <si>
    <r>
      <rPr>
        <sz val="12"/>
        <color indexed="8"/>
        <rFont val="宋体"/>
        <family val="3"/>
        <charset val="134"/>
      </rPr>
      <t>建筑面积</t>
    </r>
    <phoneticPr fontId="84" type="noConversion"/>
  </si>
  <si>
    <r>
      <rPr>
        <sz val="12"/>
        <color indexed="8"/>
        <rFont val="宋体"/>
        <family val="3"/>
        <charset val="134"/>
      </rPr>
      <t>面积依据</t>
    </r>
    <phoneticPr fontId="84" type="noConversion"/>
  </si>
  <si>
    <r>
      <rPr>
        <sz val="12"/>
        <color indexed="8"/>
        <rFont val="宋体"/>
        <family val="3"/>
        <charset val="134"/>
      </rPr>
      <t>建筑与土地面积依据相同</t>
    </r>
  </si>
  <si>
    <r>
      <rPr>
        <sz val="12"/>
        <color indexed="8"/>
        <rFont val="宋体"/>
        <family val="3"/>
        <charset val="134"/>
      </rPr>
      <t>土地面积</t>
    </r>
    <phoneticPr fontId="84" type="noConversion"/>
  </si>
  <si>
    <r>
      <rPr>
        <sz val="10"/>
        <color indexed="8"/>
        <rFont val="宋体"/>
        <family val="3"/>
        <charset val="134"/>
      </rPr>
      <t>权利状况（抵押）</t>
    </r>
    <phoneticPr fontId="8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</si>
  <si>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</si>
  <si>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</si>
  <si>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</si>
  <si>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</si>
  <si>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</si>
  <si>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其他资料</t>
    </r>
    <phoneticPr fontId="86" type="noConversion"/>
  </si>
  <si>
    <r>
      <rPr>
        <sz val="10"/>
        <color indexed="8"/>
        <rFont val="宋体"/>
        <family val="3"/>
        <charset val="134"/>
      </rPr>
      <t>抵押情况描述</t>
    </r>
    <phoneticPr fontId="86"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</si>
  <si>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</si>
  <si>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</si>
  <si>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6"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</si>
  <si>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</si>
  <si>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</si>
  <si>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</si>
  <si>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</si>
  <si>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</si>
  <si>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</si>
  <si>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</si>
  <si>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sz val="10"/>
        <color indexed="8"/>
        <rFont val="宋体"/>
        <family val="3"/>
        <charset val="134"/>
      </rPr>
      <t>权利价值</t>
    </r>
    <phoneticPr fontId="86"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</si>
  <si>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</si>
  <si>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</si>
  <si>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</si>
  <si>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</si>
  <si>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</si>
  <si>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</si>
  <si>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</si>
  <si>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1" type="noConversion"/>
  </si>
  <si>
    <r>
      <rPr>
        <sz val="11"/>
        <color indexed="8"/>
        <rFont val="宋体"/>
        <family val="3"/>
        <charset val="134"/>
      </rPr>
      <t>二通</t>
    </r>
    <phoneticPr fontId="91" type="noConversion"/>
  </si>
  <si>
    <r>
      <rPr>
        <sz val="11"/>
        <color indexed="8"/>
        <rFont val="宋体"/>
        <family val="3"/>
        <charset val="134"/>
      </rPr>
      <t>三通</t>
    </r>
    <phoneticPr fontId="91" type="noConversion"/>
  </si>
  <si>
    <r>
      <rPr>
        <sz val="11"/>
        <color indexed="8"/>
        <rFont val="宋体"/>
        <family val="3"/>
        <charset val="134"/>
      </rPr>
      <t>四通</t>
    </r>
    <phoneticPr fontId="91" type="noConversion"/>
  </si>
  <si>
    <r>
      <rPr>
        <sz val="11"/>
        <color indexed="8"/>
        <rFont val="宋体"/>
        <family val="3"/>
        <charset val="134"/>
      </rPr>
      <t>五通</t>
    </r>
    <phoneticPr fontId="91" type="noConversion"/>
  </si>
  <si>
    <r>
      <rPr>
        <sz val="11"/>
        <color indexed="8"/>
        <rFont val="宋体"/>
        <family val="3"/>
        <charset val="134"/>
      </rPr>
      <t>六通</t>
    </r>
    <phoneticPr fontId="91" type="noConversion"/>
  </si>
  <si>
    <r>
      <rPr>
        <sz val="11"/>
        <color indexed="8"/>
        <rFont val="宋体"/>
        <family val="3"/>
        <charset val="134"/>
      </rPr>
      <t>七通</t>
    </r>
    <phoneticPr fontId="91" type="noConversion"/>
  </si>
  <si>
    <r>
      <rPr>
        <sz val="11"/>
        <color indexed="8"/>
        <rFont val="宋体"/>
        <family val="3"/>
        <charset val="134"/>
      </rPr>
      <t>估价对象</t>
    </r>
    <phoneticPr fontId="91"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</si>
  <si>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</si>
  <si>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</si>
  <si>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</si>
  <si>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</si>
  <si>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</si>
  <si>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</si>
  <si>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</si>
  <si>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</si>
  <si>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</si>
  <si>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</si>
  <si>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</si>
  <si>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</si>
  <si>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</si>
  <si>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</si>
  <si>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</si>
  <si>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</si>
  <si>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</si>
  <si>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</si>
  <si>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</si>
  <si>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</si>
  <si>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</si>
  <si>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</si>
  <si>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</si>
  <si>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</si>
  <si>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</si>
  <si>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</si>
  <si>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</si>
  <si>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</si>
  <si>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</si>
  <si>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</si>
  <si>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</si>
  <si>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</si>
  <si>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</si>
  <si>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</si>
  <si>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</si>
  <si>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</si>
  <si>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</si>
  <si>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</si>
  <si>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</si>
  <si>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</si>
  <si>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</si>
  <si>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</si>
  <si>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</si>
  <si>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</si>
  <si>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</si>
  <si>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</si>
  <si>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</si>
  <si>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</si>
  <si>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</si>
  <si>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</si>
  <si>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</si>
  <si>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</si>
  <si>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</si>
  <si>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</si>
  <si>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</si>
  <si>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</si>
  <si>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</si>
  <si>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</si>
  <si>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</si>
  <si>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</si>
  <si>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</si>
  <si>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</si>
  <si>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</si>
  <si>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</si>
  <si>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</si>
  <si>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</si>
  <si>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</si>
  <si>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</si>
  <si>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</si>
  <si>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</si>
  <si>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</si>
  <si>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</si>
  <si>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</si>
  <si>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</si>
  <si>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</si>
  <si>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</si>
  <si>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</si>
  <si>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</si>
  <si>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</si>
  <si>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</si>
  <si>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</si>
  <si>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</si>
  <si>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</si>
  <si>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</si>
  <si>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</si>
  <si>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</si>
  <si>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</si>
  <si>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</si>
  <si>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</si>
  <si>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</si>
  <si>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</si>
  <si>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</si>
  <si>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</si>
  <si>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</si>
  <si>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</si>
  <si>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</si>
  <si>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</si>
  <si>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</si>
  <si>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</si>
  <si>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</si>
  <si>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</si>
  <si>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</si>
  <si>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</si>
  <si>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</si>
  <si>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</si>
  <si>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</si>
  <si>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</si>
  <si>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</si>
  <si>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</si>
  <si>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</si>
  <si>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</si>
  <si>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</si>
  <si>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</si>
  <si>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</si>
  <si>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</si>
  <si>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</si>
  <si>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</si>
  <si>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</si>
  <si>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</si>
  <si>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</si>
  <si>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</si>
  <si>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</si>
  <si>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</si>
  <si>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</si>
  <si>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</si>
  <si>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</si>
  <si>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</si>
  <si>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</si>
  <si>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</si>
  <si>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</si>
  <si>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</si>
  <si>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</si>
  <si>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</si>
  <si>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</si>
  <si>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</si>
  <si>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</si>
  <si>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</si>
  <si>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</si>
  <si>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</si>
  <si>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</si>
  <si>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</si>
  <si>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</si>
  <si>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</si>
  <si>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</si>
  <si>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</si>
  <si>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</si>
  <si>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</si>
  <si>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</si>
  <si>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</si>
  <si>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</si>
  <si>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</si>
  <si>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</si>
  <si>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</si>
  <si>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</si>
  <si>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</si>
  <si>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</si>
  <si>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</si>
  <si>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</si>
  <si>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</si>
  <si>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</si>
  <si>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</si>
  <si>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</si>
  <si>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</si>
  <si>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</si>
  <si>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</si>
  <si>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</si>
  <si>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</si>
  <si>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</si>
  <si>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</si>
  <si>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</si>
  <si>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</si>
  <si>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</si>
  <si>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</si>
  <si>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</si>
  <si>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</si>
  <si>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</si>
  <si>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</si>
  <si>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</si>
  <si>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</si>
  <si>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</si>
  <si>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</si>
  <si>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</si>
  <si>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</si>
  <si>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</si>
  <si>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</si>
  <si>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</si>
  <si>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</si>
  <si>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</si>
  <si>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</si>
  <si>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</si>
  <si>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</si>
  <si>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</si>
  <si>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</si>
  <si>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</si>
  <si>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</si>
  <si>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</si>
  <si>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</si>
  <si>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</si>
  <si>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</si>
  <si>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</si>
  <si>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</si>
  <si>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</si>
  <si>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</si>
  <si>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</si>
  <si>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</si>
  <si>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</si>
  <si>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</si>
  <si>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</si>
  <si>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</si>
  <si>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</si>
  <si>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</si>
  <si>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</si>
  <si>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</si>
  <si>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</si>
  <si>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</si>
  <si>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</si>
  <si>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</si>
  <si>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</si>
  <si>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</si>
  <si>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</si>
  <si>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</si>
  <si>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</si>
  <si>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</si>
  <si>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</si>
  <si>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</si>
  <si>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</si>
  <si>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</si>
  <si>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</si>
  <si>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</si>
  <si>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</si>
  <si>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</si>
  <si>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</si>
  <si>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</si>
  <si>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</si>
  <si>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</si>
  <si>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</si>
  <si>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</si>
  <si>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</si>
  <si>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</si>
  <si>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</si>
  <si>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</si>
  <si>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</si>
  <si>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</si>
  <si>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</si>
  <si>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</si>
  <si>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</si>
  <si>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</si>
  <si>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</si>
  <si>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</si>
  <si>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</si>
  <si>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</si>
  <si>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</si>
  <si>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</si>
  <si>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</si>
  <si>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</si>
  <si>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</si>
  <si>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</si>
  <si>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</si>
  <si>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</si>
  <si>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</si>
  <si>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</si>
  <si>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</si>
  <si>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</si>
  <si>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</si>
  <si>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</si>
  <si>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</si>
  <si>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</si>
  <si>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</si>
  <si>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</si>
  <si>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</si>
  <si>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</si>
  <si>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</si>
  <si>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</si>
  <si>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</si>
  <si>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</si>
  <si>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</si>
  <si>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</si>
  <si>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</si>
  <si>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</si>
  <si>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</si>
  <si>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</si>
  <si>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</si>
  <si>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</si>
  <si>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</si>
  <si>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</si>
  <si>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</si>
  <si>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</si>
  <si>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</si>
  <si>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</si>
  <si>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</si>
  <si>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</si>
  <si>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</si>
  <si>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</si>
  <si>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</si>
  <si>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</si>
  <si>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</si>
  <si>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</si>
  <si>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</si>
  <si>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</si>
  <si>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</si>
  <si>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</si>
  <si>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</si>
  <si>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</si>
  <si>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</si>
  <si>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</si>
  <si>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</si>
  <si>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</si>
  <si>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</si>
  <si>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</si>
  <si>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</si>
  <si>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</si>
  <si>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</si>
  <si>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</si>
  <si>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</si>
  <si>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</si>
  <si>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</si>
  <si>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</si>
  <si>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</si>
  <si>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</si>
  <si>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</si>
  <si>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</si>
  <si>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</si>
  <si>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</si>
  <si>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</si>
  <si>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</si>
  <si>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</si>
  <si>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</si>
  <si>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</si>
  <si>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</si>
  <si>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</si>
  <si>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</si>
  <si>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</si>
  <si>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</si>
  <si>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</si>
  <si>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</si>
  <si>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</si>
  <si>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</si>
  <si>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</si>
  <si>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</si>
  <si>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</si>
  <si>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</si>
  <si>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</si>
  <si>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</si>
  <si>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</si>
  <si>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</si>
  <si>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</si>
  <si>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</si>
  <si>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</si>
  <si>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</si>
  <si>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</si>
  <si>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</si>
  <si>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</si>
  <si>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</si>
  <si>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</si>
  <si>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</si>
  <si>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</si>
  <si>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</si>
  <si>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</si>
  <si>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</si>
  <si>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</si>
  <si>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</si>
  <si>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</si>
  <si>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</si>
  <si>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</si>
  <si>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</si>
  <si>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</si>
  <si>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</si>
  <si>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</si>
  <si>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</si>
  <si>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</si>
  <si>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</si>
  <si>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</si>
  <si>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</si>
  <si>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</si>
  <si>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</si>
  <si>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</si>
  <si>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</si>
  <si>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</si>
  <si>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</si>
  <si>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</si>
  <si>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</si>
  <si>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</si>
  <si>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</si>
  <si>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</si>
  <si>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</si>
  <si>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</si>
  <si>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</si>
  <si>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</si>
  <si>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</si>
  <si>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</si>
  <si>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</si>
  <si>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</si>
  <si>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</si>
  <si>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</si>
  <si>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</si>
  <si>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</si>
  <si>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</si>
  <si>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</si>
  <si>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</si>
  <si>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</si>
  <si>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</si>
  <si>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</si>
  <si>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</si>
  <si>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</si>
  <si>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</si>
  <si>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</si>
  <si>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</si>
  <si>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</si>
  <si>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</si>
  <si>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</si>
  <si>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</si>
  <si>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</si>
  <si>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</si>
  <si>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</si>
  <si>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</si>
  <si>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</si>
  <si>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</si>
  <si>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</si>
  <si>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</si>
  <si>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</si>
  <si>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</si>
  <si>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</si>
  <si>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</si>
  <si>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</si>
  <si>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</si>
  <si>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</si>
  <si>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</si>
  <si>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</si>
  <si>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</si>
  <si>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</si>
  <si>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</si>
  <si>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</si>
  <si>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</si>
  <si>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</si>
  <si>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</si>
  <si>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</si>
  <si>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</si>
  <si>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</si>
  <si>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</si>
  <si>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</si>
  <si>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</si>
  <si>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</si>
  <si>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</si>
  <si>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</si>
  <si>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</si>
  <si>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</si>
  <si>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</si>
  <si>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</si>
  <si>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</si>
  <si>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</si>
  <si>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</si>
  <si>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</si>
  <si>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</si>
  <si>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</si>
  <si>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</si>
  <si>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</si>
  <si>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</si>
  <si>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</si>
  <si>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</si>
  <si>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</si>
  <si>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</si>
  <si>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</si>
  <si>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</si>
  <si>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</si>
  <si>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</si>
  <si>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</si>
  <si>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</si>
  <si>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</si>
  <si>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</si>
  <si>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</si>
  <si>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</si>
  <si>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</si>
  <si>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</si>
  <si>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2"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</si>
  <si>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</si>
  <si>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</si>
  <si>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</si>
  <si>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</si>
  <si>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</si>
  <si>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</si>
  <si>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</si>
  <si>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</si>
  <si>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</si>
  <si>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</si>
  <si>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</si>
  <si>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</si>
  <si>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</si>
  <si>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</si>
  <si>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</si>
  <si>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</si>
  <si>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</si>
  <si>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</si>
  <si>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</si>
  <si>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</si>
  <si>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</si>
  <si>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</si>
  <si>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</si>
  <si>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</si>
  <si>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</si>
  <si>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</si>
  <si>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</si>
  <si>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</si>
  <si>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</si>
  <si>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</si>
  <si>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</si>
  <si>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</si>
  <si>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</si>
  <si>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</si>
  <si>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</si>
  <si>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</si>
  <si>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</si>
  <si>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</si>
  <si>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</si>
  <si>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</si>
  <si>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</si>
  <si>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</si>
  <si>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</si>
  <si>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</si>
  <si>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</si>
  <si>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</si>
  <si>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</si>
  <si>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</si>
  <si>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</si>
  <si>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</si>
  <si>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</si>
  <si>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</si>
  <si>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</si>
  <si>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</si>
  <si>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</si>
  <si>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</si>
  <si>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</si>
  <si>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</si>
  <si>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</si>
  <si>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</si>
  <si>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</si>
  <si>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</si>
  <si>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</si>
  <si>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</si>
  <si>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</si>
  <si>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</si>
  <si>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</si>
  <si>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</si>
  <si>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</si>
  <si>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</si>
  <si>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</si>
  <si>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</si>
  <si>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</si>
  <si>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</si>
  <si>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</si>
  <si>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</si>
  <si>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</si>
  <si>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</si>
  <si>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</si>
  <si>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</si>
  <si>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</si>
  <si>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</si>
  <si>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</si>
  <si>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2"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</si>
  <si>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</si>
  <si>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</si>
  <si>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</si>
  <si>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</si>
  <si>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</si>
  <si>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</si>
  <si>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</si>
  <si>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</si>
  <si>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</si>
  <si>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</si>
  <si>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</si>
  <si>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</si>
  <si>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</si>
  <si>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</si>
  <si>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</si>
  <si>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</si>
  <si>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</si>
  <si>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</si>
  <si>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</si>
  <si>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</si>
  <si>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</si>
  <si>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</si>
  <si>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</si>
  <si>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</si>
  <si>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</si>
  <si>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</si>
  <si>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</si>
  <si>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</si>
  <si>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</si>
  <si>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</si>
  <si>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</si>
  <si>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</si>
  <si>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</si>
  <si>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</si>
  <si>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</si>
  <si>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</si>
  <si>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</si>
  <si>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</si>
  <si>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</si>
  <si>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</si>
  <si>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</si>
  <si>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</si>
  <si>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</si>
  <si>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</si>
  <si>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</si>
  <si>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</si>
  <si>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</si>
  <si>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</si>
  <si>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</si>
  <si>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</si>
  <si>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</si>
  <si>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</si>
  <si>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</si>
  <si>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</si>
  <si>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</si>
  <si>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</si>
  <si>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</si>
  <si>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</si>
  <si>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</si>
  <si>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</si>
  <si>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</si>
  <si>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</si>
  <si>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</si>
  <si>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</si>
  <si>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</si>
  <si>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</si>
  <si>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</si>
  <si>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</si>
  <si>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</si>
  <si>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</si>
  <si>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</si>
  <si>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</si>
  <si>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</si>
  <si>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</si>
  <si>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</si>
  <si>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</si>
  <si>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</si>
  <si>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</si>
  <si>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</si>
  <si>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</si>
  <si>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</si>
  <si>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</si>
  <si>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</si>
  <si>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</si>
  <si>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</si>
  <si>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</si>
  <si>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</si>
  <si>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</si>
  <si>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</si>
  <si>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</si>
  <si>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</si>
  <si>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</si>
  <si>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</si>
  <si>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</si>
  <si>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</si>
  <si>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</si>
  <si>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</si>
  <si>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</si>
  <si>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</si>
  <si>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</si>
  <si>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</si>
  <si>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</si>
  <si>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</si>
  <si>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</si>
  <si>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</si>
  <si>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</si>
  <si>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</si>
  <si>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</si>
  <si>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</si>
  <si>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</si>
  <si>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</si>
  <si>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</si>
  <si>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</si>
  <si>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</si>
  <si>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</si>
  <si>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</si>
  <si>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</si>
  <si>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</si>
  <si>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</si>
  <si>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</si>
  <si>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</si>
  <si>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</si>
  <si>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</si>
  <si>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</si>
  <si>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</si>
  <si>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</si>
  <si>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</si>
  <si>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</si>
  <si>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</si>
  <si>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</si>
  <si>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</si>
  <si>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</si>
  <si>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</si>
  <si>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</si>
  <si>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</si>
  <si>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</si>
  <si>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</si>
  <si>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</si>
  <si>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</si>
  <si>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</si>
  <si>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</si>
  <si>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</si>
  <si>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</si>
  <si>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</si>
  <si>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</si>
  <si>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</si>
  <si>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</si>
  <si>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</si>
  <si>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</si>
  <si>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</si>
  <si>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</si>
  <si>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</si>
  <si>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</si>
  <si>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</si>
  <si>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</si>
  <si>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</si>
  <si>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</si>
  <si>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</si>
  <si>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</si>
  <si>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</si>
  <si>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</si>
  <si>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</si>
  <si>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</si>
  <si>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</si>
  <si>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</si>
  <si>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</si>
  <si>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</si>
  <si>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</si>
  <si>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</si>
  <si>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</si>
  <si>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</si>
  <si>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</si>
  <si>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</si>
  <si>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</si>
  <si>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</si>
  <si>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</si>
  <si>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</si>
  <si>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</si>
  <si>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</si>
  <si>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</si>
  <si>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</si>
  <si>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</si>
  <si>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</si>
  <si>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</si>
  <si>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</si>
  <si>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</si>
  <si>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</si>
  <si>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</si>
  <si>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</si>
  <si>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</si>
  <si>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</si>
  <si>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</si>
  <si>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</si>
  <si>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</si>
  <si>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</si>
  <si>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</si>
  <si>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</si>
  <si>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</si>
  <si>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</si>
  <si>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</si>
  <si>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</si>
  <si>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</si>
  <si>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</si>
  <si>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</si>
  <si>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</si>
  <si>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</si>
  <si>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</si>
  <si>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</si>
  <si>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</si>
  <si>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</si>
  <si>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</si>
  <si>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</si>
  <si>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</si>
  <si>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</si>
  <si>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</si>
  <si>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</si>
  <si>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</si>
  <si>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</si>
  <si>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</si>
  <si>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</si>
  <si>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</si>
  <si>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</si>
  <si>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</si>
  <si>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</si>
  <si>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</si>
  <si>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</si>
  <si>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</si>
  <si>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</si>
  <si>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</si>
  <si>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</si>
  <si>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</si>
  <si>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</si>
  <si>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</si>
  <si>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</si>
  <si>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</si>
  <si>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</si>
  <si>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</si>
  <si>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</si>
  <si>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</si>
  <si>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</si>
  <si>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</si>
  <si>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</si>
  <si>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</si>
  <si>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</si>
  <si>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</si>
  <si>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</si>
  <si>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</si>
  <si>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</si>
  <si>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</si>
  <si>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</si>
  <si>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</si>
  <si>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</si>
  <si>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</si>
  <si>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</si>
  <si>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</si>
  <si>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</si>
  <si>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</si>
  <si>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</si>
  <si>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</si>
  <si>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</si>
  <si>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</si>
  <si>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</si>
  <si>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</si>
  <si>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</si>
  <si>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</si>
  <si>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</si>
  <si>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</si>
  <si>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</si>
  <si>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</si>
  <si>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</si>
  <si>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</si>
  <si>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</si>
  <si>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</si>
  <si>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</si>
  <si>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</si>
  <si>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</si>
  <si>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</si>
  <si>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</si>
  <si>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</si>
  <si>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</si>
  <si>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</si>
  <si>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</si>
  <si>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</si>
  <si>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</si>
  <si>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</si>
  <si>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</si>
  <si>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</si>
  <si>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</si>
  <si>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</si>
  <si>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</si>
  <si>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</si>
  <si>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</si>
  <si>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</si>
  <si>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</si>
  <si>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</si>
  <si>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</si>
  <si>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</si>
  <si>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</si>
  <si>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</si>
  <si>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</si>
  <si>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</si>
  <si>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</si>
  <si>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</si>
  <si>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</si>
  <si>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</si>
  <si>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</si>
  <si>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</si>
  <si>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</si>
  <si>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</si>
  <si>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</si>
  <si>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</si>
  <si>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</si>
  <si>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</si>
  <si>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</si>
  <si>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</si>
  <si>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</si>
  <si>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</si>
  <si>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</si>
  <si>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</si>
  <si>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</si>
  <si>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</si>
  <si>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</si>
  <si>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</si>
  <si>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</si>
  <si>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</si>
  <si>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</si>
  <si>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</si>
  <si>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</si>
  <si>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</si>
  <si>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</si>
  <si>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</si>
  <si>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</si>
  <si>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</si>
  <si>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</si>
  <si>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</si>
  <si>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</si>
  <si>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</si>
  <si>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</si>
  <si>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</si>
  <si>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</si>
  <si>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</si>
  <si>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</si>
  <si>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</si>
  <si>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</si>
  <si>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</si>
  <si>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</si>
  <si>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</si>
  <si>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</si>
  <si>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</si>
  <si>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</si>
  <si>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</si>
  <si>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</si>
  <si>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</si>
  <si>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</si>
  <si>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</si>
  <si>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</si>
  <si>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</si>
  <si>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</si>
  <si>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</si>
  <si>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</si>
  <si>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</si>
  <si>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</si>
  <si>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</si>
  <si>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</si>
  <si>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</si>
  <si>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</si>
  <si>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</si>
  <si>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</si>
  <si>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</si>
  <si>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</si>
  <si>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</si>
  <si>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</si>
  <si>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</si>
  <si>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</si>
  <si>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</si>
  <si>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</si>
  <si>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</si>
  <si>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</si>
  <si>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</si>
  <si>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</si>
  <si>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</si>
  <si>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</si>
  <si>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</si>
  <si>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</si>
  <si>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</si>
  <si>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</si>
  <si>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</si>
  <si>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</si>
  <si>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</si>
  <si>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</si>
  <si>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</si>
  <si>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</si>
  <si>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</si>
  <si>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</si>
  <si>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</si>
  <si>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</si>
  <si>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</si>
  <si>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</si>
  <si>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</si>
  <si>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</si>
  <si>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</si>
  <si>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</si>
  <si>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</si>
  <si>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</si>
  <si>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</si>
  <si>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</si>
  <si>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</si>
  <si>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</si>
  <si>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</si>
  <si>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</si>
  <si>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</si>
  <si>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</si>
  <si>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</si>
  <si>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</si>
  <si>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</si>
  <si>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</si>
  <si>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</si>
  <si>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</si>
  <si>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</si>
  <si>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</si>
  <si>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</si>
  <si>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</si>
  <si>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</si>
  <si>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</si>
  <si>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</si>
  <si>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</si>
  <si>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</si>
  <si>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</si>
  <si>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</si>
  <si>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</si>
  <si>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</si>
  <si>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</si>
  <si>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</si>
  <si>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</si>
  <si>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</si>
  <si>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</si>
  <si>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</si>
  <si>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</si>
  <si>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</si>
  <si>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</si>
  <si>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</si>
  <si>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</si>
  <si>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</si>
  <si>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</si>
  <si>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</si>
  <si>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</si>
  <si>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</si>
  <si>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</si>
  <si>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</si>
  <si>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</si>
  <si>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</si>
  <si>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</si>
  <si>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</si>
  <si>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</si>
  <si>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</si>
  <si>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</si>
  <si>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</si>
  <si>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</si>
  <si>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</si>
  <si>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</si>
  <si>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</si>
  <si>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</si>
  <si>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</si>
  <si>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</si>
  <si>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</si>
  <si>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</si>
  <si>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</si>
  <si>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</si>
  <si>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</si>
  <si>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</si>
  <si>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</si>
  <si>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</si>
  <si>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</si>
  <si>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</si>
  <si>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</si>
  <si>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</si>
  <si>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</si>
  <si>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</si>
  <si>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</si>
  <si>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</si>
  <si>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</si>
  <si>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</si>
  <si>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</si>
  <si>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</si>
  <si>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</si>
  <si>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</si>
  <si>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</si>
  <si>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</si>
  <si>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</si>
  <si>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</si>
  <si>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</si>
  <si>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</si>
  <si>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</si>
  <si>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</si>
  <si>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</si>
  <si>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</si>
  <si>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</si>
  <si>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</si>
  <si>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</si>
  <si>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</si>
  <si>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</si>
  <si>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</si>
  <si>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</si>
  <si>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</si>
  <si>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</si>
  <si>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</si>
  <si>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</si>
  <si>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</si>
  <si>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</si>
  <si>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</si>
  <si>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</si>
  <si>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</si>
  <si>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</si>
  <si>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</si>
  <si>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</si>
  <si>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</si>
  <si>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</si>
  <si>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</si>
  <si>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</si>
  <si>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</si>
  <si>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</si>
  <si>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</si>
  <si>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</si>
  <si>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</si>
  <si>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</si>
  <si>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</si>
  <si>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</si>
  <si>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</si>
  <si>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</si>
  <si>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</si>
  <si>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</si>
  <si>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</si>
  <si>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</si>
  <si>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</si>
  <si>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</si>
  <si>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</si>
  <si>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</si>
  <si>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</si>
  <si>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</si>
  <si>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</si>
  <si>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</si>
  <si>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</si>
  <si>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</si>
  <si>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</si>
  <si>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</si>
  <si>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</si>
  <si>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</si>
  <si>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</si>
  <si>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</si>
  <si>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</si>
  <si>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</si>
  <si>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</si>
  <si>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</si>
  <si>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</si>
  <si>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</si>
  <si>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</si>
  <si>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</si>
  <si>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</si>
  <si>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</si>
  <si>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</si>
  <si>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</si>
  <si>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</si>
  <si>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</si>
  <si>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</si>
  <si>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</si>
  <si>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</si>
  <si>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</si>
  <si>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</si>
  <si>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</si>
  <si>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</si>
  <si>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</si>
  <si>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</si>
  <si>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</si>
  <si>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</si>
  <si>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</si>
  <si>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</si>
  <si>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</si>
  <si>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</si>
  <si>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</si>
  <si>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</si>
  <si>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</si>
  <si>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</si>
  <si>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</si>
  <si>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</si>
  <si>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</si>
  <si>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</si>
  <si>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</si>
  <si>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</si>
  <si>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</si>
  <si>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</si>
  <si>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</si>
  <si>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</si>
  <si>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</si>
  <si>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</si>
  <si>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</si>
  <si>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</si>
  <si>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</si>
  <si>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</si>
  <si>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</si>
  <si>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</si>
  <si>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</si>
  <si>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</si>
  <si>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</si>
  <si>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</si>
  <si>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</si>
  <si>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</si>
  <si>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</si>
  <si>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</si>
  <si>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</si>
  <si>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</si>
  <si>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</si>
  <si>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</si>
  <si>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</si>
  <si>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</si>
  <si>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</si>
  <si>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</si>
  <si>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</si>
  <si>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2" type="noConversion"/>
  </si>
  <si>
    <t>2018-3</t>
    <phoneticPr fontId="3" type="noConversion"/>
  </si>
  <si>
    <t>办公估价结果一览表</t>
    <phoneticPr fontId="3" type="noConversion"/>
  </si>
  <si>
    <t>楼层</t>
    <phoneticPr fontId="3" type="noConversion"/>
  </si>
  <si>
    <t>面积</t>
    <phoneticPr fontId="3" type="noConversion"/>
  </si>
  <si>
    <t>面积系数</t>
    <phoneticPr fontId="3" type="noConversion"/>
  </si>
  <si>
    <t>基准单价</t>
    <phoneticPr fontId="3" type="noConversion"/>
  </si>
  <si>
    <t>楼层系数</t>
    <phoneticPr fontId="3" type="noConversion"/>
  </si>
  <si>
    <t>修正后单价</t>
    <phoneticPr fontId="3" type="noConversion"/>
  </si>
  <si>
    <t>修正后总价</t>
    <phoneticPr fontId="3" type="noConversion"/>
  </si>
  <si>
    <t>办公楼层</t>
    <phoneticPr fontId="3" type="noConversion"/>
  </si>
  <si>
    <t>建筑面积</t>
    <phoneticPr fontId="3" type="noConversion"/>
  </si>
  <si>
    <t>楼层修正</t>
    <phoneticPr fontId="3" type="noConversion"/>
  </si>
  <si>
    <t>2-13层</t>
    <phoneticPr fontId="3" type="noConversion"/>
  </si>
  <si>
    <t>低区</t>
    <phoneticPr fontId="3" type="noConversion"/>
  </si>
  <si>
    <t>14-23层</t>
    <phoneticPr fontId="3" type="noConversion"/>
  </si>
  <si>
    <t>中区</t>
    <phoneticPr fontId="3" type="noConversion"/>
  </si>
  <si>
    <t>24-33层</t>
    <phoneticPr fontId="3" type="noConversion"/>
  </si>
  <si>
    <t>高区</t>
    <phoneticPr fontId="3" type="noConversion"/>
  </si>
  <si>
    <t>合计</t>
    <phoneticPr fontId="3" type="noConversion"/>
  </si>
  <si>
    <t>建筑面积</t>
  </si>
  <si>
    <t>面积修正</t>
    <phoneticPr fontId="3" type="noConversion"/>
  </si>
  <si>
    <t>＜100</t>
    <phoneticPr fontId="3" type="noConversion"/>
  </si>
  <si>
    <t>100-500</t>
    <phoneticPr fontId="3" type="noConversion"/>
  </si>
  <si>
    <t>500-1000</t>
    <phoneticPr fontId="3" type="noConversion"/>
  </si>
  <si>
    <t>1000-1500</t>
    <phoneticPr fontId="3" type="noConversion"/>
  </si>
  <si>
    <t>1500-2000</t>
    <phoneticPr fontId="3" type="noConversion"/>
  </si>
  <si>
    <t>2000-2500</t>
    <phoneticPr fontId="3" type="noConversion"/>
  </si>
  <si>
    <t>&gt;2500</t>
    <phoneticPr fontId="3" type="noConversion"/>
  </si>
  <si>
    <t>楼层及部位</t>
    <phoneticPr fontId="3" type="noConversion"/>
  </si>
  <si>
    <t>-05层(-5)</t>
  </si>
  <si>
    <t>土地面积</t>
    <phoneticPr fontId="3" type="noConversion"/>
  </si>
  <si>
    <t>车库</t>
  </si>
  <si>
    <t>地上</t>
    <phoneticPr fontId="3" type="noConversion"/>
  </si>
  <si>
    <t>-04层(-4)</t>
  </si>
  <si>
    <t>备用间</t>
  </si>
  <si>
    <t>职工餐厅、备用间</t>
    <phoneticPr fontId="3" type="noConversion"/>
  </si>
  <si>
    <t>-03层(-3)</t>
  </si>
  <si>
    <t>土地分摊</t>
    <phoneticPr fontId="3" type="noConversion"/>
  </si>
  <si>
    <t>-02层(-2)</t>
  </si>
  <si>
    <t>楼层</t>
    <phoneticPr fontId="3" type="noConversion"/>
  </si>
  <si>
    <t>分摊土地面积</t>
    <phoneticPr fontId="3" type="noConversion"/>
  </si>
  <si>
    <t>职工餐厅</t>
  </si>
  <si>
    <t>-02层(-2)夹层</t>
  </si>
  <si>
    <t>-01层(-1)</t>
  </si>
  <si>
    <t>展览商业</t>
  </si>
  <si>
    <t>地下面积</t>
  </si>
  <si>
    <t>01层(02)</t>
  </si>
  <si>
    <t>02层(02)</t>
  </si>
  <si>
    <t>03层(03)</t>
  </si>
  <si>
    <t>04层(04)</t>
  </si>
  <si>
    <t>05层(05)</t>
  </si>
  <si>
    <t>06层(06)</t>
  </si>
  <si>
    <t>07层(07)</t>
  </si>
  <si>
    <t>08层(08)</t>
  </si>
  <si>
    <t>09层(09)</t>
  </si>
  <si>
    <t>10层(10)</t>
  </si>
  <si>
    <t>11层(11)</t>
  </si>
  <si>
    <t>12层(12)</t>
  </si>
  <si>
    <t>13层(13)</t>
  </si>
  <si>
    <t>14层(14)</t>
  </si>
  <si>
    <t>15层(15)</t>
  </si>
  <si>
    <t>16层(16)</t>
  </si>
  <si>
    <t>17层(17)</t>
  </si>
  <si>
    <t>18层(18)</t>
  </si>
  <si>
    <t>19层(19)</t>
  </si>
  <si>
    <t>20层(20)</t>
  </si>
  <si>
    <t>21层(21)</t>
  </si>
  <si>
    <t>22层(22)</t>
  </si>
  <si>
    <t>23层(23)</t>
  </si>
  <si>
    <t>24层(24)</t>
  </si>
  <si>
    <t>25层(25)</t>
  </si>
  <si>
    <t>26层(26)</t>
  </si>
  <si>
    <t>27层(27)</t>
  </si>
  <si>
    <t>28层(28)</t>
  </si>
  <si>
    <t>29层(29)</t>
  </si>
  <si>
    <t>30层(30)</t>
  </si>
  <si>
    <t>31层(31)</t>
  </si>
  <si>
    <t>32层(32)</t>
  </si>
  <si>
    <t>33层(33)</t>
  </si>
  <si>
    <t>地上面积</t>
  </si>
  <si>
    <r>
      <t>总</t>
    </r>
    <r>
      <rPr>
        <b/>
        <sz val="10"/>
        <color indexed="8"/>
        <rFont val="Times New Roman"/>
        <family val="1"/>
      </rPr>
      <t xml:space="preserve">  </t>
    </r>
    <r>
      <rPr>
        <b/>
        <sz val="10"/>
        <color indexed="8"/>
        <rFont val="宋体"/>
        <family val="3"/>
        <charset val="134"/>
      </rPr>
      <t>计</t>
    </r>
  </si>
  <si>
    <r>
      <t>5</t>
    </r>
    <r>
      <rPr>
        <sz val="11"/>
        <color theme="1"/>
        <rFont val="宋体"/>
        <family val="3"/>
        <charset val="134"/>
        <scheme val="minor"/>
      </rPr>
      <t>3套</t>
    </r>
    <phoneticPr fontId="142" type="noConversion"/>
  </si>
  <si>
    <t>8套</t>
    <phoneticPr fontId="142" type="noConversion"/>
  </si>
  <si>
    <t>4套</t>
    <phoneticPr fontId="142" type="noConversion"/>
  </si>
  <si>
    <t>结果一览</t>
    <phoneticPr fontId="3" type="noConversion"/>
  </si>
  <si>
    <t>面积修正</t>
    <phoneticPr fontId="3" type="noConversion"/>
  </si>
  <si>
    <t>楼层</t>
    <phoneticPr fontId="3" type="noConversion"/>
  </si>
  <si>
    <t>面积</t>
    <phoneticPr fontId="3" type="noConversion"/>
  </si>
  <si>
    <t>面积系数</t>
    <phoneticPr fontId="3" type="noConversion"/>
  </si>
  <si>
    <t>基准单价</t>
    <phoneticPr fontId="3" type="noConversion"/>
  </si>
  <si>
    <t>楼层系数</t>
    <phoneticPr fontId="3" type="noConversion"/>
  </si>
  <si>
    <t>修正后单价</t>
    <phoneticPr fontId="3" type="noConversion"/>
  </si>
  <si>
    <t>修正后总价</t>
    <phoneticPr fontId="3" type="noConversion"/>
  </si>
  <si>
    <t>＜100</t>
    <phoneticPr fontId="3" type="noConversion"/>
  </si>
  <si>
    <t>100-300</t>
    <phoneticPr fontId="3" type="noConversion"/>
  </si>
  <si>
    <t>300-500</t>
    <phoneticPr fontId="3" type="noConversion"/>
  </si>
  <si>
    <t>500-1000</t>
    <phoneticPr fontId="3" type="noConversion"/>
  </si>
  <si>
    <t>1000-1500</t>
    <phoneticPr fontId="3" type="noConversion"/>
  </si>
  <si>
    <t>&gt;1500</t>
    <phoneticPr fontId="3" type="noConversion"/>
  </si>
  <si>
    <t>——</t>
    <phoneticPr fontId="3" type="noConversion"/>
  </si>
  <si>
    <r>
      <t>3</t>
    </r>
    <r>
      <rPr>
        <sz val="11"/>
        <color theme="1"/>
        <rFont val="宋体"/>
        <family val="3"/>
        <charset val="134"/>
        <scheme val="minor"/>
      </rPr>
      <t>04套</t>
    </r>
    <phoneticPr fontId="142" type="noConversion"/>
  </si>
  <si>
    <t>建面</t>
    <phoneticPr fontId="142" type="noConversion"/>
  </si>
  <si>
    <t>土地面积</t>
    <phoneticPr fontId="142" type="noConversion"/>
  </si>
  <si>
    <t>房屋建筑面积分户计算明晰表</t>
    <phoneticPr fontId="3" type="noConversion"/>
  </si>
  <si>
    <t>项目名称： 财源国际中心西塔写字楼 楼号：8号楼</t>
    <phoneticPr fontId="3" type="noConversion"/>
  </si>
  <si>
    <t>部位及房号</t>
  </si>
  <si>
    <t>用途</t>
    <phoneticPr fontId="3" type="noConversion"/>
  </si>
  <si>
    <t>实际层次</t>
    <phoneticPr fontId="3" type="noConversion"/>
  </si>
  <si>
    <t>-402</t>
    <phoneticPr fontId="3" type="noConversion"/>
  </si>
  <si>
    <t>金库</t>
    <phoneticPr fontId="3" type="noConversion"/>
  </si>
  <si>
    <t>-406</t>
    <phoneticPr fontId="3" type="noConversion"/>
  </si>
  <si>
    <t>备用间</t>
    <phoneticPr fontId="3" type="noConversion"/>
  </si>
  <si>
    <t>-407</t>
  </si>
  <si>
    <t>-408</t>
  </si>
  <si>
    <t>-409</t>
  </si>
  <si>
    <t>-301</t>
  </si>
  <si>
    <t>车库</t>
    <phoneticPr fontId="3" type="noConversion"/>
  </si>
  <si>
    <t>-307</t>
    <phoneticPr fontId="3" type="noConversion"/>
  </si>
  <si>
    <t>-308</t>
    <phoneticPr fontId="3" type="noConversion"/>
  </si>
  <si>
    <t>-309</t>
    <phoneticPr fontId="3" type="noConversion"/>
  </si>
  <si>
    <t>-310</t>
    <phoneticPr fontId="3" type="noConversion"/>
  </si>
  <si>
    <t>-201</t>
  </si>
  <si>
    <t>-210</t>
    <phoneticPr fontId="3" type="noConversion"/>
  </si>
  <si>
    <t>-211</t>
  </si>
  <si>
    <t>-212</t>
  </si>
  <si>
    <t>-02层(-2)夹层</t>
    <phoneticPr fontId="3" type="noConversion"/>
  </si>
  <si>
    <r>
      <t>（-</t>
    </r>
    <r>
      <rPr>
        <sz val="11"/>
        <color theme="1"/>
        <rFont val="宋体"/>
        <family val="3"/>
        <charset val="134"/>
        <scheme val="minor"/>
      </rPr>
      <t>2）夹层</t>
    </r>
    <phoneticPr fontId="3" type="noConversion"/>
  </si>
  <si>
    <t>-215</t>
    <phoneticPr fontId="3" type="noConversion"/>
  </si>
  <si>
    <t>-216</t>
  </si>
  <si>
    <t>-217</t>
  </si>
  <si>
    <t>-103</t>
    <phoneticPr fontId="3" type="noConversion"/>
  </si>
  <si>
    <t>展览商业</t>
    <phoneticPr fontId="3" type="noConversion"/>
  </si>
  <si>
    <t>-106</t>
    <phoneticPr fontId="3" type="noConversion"/>
  </si>
  <si>
    <t>-107</t>
    <phoneticPr fontId="3" type="noConversion"/>
  </si>
  <si>
    <t>-108</t>
    <phoneticPr fontId="3" type="noConversion"/>
  </si>
  <si>
    <t>-01层(-1)夹层</t>
    <phoneticPr fontId="3" type="noConversion"/>
  </si>
  <si>
    <t>-110</t>
  </si>
  <si>
    <t>自行车库</t>
    <phoneticPr fontId="3" type="noConversion"/>
  </si>
  <si>
    <t>-111</t>
    <phoneticPr fontId="3" type="noConversion"/>
  </si>
  <si>
    <t>-112</t>
  </si>
  <si>
    <t>物业管理用房</t>
    <phoneticPr fontId="3" type="noConversion"/>
  </si>
  <si>
    <t>-113</t>
    <phoneticPr fontId="3" type="noConversion"/>
  </si>
  <si>
    <t>-114</t>
  </si>
  <si>
    <t>地下面积</t>
    <phoneticPr fontId="3" type="noConversion"/>
  </si>
  <si>
    <t>102</t>
    <phoneticPr fontId="3" type="noConversion"/>
  </si>
  <si>
    <t>商业</t>
    <phoneticPr fontId="3" type="noConversion"/>
  </si>
  <si>
    <t>103</t>
    <phoneticPr fontId="3" type="noConversion"/>
  </si>
  <si>
    <t>104</t>
    <phoneticPr fontId="3" type="noConversion"/>
  </si>
  <si>
    <t>105</t>
    <phoneticPr fontId="3" type="noConversion"/>
  </si>
  <si>
    <t>106</t>
    <phoneticPr fontId="3" type="noConversion"/>
  </si>
  <si>
    <t>202</t>
    <phoneticPr fontId="3" type="noConversion"/>
  </si>
  <si>
    <t>办公</t>
    <phoneticPr fontId="3" type="noConversion"/>
  </si>
  <si>
    <t>302</t>
    <phoneticPr fontId="3" type="noConversion"/>
  </si>
  <si>
    <t>402</t>
    <phoneticPr fontId="3" type="noConversion"/>
  </si>
  <si>
    <t>502</t>
    <phoneticPr fontId="3" type="noConversion"/>
  </si>
  <si>
    <t>602</t>
    <phoneticPr fontId="3" type="noConversion"/>
  </si>
  <si>
    <t>702</t>
    <phoneticPr fontId="3" type="noConversion"/>
  </si>
  <si>
    <t>802</t>
    <phoneticPr fontId="3" type="noConversion"/>
  </si>
  <si>
    <t>902</t>
    <phoneticPr fontId="3" type="noConversion"/>
  </si>
  <si>
    <t>1002</t>
    <phoneticPr fontId="3" type="noConversion"/>
  </si>
  <si>
    <t>1102</t>
    <phoneticPr fontId="3" type="noConversion"/>
  </si>
  <si>
    <t>1202</t>
    <phoneticPr fontId="3" type="noConversion"/>
  </si>
  <si>
    <t>1302</t>
    <phoneticPr fontId="3" type="noConversion"/>
  </si>
  <si>
    <t>1402</t>
    <phoneticPr fontId="3" type="noConversion"/>
  </si>
  <si>
    <t>1502</t>
    <phoneticPr fontId="3" type="noConversion"/>
  </si>
  <si>
    <t>1603</t>
    <phoneticPr fontId="3" type="noConversion"/>
  </si>
  <si>
    <t>1604</t>
    <phoneticPr fontId="3" type="noConversion"/>
  </si>
  <si>
    <t>1702</t>
    <phoneticPr fontId="3" type="noConversion"/>
  </si>
  <si>
    <t>1802</t>
    <phoneticPr fontId="3" type="noConversion"/>
  </si>
  <si>
    <t>1902</t>
    <phoneticPr fontId="3" type="noConversion"/>
  </si>
  <si>
    <t>2002</t>
    <phoneticPr fontId="3" type="noConversion"/>
  </si>
  <si>
    <t>2102</t>
    <phoneticPr fontId="3" type="noConversion"/>
  </si>
  <si>
    <t>2202</t>
    <phoneticPr fontId="3" type="noConversion"/>
  </si>
  <si>
    <t>2302</t>
    <phoneticPr fontId="3" type="noConversion"/>
  </si>
  <si>
    <t>2402</t>
    <phoneticPr fontId="3" type="noConversion"/>
  </si>
  <si>
    <t>2502</t>
    <phoneticPr fontId="3" type="noConversion"/>
  </si>
  <si>
    <t>2602</t>
    <phoneticPr fontId="3" type="noConversion"/>
  </si>
  <si>
    <t>2702</t>
    <phoneticPr fontId="3" type="noConversion"/>
  </si>
  <si>
    <t>2802</t>
    <phoneticPr fontId="3" type="noConversion"/>
  </si>
  <si>
    <t>2902</t>
    <phoneticPr fontId="3" type="noConversion"/>
  </si>
  <si>
    <t>3002</t>
    <phoneticPr fontId="3" type="noConversion"/>
  </si>
  <si>
    <t>3102</t>
    <phoneticPr fontId="3" type="noConversion"/>
  </si>
  <si>
    <t>3103</t>
  </si>
  <si>
    <t>3202</t>
    <phoneticPr fontId="3" type="noConversion"/>
  </si>
  <si>
    <t>3203</t>
    <phoneticPr fontId="3" type="noConversion"/>
  </si>
  <si>
    <t>3302</t>
    <phoneticPr fontId="3" type="noConversion"/>
  </si>
  <si>
    <t>3304</t>
    <phoneticPr fontId="3" type="noConversion"/>
  </si>
  <si>
    <t>地上面积</t>
    <phoneticPr fontId="3" type="noConversion"/>
  </si>
  <si>
    <r>
      <t>总</t>
    </r>
    <r>
      <rPr>
        <b/>
        <sz val="10"/>
        <rFont val="Times New Roman"/>
        <family val="1"/>
      </rPr>
      <t xml:space="preserve">  </t>
    </r>
    <r>
      <rPr>
        <b/>
        <sz val="10"/>
        <rFont val="宋体"/>
        <family val="3"/>
        <charset val="134"/>
      </rPr>
      <t>计</t>
    </r>
    <phoneticPr fontId="3" type="noConversion"/>
  </si>
  <si>
    <t>西塔B地上办公面积</t>
    <phoneticPr fontId="3" type="noConversion"/>
  </si>
  <si>
    <t>西塔B地上商业</t>
    <phoneticPr fontId="3" type="noConversion"/>
  </si>
  <si>
    <t>西塔B地上物业管理用房</t>
    <phoneticPr fontId="3" type="noConversion"/>
  </si>
  <si>
    <t>西塔B地下展览商业</t>
    <phoneticPr fontId="3" type="noConversion"/>
  </si>
  <si>
    <t>西塔B地下车库</t>
    <phoneticPr fontId="3" type="noConversion"/>
  </si>
  <si>
    <t>西塔B地下金库</t>
    <phoneticPr fontId="3" type="noConversion"/>
  </si>
  <si>
    <t>西塔B地下备用间</t>
    <phoneticPr fontId="3" type="noConversion"/>
  </si>
  <si>
    <t>西塔B地下物业管理用房</t>
    <phoneticPr fontId="3" type="noConversion"/>
  </si>
  <si>
    <t>西塔B地下自行车库</t>
    <phoneticPr fontId="3" type="noConversion"/>
  </si>
  <si>
    <t>有证面积</t>
    <phoneticPr fontId="3" type="noConversion"/>
  </si>
  <si>
    <t>2012年测算</t>
    <phoneticPr fontId="3" type="noConversion"/>
  </si>
  <si>
    <t>地上办公+地上商业+地下展览商业+地下金库</t>
    <phoneticPr fontId="3" type="noConversion"/>
  </si>
  <si>
    <t>车库</t>
    <phoneticPr fontId="142" type="noConversion"/>
  </si>
  <si>
    <t>办公</t>
    <phoneticPr fontId="142" type="noConversion"/>
  </si>
  <si>
    <t>商业</t>
    <phoneticPr fontId="142" type="noConversion"/>
  </si>
  <si>
    <t>-1层</t>
    <phoneticPr fontId="142" type="noConversion"/>
  </si>
  <si>
    <t>1层</t>
    <phoneticPr fontId="142" type="noConversion"/>
  </si>
  <si>
    <t>3层</t>
    <phoneticPr fontId="142" type="noConversion"/>
  </si>
  <si>
    <t>建筑面积</t>
    <phoneticPr fontId="142" type="noConversion"/>
  </si>
  <si>
    <t>金库、备用间</t>
    <phoneticPr fontId="142" type="noConversion"/>
  </si>
  <si>
    <t>可收益</t>
    <phoneticPr fontId="142" type="noConversion"/>
  </si>
  <si>
    <t>容积率</t>
    <phoneticPr fontId="142" type="noConversion"/>
  </si>
  <si>
    <t>抵押</t>
  </si>
  <si>
    <t>房地产抵押价值</t>
  </si>
  <si>
    <t>北京市</t>
  </si>
  <si>
    <t>企业</t>
  </si>
  <si>
    <t>出让</t>
  </si>
  <si>
    <t>办公项目</t>
  </si>
  <si>
    <t>现房</t>
  </si>
  <si>
    <r>
      <t>A</t>
    </r>
    <r>
      <rPr>
        <sz val="10"/>
        <color indexed="8"/>
        <rFont val="宋体"/>
        <family val="3"/>
        <charset val="134"/>
      </rPr>
      <t>座</t>
    </r>
    <phoneticPr fontId="3" type="noConversion"/>
  </si>
  <si>
    <t>是</t>
  </si>
  <si>
    <t>地上</t>
  </si>
  <si>
    <t>底商</t>
  </si>
  <si>
    <t>地下</t>
  </si>
  <si>
    <t>地下商业</t>
  </si>
  <si>
    <t>地下商业</t>
    <phoneticPr fontId="16" type="noConversion"/>
  </si>
  <si>
    <t>办公楼</t>
  </si>
  <si>
    <t>商业</t>
    <phoneticPr fontId="7" type="noConversion"/>
  </si>
  <si>
    <t>办公</t>
    <phoneticPr fontId="7" type="noConversion"/>
  </si>
  <si>
    <t>车库</t>
    <phoneticPr fontId="7" type="noConversion"/>
  </si>
  <si>
    <t>成新度</t>
  </si>
  <si>
    <t>未包含在土地购买价格中</t>
  </si>
  <si>
    <t>全部缴纳</t>
  </si>
  <si>
    <t>押一</t>
  </si>
  <si>
    <t>按租金收入计税</t>
  </si>
  <si>
    <t>钢混</t>
  </si>
  <si>
    <t>非生产用房</t>
  </si>
  <si>
    <t>收益法 (商业)</t>
  </si>
  <si>
    <t>收益法 (商业)</t>
    <phoneticPr fontId="16" type="noConversion"/>
  </si>
  <si>
    <t>收益法 (办公)</t>
  </si>
  <si>
    <t>收益法 (办公)</t>
    <phoneticPr fontId="16" type="noConversion"/>
  </si>
  <si>
    <t>收益法（地下车库）</t>
  </si>
  <si>
    <t>收益法（地下车库）</t>
    <phoneticPr fontId="16" type="noConversion"/>
  </si>
  <si>
    <r>
      <t>B</t>
    </r>
    <r>
      <rPr>
        <sz val="10"/>
        <color indexed="8"/>
        <rFont val="宋体"/>
        <family val="3"/>
        <charset val="134"/>
      </rPr>
      <t>座</t>
    </r>
    <phoneticPr fontId="3" type="noConversion"/>
  </si>
  <si>
    <t>好</t>
    <phoneticPr fontId="25" type="noConversion"/>
  </si>
  <si>
    <t>好</t>
    <phoneticPr fontId="25" type="noConversion"/>
  </si>
  <si>
    <t>好</t>
    <phoneticPr fontId="25" type="noConversion"/>
  </si>
  <si>
    <t>七通</t>
    <phoneticPr fontId="25" type="noConversion"/>
  </si>
  <si>
    <t>主干道</t>
    <phoneticPr fontId="25" type="noConversion"/>
  </si>
  <si>
    <r>
      <rPr>
        <b/>
        <sz val="11"/>
        <rFont val="宋体"/>
        <family val="3"/>
        <charset val="134"/>
      </rPr>
      <t>工业</t>
    </r>
    <phoneticPr fontId="28" type="noConversion"/>
  </si>
  <si>
    <r>
      <rPr>
        <b/>
        <sz val="11"/>
        <rFont val="宋体"/>
        <family val="3"/>
        <charset val="134"/>
      </rPr>
      <t>区位状况</t>
    </r>
    <phoneticPr fontId="25" type="noConversion"/>
  </si>
  <si>
    <r>
      <rPr>
        <sz val="11"/>
        <rFont val="宋体"/>
        <family val="3"/>
        <charset val="134"/>
      </rPr>
      <t>居住社区成熟度</t>
    </r>
  </si>
  <si>
    <r>
      <rPr>
        <sz val="11"/>
        <rFont val="宋体"/>
        <family val="3"/>
        <charset val="134"/>
      </rPr>
      <t>产业集聚程度</t>
    </r>
  </si>
  <si>
    <r>
      <rPr>
        <sz val="11"/>
        <rFont val="宋体"/>
        <family val="3"/>
        <charset val="134"/>
      </rPr>
      <t>商业繁华度</t>
    </r>
    <phoneticPr fontId="29" type="noConversion"/>
  </si>
  <si>
    <r>
      <rPr>
        <sz val="11"/>
        <rFont val="宋体"/>
        <family val="3"/>
        <charset val="134"/>
      </rPr>
      <t>交通便捷度</t>
    </r>
    <phoneticPr fontId="29" type="noConversion"/>
  </si>
  <si>
    <r>
      <rPr>
        <sz val="11"/>
        <rFont val="宋体"/>
        <family val="3"/>
        <charset val="134"/>
      </rPr>
      <t>办公集聚程度</t>
    </r>
    <phoneticPr fontId="29" type="noConversion"/>
  </si>
  <si>
    <r>
      <rPr>
        <sz val="11"/>
        <rFont val="宋体"/>
        <family val="3"/>
        <charset val="134"/>
      </rPr>
      <t>公共配套设施</t>
    </r>
    <phoneticPr fontId="25" type="noConversion"/>
  </si>
  <si>
    <r>
      <rPr>
        <sz val="11"/>
        <rFont val="宋体"/>
        <family val="3"/>
        <charset val="134"/>
      </rPr>
      <t>交通便捷度</t>
    </r>
  </si>
  <si>
    <r>
      <rPr>
        <sz val="11"/>
        <rFont val="宋体"/>
        <family val="3"/>
        <charset val="134"/>
      </rPr>
      <t>基础设施水平</t>
    </r>
    <phoneticPr fontId="25" type="noConversion"/>
  </si>
  <si>
    <r>
      <rPr>
        <sz val="11"/>
        <rFont val="宋体"/>
        <family val="3"/>
        <charset val="134"/>
      </rPr>
      <t>环境状况</t>
    </r>
    <phoneticPr fontId="29" type="noConversion"/>
  </si>
  <si>
    <r>
      <rPr>
        <sz val="11"/>
        <rFont val="宋体"/>
        <family val="3"/>
        <charset val="134"/>
      </rPr>
      <t>自然及人文环境</t>
    </r>
  </si>
  <si>
    <r>
      <rPr>
        <sz val="11"/>
        <rFont val="宋体"/>
        <family val="3"/>
        <charset val="134"/>
      </rPr>
      <t>毗邻道路的类型与等级</t>
    </r>
    <phoneticPr fontId="29" type="noConversion"/>
  </si>
  <si>
    <r>
      <rPr>
        <b/>
        <sz val="11"/>
        <rFont val="宋体"/>
        <family val="3"/>
        <charset val="134"/>
      </rPr>
      <t>区位状况</t>
    </r>
    <phoneticPr fontId="29" type="noConversion"/>
  </si>
  <si>
    <r>
      <rPr>
        <sz val="11"/>
        <rFont val="宋体"/>
        <family val="3"/>
        <charset val="134"/>
      </rPr>
      <t>产业集聚程度</t>
    </r>
    <phoneticPr fontId="29" type="noConversion"/>
  </si>
  <si>
    <r>
      <rPr>
        <sz val="11"/>
        <rFont val="宋体"/>
        <family val="3"/>
        <charset val="134"/>
      </rPr>
      <t>区域土地利用方向</t>
    </r>
    <phoneticPr fontId="29" type="noConversion"/>
  </si>
  <si>
    <r>
      <rPr>
        <sz val="11"/>
        <rFont val="宋体"/>
        <family val="3"/>
        <charset val="134"/>
      </rPr>
      <t>区域土地利用方向</t>
    </r>
  </si>
  <si>
    <r>
      <rPr>
        <sz val="11"/>
        <rFont val="宋体"/>
        <family val="3"/>
        <charset val="134"/>
      </rPr>
      <t>自然及人文环境状况</t>
    </r>
  </si>
  <si>
    <r>
      <rPr>
        <sz val="11"/>
        <rFont val="宋体"/>
        <family val="3"/>
        <charset val="134"/>
      </rPr>
      <t>临街状况</t>
    </r>
  </si>
  <si>
    <r>
      <rPr>
        <sz val="11"/>
        <rFont val="宋体"/>
        <family val="3"/>
        <charset val="134"/>
      </rPr>
      <t>土地级别</t>
    </r>
    <phoneticPr fontId="29" type="noConversion"/>
  </si>
  <si>
    <r>
      <rPr>
        <sz val="11"/>
        <rFont val="宋体"/>
        <family val="3"/>
        <charset val="134"/>
      </rPr>
      <t>毗邻道路的类型与等级</t>
    </r>
  </si>
  <si>
    <r>
      <rPr>
        <b/>
        <sz val="14"/>
        <rFont val="宋体"/>
        <family val="3"/>
        <charset val="134"/>
      </rPr>
      <t>房地产修正因素</t>
    </r>
    <phoneticPr fontId="3" type="noConversion"/>
  </si>
  <si>
    <r>
      <rPr>
        <b/>
        <sz val="11"/>
        <rFont val="宋体"/>
        <family val="3"/>
        <charset val="134"/>
      </rPr>
      <t>住宅、办公及商业</t>
    </r>
    <phoneticPr fontId="28" type="noConversion"/>
  </si>
  <si>
    <r>
      <rPr>
        <b/>
        <sz val="11"/>
        <rFont val="宋体"/>
        <family val="3"/>
        <charset val="134"/>
      </rPr>
      <t>区位状况</t>
    </r>
    <phoneticPr fontId="25" type="noConversion"/>
  </si>
  <si>
    <r>
      <rPr>
        <sz val="11"/>
        <rFont val="宋体"/>
        <family val="3"/>
        <charset val="134"/>
      </rPr>
      <t>商业繁华度</t>
    </r>
    <phoneticPr fontId="29" type="noConversion"/>
  </si>
  <si>
    <r>
      <rPr>
        <sz val="11"/>
        <rFont val="宋体"/>
        <family val="3"/>
        <charset val="134"/>
      </rPr>
      <t>公共配套设施</t>
    </r>
    <phoneticPr fontId="25" type="noConversion"/>
  </si>
  <si>
    <r>
      <rPr>
        <b/>
        <sz val="14"/>
        <rFont val="宋体"/>
        <family val="3"/>
        <charset val="134"/>
      </rPr>
      <t>土地修正因素</t>
    </r>
    <phoneticPr fontId="3" type="noConversion"/>
  </si>
  <si>
    <r>
      <rPr>
        <b/>
        <sz val="11"/>
        <rFont val="宋体"/>
        <family val="3"/>
        <charset val="134"/>
      </rPr>
      <t>住宅、办公及商业</t>
    </r>
    <phoneticPr fontId="28" type="noConversion"/>
  </si>
  <si>
    <r>
      <rPr>
        <sz val="11"/>
        <rFont val="宋体"/>
        <family val="3"/>
        <charset val="134"/>
      </rPr>
      <t>办公集聚程度</t>
    </r>
    <phoneticPr fontId="29" type="noConversion"/>
  </si>
  <si>
    <r>
      <rPr>
        <sz val="11"/>
        <rFont val="宋体"/>
        <family val="3"/>
        <charset val="134"/>
      </rPr>
      <t>基础设施水平</t>
    </r>
    <phoneticPr fontId="25" type="noConversion"/>
  </si>
  <si>
    <t>一致</t>
    <phoneticPr fontId="25" type="noConversion"/>
  </si>
  <si>
    <t>单面临街</t>
  </si>
  <si>
    <t>总收益</t>
    <phoneticPr fontId="142" type="noConversion"/>
  </si>
  <si>
    <t>增长率</t>
    <phoneticPr fontId="142" type="noConversion"/>
  </si>
  <si>
    <t>B座</t>
    <phoneticPr fontId="142" type="noConversion"/>
  </si>
  <si>
    <t>建筑面积</t>
    <phoneticPr fontId="142" type="noConversion"/>
  </si>
  <si>
    <t>月租金</t>
    <phoneticPr fontId="142" type="noConversion"/>
  </si>
  <si>
    <t>租金单价</t>
    <phoneticPr fontId="142" type="noConversion"/>
  </si>
  <si>
    <t>合计</t>
    <phoneticPr fontId="142" type="noConversion"/>
  </si>
  <si>
    <t>合计</t>
    <phoneticPr fontId="142" type="noConversion"/>
  </si>
  <si>
    <t>商业</t>
    <phoneticPr fontId="142" type="noConversion"/>
  </si>
  <si>
    <t>办公</t>
    <phoneticPr fontId="142" type="noConversion"/>
  </si>
  <si>
    <t>未出租</t>
    <phoneticPr fontId="142" type="noConversion"/>
  </si>
  <si>
    <t>出租率</t>
    <phoneticPr fontId="142" type="noConversion"/>
  </si>
  <si>
    <t>A座</t>
    <phoneticPr fontId="142" type="noConversion"/>
  </si>
  <si>
    <t>全部</t>
    <phoneticPr fontId="142" type="noConversion"/>
  </si>
  <si>
    <t>收入</t>
    <phoneticPr fontId="142" type="noConversion"/>
  </si>
  <si>
    <t>总商业</t>
    <phoneticPr fontId="142" type="noConversion"/>
  </si>
  <si>
    <t>楼层系数</t>
    <phoneticPr fontId="142" type="noConversion"/>
  </si>
  <si>
    <t>单价</t>
    <phoneticPr fontId="142" type="noConversion"/>
  </si>
  <si>
    <t>总价</t>
    <phoneticPr fontId="142" type="noConversion"/>
  </si>
  <si>
    <t>通路</t>
  </si>
  <si>
    <t>通电</t>
  </si>
  <si>
    <t>通讯</t>
  </si>
  <si>
    <t>通上水</t>
  </si>
  <si>
    <t>通下水</t>
  </si>
  <si>
    <t>通热</t>
  </si>
  <si>
    <t>燃气</t>
  </si>
  <si>
    <r>
      <rPr>
        <sz val="12"/>
        <rFont val="宋体"/>
        <family val="3"/>
        <charset val="134"/>
      </rPr>
      <t>财源国际大厦</t>
    </r>
    <r>
      <rPr>
        <sz val="12"/>
        <rFont val="Arial"/>
        <family val="2"/>
      </rPr>
      <t>A</t>
    </r>
    <r>
      <rPr>
        <sz val="12"/>
        <rFont val="宋体"/>
        <family val="3"/>
        <charset val="134"/>
      </rPr>
      <t>、</t>
    </r>
    <r>
      <rPr>
        <sz val="12"/>
        <rFont val="Arial"/>
        <family val="2"/>
      </rPr>
      <t>B</t>
    </r>
    <r>
      <rPr>
        <sz val="12"/>
        <rFont val="宋体"/>
        <family val="3"/>
        <charset val="134"/>
      </rPr>
      <t>座</t>
    </r>
    <phoneticPr fontId="6" type="noConversion"/>
  </si>
  <si>
    <t>美达广场</t>
    <phoneticPr fontId="3" type="noConversion"/>
  </si>
  <si>
    <t>北京财源国际中心</t>
    <phoneticPr fontId="3" type="noConversion"/>
  </si>
  <si>
    <t>正常</t>
  </si>
  <si>
    <t>办公</t>
    <phoneticPr fontId="32" type="noConversion"/>
  </si>
  <si>
    <t>30-40（含）</t>
  </si>
  <si>
    <t>40-50（含）</t>
  </si>
  <si>
    <t>快速路</t>
    <phoneticPr fontId="32" type="noConversion"/>
  </si>
  <si>
    <t>城市主干道</t>
  </si>
  <si>
    <t>城市主干道</t>
    <phoneticPr fontId="32" type="noConversion"/>
  </si>
  <si>
    <t>城市次干道</t>
  </si>
  <si>
    <t>城市次干道</t>
    <phoneticPr fontId="32" type="noConversion"/>
  </si>
  <si>
    <t>城市支路</t>
    <phoneticPr fontId="32" type="noConversion"/>
  </si>
  <si>
    <t>高区</t>
    <phoneticPr fontId="32" type="noConversion"/>
  </si>
  <si>
    <t>中区</t>
  </si>
  <si>
    <t>中区</t>
    <phoneticPr fontId="32" type="noConversion"/>
  </si>
  <si>
    <t>低区</t>
    <phoneticPr fontId="32" type="noConversion"/>
  </si>
  <si>
    <t>标准写字楼</t>
  </si>
  <si>
    <t>标准写字楼</t>
    <phoneticPr fontId="32" type="noConversion"/>
  </si>
  <si>
    <t>钢混</t>
    <phoneticPr fontId="32" type="noConversion"/>
  </si>
  <si>
    <t>砖混</t>
    <phoneticPr fontId="32" type="noConversion"/>
  </si>
  <si>
    <t>精装修</t>
  </si>
  <si>
    <t>精装修</t>
    <phoneticPr fontId="32" type="noConversion"/>
  </si>
  <si>
    <t>普通装修</t>
    <phoneticPr fontId="32" type="noConversion"/>
  </si>
  <si>
    <t>简单装修</t>
    <phoneticPr fontId="32" type="noConversion"/>
  </si>
  <si>
    <t>毛坯</t>
    <phoneticPr fontId="32" type="noConversion"/>
  </si>
  <si>
    <t>甲级</t>
  </si>
  <si>
    <t>甲级</t>
    <phoneticPr fontId="32" type="noConversion"/>
  </si>
  <si>
    <t>乙级</t>
    <phoneticPr fontId="32" type="noConversion"/>
  </si>
  <si>
    <t>丙级</t>
    <phoneticPr fontId="32" type="noConversion"/>
  </si>
  <si>
    <t>专业物业管理</t>
  </si>
  <si>
    <t>专业物业管理</t>
    <phoneticPr fontId="32" type="noConversion"/>
  </si>
  <si>
    <t>普通物业管理</t>
    <phoneticPr fontId="32" type="noConversion"/>
  </si>
  <si>
    <t>无</t>
    <phoneticPr fontId="32" type="noConversion"/>
  </si>
  <si>
    <t>超高</t>
    <phoneticPr fontId="32" type="noConversion"/>
  </si>
  <si>
    <t>标准</t>
  </si>
  <si>
    <t>标准</t>
    <phoneticPr fontId="32" type="noConversion"/>
  </si>
  <si>
    <t>中环世贸</t>
    <phoneticPr fontId="3" type="noConversion"/>
  </si>
  <si>
    <t>较好</t>
  </si>
  <si>
    <t>好</t>
  </si>
  <si>
    <t>七通</t>
  </si>
  <si>
    <r>
      <rPr>
        <b/>
        <sz val="11"/>
        <rFont val="宋体"/>
        <family val="3"/>
        <charset val="134"/>
      </rPr>
      <t>估价对象办公用房的比较价值（楼面单价，元</t>
    </r>
    <r>
      <rPr>
        <b/>
        <sz val="11"/>
        <rFont val="Arial"/>
        <family val="2"/>
      </rPr>
      <t>/</t>
    </r>
    <r>
      <rPr>
        <b/>
        <sz val="11"/>
        <rFont val="宋体"/>
        <family val="3"/>
        <charset val="134"/>
      </rPr>
      <t>平方米）</t>
    </r>
    <phoneticPr fontId="3" type="noConversion"/>
  </si>
  <si>
    <t>建国门外大街</t>
  </si>
  <si>
    <t>六通一平</t>
  </si>
  <si>
    <t>缺少</t>
  </si>
  <si>
    <t>容积率修正</t>
  </si>
  <si>
    <t>商务金融用地（办公类）</t>
  </si>
  <si>
    <t>楼层修正</t>
  </si>
  <si>
    <t>比较法-办公</t>
  </si>
  <si>
    <t>售价</t>
  </si>
  <si>
    <t>项目局部</t>
  </si>
  <si>
    <t>成本法（商业）</t>
  </si>
  <si>
    <t>成本法（商业）</t>
    <phoneticPr fontId="16" type="noConversion"/>
  </si>
  <si>
    <t>成本法（车库）</t>
  </si>
  <si>
    <t>成本法（车库）</t>
    <phoneticPr fontId="16" type="noConversion"/>
  </si>
  <si>
    <t>收益比率</t>
  </si>
  <si>
    <t>成本比率</t>
  </si>
  <si>
    <t>北京财富中心</t>
    <phoneticPr fontId="3" type="noConversion"/>
  </si>
  <si>
    <t>低区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</si>
</sst>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000;[Red]0.000000"/>
    <numFmt numFmtId="198" formatCode="_(* #,##0.00_);_(* \(#,##0.00\);_(* &quot;-&quot;??_);_(@_)"/>
    <numFmt numFmtId="199" formatCode="0.000000000000_ "/>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name val="楷体_GB2312"/>
      <family val="3"/>
      <charset val="134"/>
    </font>
    <font>
      <b/>
      <sz val="12"/>
      <color indexed="8"/>
      <name val="楷体_GB2312"/>
      <family val="3"/>
      <charset val="134"/>
    </font>
    <font>
      <sz val="10.5"/>
      <color theme="1"/>
      <name val="宋体"/>
      <family val="3"/>
      <charset val="134"/>
    </font>
    <font>
      <sz val="10.5"/>
      <color theme="1"/>
      <name val="Times New Roman"/>
      <family val="1"/>
    </font>
    <font>
      <b/>
      <sz val="10"/>
      <color indexed="8"/>
      <name val="Times New Roman"/>
      <family val="1"/>
    </font>
    <font>
      <sz val="16"/>
      <name val="黑体"/>
      <family val="3"/>
      <charset val="134"/>
    </font>
    <font>
      <sz val="12"/>
      <color indexed="10"/>
      <name val="宋体"/>
      <family val="3"/>
      <charset val="134"/>
    </font>
    <font>
      <b/>
      <sz val="10"/>
      <name val="Times New Roman"/>
      <family val="1"/>
    </font>
    <font>
      <sz val="12"/>
      <color indexed="12"/>
      <name val="宋体"/>
      <family val="3"/>
      <charset val="134"/>
    </font>
    <font>
      <sz val="11"/>
      <color theme="1"/>
      <name val="宋体"/>
      <family val="3"/>
      <charset val="134"/>
      <scheme val="minor"/>
    </font>
    <font>
      <b/>
      <sz val="14"/>
      <name val="Arial"/>
      <family val="2"/>
    </font>
    <font>
      <b/>
      <sz val="14"/>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34998626667073579"/>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9"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37" fillId="0" borderId="0"/>
    <xf numFmtId="43" fontId="261" fillId="0" borderId="0" applyFont="0" applyFill="0" applyBorder="0" applyAlignment="0" applyProtection="0">
      <alignment vertical="center"/>
    </xf>
  </cellStyleXfs>
  <cellXfs count="346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49" fillId="6" borderId="4" xfId="0" applyFont="1" applyFill="1" applyBorder="1" applyAlignment="1" applyProtection="1">
      <alignment horizontal="center" vertical="center"/>
    </xf>
    <xf numFmtId="0" fontId="54" fillId="6" borderId="1" xfId="0" applyFont="1" applyFill="1" applyBorder="1" applyAlignment="1" applyProtection="1">
      <alignment horizontal="left" vertical="center" wrapText="1"/>
    </xf>
    <xf numFmtId="9" fontId="49" fillId="6" borderId="24" xfId="0" applyNumberFormat="1" applyFont="1" applyFill="1" applyBorder="1" applyAlignment="1" applyProtection="1">
      <alignment horizontal="center" vertical="center"/>
    </xf>
    <xf numFmtId="10" fontId="49" fillId="6" borderId="2" xfId="0" applyNumberFormat="1" applyFont="1" applyFill="1" applyBorder="1" applyAlignment="1" applyProtection="1">
      <alignment horizontal="center" vertical="center"/>
    </xf>
    <xf numFmtId="0" fontId="49" fillId="6" borderId="11" xfId="0" applyFont="1" applyFill="1" applyBorder="1" applyAlignment="1" applyProtection="1">
      <alignment horizontal="right" vertical="center" wrapText="1"/>
    </xf>
    <xf numFmtId="0" fontId="49" fillId="6" borderId="46" xfId="0" applyFont="1" applyFill="1" applyBorder="1" applyAlignment="1" applyProtection="1">
      <alignment vertical="center"/>
    </xf>
    <xf numFmtId="0" fontId="49" fillId="6" borderId="14" xfId="0" applyFont="1" applyFill="1" applyBorder="1" applyAlignment="1" applyProtection="1">
      <alignment horizontal="right" vertical="center" wrapText="1"/>
    </xf>
    <xf numFmtId="0" fontId="49" fillId="6" borderId="58" xfId="0" applyFont="1" applyFill="1" applyBorder="1" applyAlignment="1" applyProtection="1">
      <alignment vertical="center"/>
    </xf>
    <xf numFmtId="0" fontId="49" fillId="6" borderId="35" xfId="0" applyFont="1" applyFill="1" applyBorder="1" applyProtection="1">
      <alignment vertical="center"/>
    </xf>
    <xf numFmtId="0" fontId="49" fillId="6" borderId="41" xfId="0" applyFont="1" applyFill="1" applyBorder="1" applyAlignment="1" applyProtection="1">
      <alignment horizontal="right" vertical="center" wrapText="1"/>
    </xf>
    <xf numFmtId="0" fontId="49" fillId="6" borderId="4" xfId="0" applyFont="1" applyFill="1" applyBorder="1" applyAlignment="1" applyProtection="1">
      <alignment vertical="center"/>
    </xf>
    <xf numFmtId="0" fontId="49" fillId="6" borderId="23" xfId="0" applyFont="1" applyFill="1" applyBorder="1" applyAlignment="1" applyProtection="1">
      <alignment horizontal="right" vertical="center" wrapText="1"/>
    </xf>
    <xf numFmtId="10" fontId="49" fillId="6" borderId="1" xfId="0" applyNumberFormat="1"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10" fontId="49" fillId="6" borderId="5" xfId="0" applyNumberFormat="1" applyFont="1" applyFill="1" applyBorder="1" applyAlignment="1" applyProtection="1">
      <alignment horizontal="center" vertical="center"/>
    </xf>
    <xf numFmtId="0" fontId="49" fillId="6" borderId="46"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32" xfId="0" applyFont="1" applyFill="1" applyBorder="1" applyAlignment="1" applyProtection="1">
      <alignment horizontal="center" vertical="center" wrapText="1"/>
    </xf>
    <xf numFmtId="10" fontId="49" fillId="6" borderId="32" xfId="0" applyNumberFormat="1" applyFont="1" applyFill="1" applyBorder="1" applyAlignment="1" applyProtection="1">
      <alignment horizontal="center" vertical="center"/>
    </xf>
    <xf numFmtId="9" fontId="49" fillId="6" borderId="5" xfId="0" applyNumberFormat="1" applyFont="1" applyFill="1" applyBorder="1" applyAlignment="1" applyProtection="1">
      <alignment horizontal="center" vertical="center" wrapText="1"/>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177" fontId="56" fillId="6" borderId="2"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177" fontId="55" fillId="6" borderId="1" xfId="0" applyNumberFormat="1"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177" fontId="55" fillId="0" borderId="1" xfId="0" applyNumberFormat="1" applyFont="1" applyFill="1" applyBorder="1" applyAlignment="1" applyProtection="1">
      <alignment horizontal="center" vertical="center" wrapText="1"/>
      <protection locked="0"/>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56" fillId="6" borderId="1" xfId="0" applyFont="1" applyFill="1" applyBorder="1" applyAlignment="1" applyProtection="1">
      <alignment horizontal="center" vertical="center" wrapText="1"/>
    </xf>
    <xf numFmtId="177" fontId="56" fillId="6" borderId="1" xfId="0" applyNumberFormat="1"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77" fontId="56" fillId="6" borderId="32" xfId="0" applyNumberFormat="1"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49" fontId="49" fillId="6" borderId="23" xfId="0" applyNumberFormat="1" applyFont="1" applyFill="1" applyBorder="1" applyAlignment="1" applyProtection="1">
      <alignmen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177" fontId="55" fillId="0" borderId="24" xfId="0" applyNumberFormat="1" applyFont="1" applyFill="1" applyBorder="1" applyAlignment="1" applyProtection="1">
      <alignment horizontal="center" vertical="center" wrapText="1"/>
      <protection locked="0"/>
    </xf>
    <xf numFmtId="0" fontId="55" fillId="6" borderId="2" xfId="0" applyFont="1" applyFill="1" applyBorder="1" applyAlignment="1" applyProtection="1">
      <alignment horizontal="left" vertical="center" wrapText="1"/>
    </xf>
    <xf numFmtId="9" fontId="46" fillId="6" borderId="0" xfId="0" applyNumberFormat="1" applyFont="1" applyFill="1" applyBorder="1" applyAlignment="1" applyProtection="1">
      <alignment horizontal="center" vertical="center"/>
    </xf>
    <xf numFmtId="10" fontId="55" fillId="6" borderId="1" xfId="0" applyNumberFormat="1" applyFont="1" applyFill="1" applyBorder="1" applyAlignment="1" applyProtection="1">
      <alignment horizontal="center" vertical="center" wrapText="1"/>
    </xf>
    <xf numFmtId="0" fontId="46" fillId="6" borderId="54" xfId="0" applyFont="1" applyFill="1" applyBorder="1" applyAlignment="1" applyProtection="1">
      <alignment horizontal="left" vertical="center"/>
    </xf>
    <xf numFmtId="191" fontId="55" fillId="6" borderId="1" xfId="0" applyNumberFormat="1" applyFont="1" applyFill="1" applyBorder="1" applyAlignment="1" applyProtection="1">
      <alignment horizontal="center" vertical="center" wrapText="1"/>
    </xf>
    <xf numFmtId="10" fontId="54" fillId="6" borderId="5" xfId="0" applyNumberFormat="1" applyFont="1" applyFill="1" applyBorder="1" applyAlignment="1" applyProtection="1">
      <alignment horizontal="center" vertical="center" wrapText="1"/>
    </xf>
    <xf numFmtId="181" fontId="56" fillId="6" borderId="1" xfId="0" applyNumberFormat="1"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191" fontId="55" fillId="0" borderId="1" xfId="0" applyNumberFormat="1" applyFont="1" applyFill="1" applyBorder="1" applyAlignment="1" applyProtection="1">
      <alignment horizontal="center" vertical="center" wrapText="1"/>
      <protection locked="0"/>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64" fillId="6" borderId="0" xfId="0" applyNumberFormat="1" applyFont="1" applyFill="1" applyBorder="1" applyAlignment="1" applyProtection="1">
      <alignment horizont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81" fontId="49" fillId="6" borderId="48" xfId="0" applyNumberFormat="1" applyFont="1" applyFill="1" applyBorder="1" applyAlignment="1" applyProtection="1">
      <alignment horizontal="center" vertical="center" wrapText="1"/>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0" fontId="52" fillId="6" borderId="68" xfId="0"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0" fontId="52" fillId="6" borderId="52" xfId="0"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3" xfId="0" applyNumberFormat="1" applyFont="1" applyFill="1" applyBorder="1" applyAlignment="1" applyProtection="1">
      <alignment horizontal="center" vertical="center" wrapText="1"/>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0" fontId="109" fillId="6" borderId="1" xfId="0" applyFont="1" applyFill="1" applyBorder="1" applyAlignment="1" applyProtection="1">
      <alignment horizontal="center" vertical="center" wrapText="1"/>
    </xf>
    <xf numFmtId="0" fontId="109" fillId="6" borderId="24" xfId="0" applyFont="1" applyFill="1" applyBorder="1" applyAlignment="1" applyProtection="1">
      <alignment horizontal="center" vertical="center" wrapText="1"/>
    </xf>
    <xf numFmtId="0" fontId="109" fillId="6" borderId="13" xfId="0" applyFont="1" applyFill="1" applyBorder="1" applyAlignment="1" applyProtection="1">
      <alignment horizontal="center" vertical="center" wrapText="1"/>
    </xf>
    <xf numFmtId="0" fontId="109" fillId="6" borderId="61" xfId="0" applyFont="1" applyFill="1" applyBorder="1" applyAlignment="1" applyProtection="1">
      <alignment horizontal="center" vertical="center" wrapText="1"/>
    </xf>
    <xf numFmtId="0" fontId="109" fillId="6" borderId="5" xfId="0" applyFont="1" applyFill="1" applyBorder="1" applyAlignment="1" applyProtection="1">
      <alignment vertical="center" wrapText="1"/>
    </xf>
    <xf numFmtId="0" fontId="109" fillId="6" borderId="48" xfId="0" applyFont="1" applyFill="1" applyBorder="1" applyAlignment="1" applyProtection="1">
      <alignment vertical="center" wrapText="1"/>
    </xf>
    <xf numFmtId="0" fontId="109" fillId="6" borderId="33" xfId="0" applyFont="1" applyFill="1" applyBorder="1" applyAlignment="1" applyProtection="1">
      <alignment vertical="center" wrapText="1"/>
    </xf>
    <xf numFmtId="0" fontId="109" fillId="6" borderId="68" xfId="0" applyFont="1" applyFill="1" applyBorder="1" applyAlignment="1" applyProtection="1">
      <alignment vertical="center" wrapText="1"/>
    </xf>
    <xf numFmtId="49" fontId="59"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62" fillId="6" borderId="0" xfId="0" applyFont="1" applyFill="1" applyBorder="1" applyAlignment="1" applyProtection="1">
      <alignment horizontal="center" vertical="center"/>
    </xf>
    <xf numFmtId="0" fontId="49" fillId="6" borderId="0" xfId="0" applyFont="1" applyFill="1" applyBorder="1" applyAlignment="1" applyProtection="1">
      <alignment vertical="center"/>
    </xf>
    <xf numFmtId="0" fontId="55" fillId="6" borderId="0" xfId="0" applyFont="1" applyFill="1" applyBorder="1" applyAlignment="1" applyProtection="1">
      <alignment horizontal="left" vertical="center"/>
    </xf>
    <xf numFmtId="179" fontId="62" fillId="6" borderId="0" xfId="0" applyNumberFormat="1" applyFont="1" applyFill="1" applyBorder="1" applyAlignment="1" applyProtection="1">
      <alignment horizontal="center" vertical="center"/>
    </xf>
    <xf numFmtId="0" fontId="49" fillId="6" borderId="0" xfId="0" applyFont="1" applyFill="1" applyAlignment="1" applyProtection="1">
      <alignment horizontal="left" vertical="center"/>
    </xf>
    <xf numFmtId="0" fontId="65" fillId="6" borderId="0" xfId="0" applyFont="1" applyFill="1" applyAlignment="1" applyProtection="1">
      <alignment vertical="center"/>
    </xf>
    <xf numFmtId="49" fontId="64" fillId="6" borderId="0" xfId="0" applyNumberFormat="1" applyFont="1" applyFill="1" applyBorder="1" applyAlignment="1" applyProtection="1">
      <alignment horizontal="left"/>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3" xfId="0" applyNumberFormat="1"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53" xfId="0" applyFont="1" applyFill="1" applyBorder="1" applyAlignment="1" applyProtection="1">
      <alignment horizontal="center" vertical="center" wrapText="1"/>
    </xf>
    <xf numFmtId="0" fontId="52" fillId="6" borderId="34"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46" fillId="6" borderId="13"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74" fillId="6" borderId="0" xfId="0" applyFont="1" applyFill="1" applyAlignment="1" applyProtection="1">
      <alignment horizontal="center" vertical="center"/>
      <protection locked="0"/>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2" fillId="0" borderId="0" xfId="5" applyFont="1">
      <alignment vertical="center"/>
    </xf>
    <xf numFmtId="0" fontId="98" fillId="0" borderId="0" xfId="5">
      <alignment vertical="center"/>
    </xf>
    <xf numFmtId="0" fontId="122" fillId="0" borderId="0" xfId="5" applyFont="1" applyAlignment="1">
      <alignment vertical="top" wrapText="1"/>
    </xf>
    <xf numFmtId="0" fontId="99" fillId="0" borderId="0" xfId="5" applyFont="1" applyAlignment="1">
      <alignment horizontal="right" vertical="center"/>
    </xf>
    <xf numFmtId="14" fontId="123" fillId="0" borderId="0" xfId="5" applyNumberFormat="1" applyFont="1" applyAlignment="1">
      <alignment horizontal="left" vertical="center"/>
    </xf>
    <xf numFmtId="0" fontId="100" fillId="0" borderId="0" xfId="5" applyFont="1">
      <alignment vertical="center"/>
    </xf>
    <xf numFmtId="0" fontId="124" fillId="5" borderId="13" xfId="5" applyFont="1" applyFill="1" applyBorder="1" applyAlignment="1">
      <alignment vertical="center"/>
    </xf>
    <xf numFmtId="0" fontId="125" fillId="0" borderId="1" xfId="5" applyFont="1" applyBorder="1" applyAlignment="1">
      <alignment horizontal="right" vertical="center"/>
    </xf>
    <xf numFmtId="0" fontId="125" fillId="0" borderId="1" xfId="5" applyFont="1" applyFill="1" applyBorder="1" applyAlignment="1">
      <alignment horizontal="right" vertical="center"/>
    </xf>
    <xf numFmtId="184" fontId="125" fillId="0" borderId="13" xfId="5" applyNumberFormat="1" applyFont="1" applyFill="1" applyBorder="1" applyAlignment="1">
      <alignment horizontal="right" vertical="center"/>
    </xf>
    <xf numFmtId="0" fontId="98" fillId="0" borderId="0" xfId="5" applyFill="1">
      <alignment vertical="center"/>
    </xf>
    <xf numFmtId="0" fontId="126" fillId="0" borderId="0" xfId="5" applyFont="1">
      <alignment vertical="center"/>
    </xf>
    <xf numFmtId="0" fontId="124" fillId="0" borderId="1" xfId="5" applyFont="1" applyFill="1" applyBorder="1" applyAlignment="1">
      <alignment vertical="center"/>
    </xf>
    <xf numFmtId="0" fontId="127" fillId="0" borderId="0" xfId="5" applyFont="1">
      <alignment vertical="center"/>
    </xf>
    <xf numFmtId="0" fontId="127" fillId="0" borderId="1" xfId="5" applyFont="1" applyBorder="1">
      <alignment vertical="center"/>
    </xf>
    <xf numFmtId="0" fontId="99" fillId="0" borderId="1" xfId="5" applyFont="1" applyBorder="1">
      <alignment vertical="center"/>
    </xf>
    <xf numFmtId="184" fontId="125" fillId="0" borderId="1" xfId="5" applyNumberFormat="1" applyFont="1" applyFill="1" applyBorder="1" applyAlignment="1">
      <alignment horizontal="right" vertical="center"/>
    </xf>
    <xf numFmtId="14" fontId="98" fillId="0" borderId="0" xfId="5" applyNumberFormat="1">
      <alignment vertical="center"/>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63" fillId="6" borderId="78" xfId="0" applyFont="1" applyFill="1" applyBorder="1" applyAlignment="1" applyProtection="1">
      <alignment horizontal="right" vertical="center" shrinkToFit="1"/>
    </xf>
    <xf numFmtId="0" fontId="63" fillId="6" borderId="78" xfId="0" applyNumberFormat="1" applyFont="1" applyFill="1" applyBorder="1" applyAlignment="1" applyProtection="1">
      <alignment horizontal="right" vertical="center" shrinkToFit="1"/>
    </xf>
    <xf numFmtId="0" fontId="63" fillId="0" borderId="0" xfId="0" applyFont="1" applyFill="1" applyBorder="1" applyAlignment="1" applyProtection="1">
      <alignment vertical="center"/>
      <protection locked="0"/>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9" fontId="63" fillId="6" borderId="1" xfId="0" applyNumberFormat="1" applyFont="1" applyFill="1" applyBorder="1" applyAlignment="1" applyProtection="1">
      <alignment horizontal="center" vertical="center" wrapText="1"/>
    </xf>
    <xf numFmtId="177" fontId="63" fillId="5" borderId="1" xfId="1" applyNumberFormat="1" applyFont="1" applyFill="1" applyBorder="1" applyAlignment="1" applyProtection="1">
      <alignment horizontal="center" vertical="center"/>
      <protection locked="0"/>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184" fontId="125" fillId="0" borderId="1" xfId="0" applyNumberFormat="1" applyFont="1" applyFill="1" applyBorder="1" applyAlignment="1">
      <alignment horizontal="right"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4"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7"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8" xfId="0" applyNumberFormat="1" applyFont="1" applyFill="1" applyBorder="1" applyAlignment="1" applyProtection="1">
      <alignment horizontal="center" vertical="center" wrapText="1"/>
    </xf>
    <xf numFmtId="0" fontId="55" fillId="0" borderId="99" xfId="0" applyNumberFormat="1" applyFont="1" applyFill="1" applyBorder="1" applyAlignment="1" applyProtection="1">
      <alignment horizontal="center" vertical="center" wrapText="1"/>
      <protection locked="0"/>
    </xf>
    <xf numFmtId="0" fontId="55" fillId="6" borderId="100" xfId="0" applyNumberFormat="1" applyFont="1" applyFill="1" applyBorder="1" applyAlignment="1" applyProtection="1">
      <alignment horizontal="center" vertical="center" wrapText="1"/>
    </xf>
    <xf numFmtId="0" fontId="55" fillId="6" borderId="99" xfId="0" applyNumberFormat="1" applyFont="1" applyFill="1" applyBorder="1" applyAlignment="1" applyProtection="1">
      <alignment horizontal="center" vertical="center" wrapText="1"/>
    </xf>
    <xf numFmtId="0" fontId="49" fillId="0" borderId="101"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1"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9" fontId="53" fillId="6" borderId="0" xfId="0" applyNumberFormat="1" applyFont="1" applyFill="1" applyAlignment="1" applyProtection="1">
      <alignment horizontal="center" vertical="center"/>
      <protection locked="0"/>
    </xf>
    <xf numFmtId="189" fontId="70"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134" fillId="0" borderId="1" xfId="5" applyFont="1" applyBorder="1">
      <alignment vertical="center"/>
    </xf>
    <xf numFmtId="184" fontId="134" fillId="0" borderId="1" xfId="0" applyNumberFormat="1" applyFont="1" applyFill="1" applyBorder="1" applyAlignment="1">
      <alignment horizontal="righ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2" xfId="0" applyNumberFormat="1" applyFont="1" applyFill="1" applyBorder="1" applyAlignment="1" applyProtection="1">
      <alignment horizontal="center" vertical="center" wrapText="1"/>
      <protection locked="0"/>
    </xf>
    <xf numFmtId="0" fontId="49" fillId="0" borderId="114"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7" xfId="0" applyFont="1" applyFill="1" applyBorder="1" applyAlignment="1" applyProtection="1">
      <alignment horizontal="center" vertical="center"/>
      <protection locked="0"/>
    </xf>
    <xf numFmtId="0"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wrapText="1"/>
      <protection locked="0"/>
    </xf>
    <xf numFmtId="9"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6" borderId="114"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0" borderId="116"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7"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4"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4"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7"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4" fillId="0" borderId="32" xfId="0" applyFont="1" applyFill="1" applyBorder="1" applyAlignment="1">
      <alignment horizontal="center" vertical="center"/>
    </xf>
    <xf numFmtId="9" fontId="144" fillId="0" borderId="32" xfId="0" applyNumberFormat="1" applyFont="1" applyFill="1" applyBorder="1" applyAlignment="1">
      <alignment horizontal="center" vertical="center"/>
    </xf>
    <xf numFmtId="177" fontId="144"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4"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0" fontId="53" fillId="7" borderId="0" xfId="0" applyFont="1" applyFill="1" applyAlignment="1" applyProtection="1">
      <alignment vertical="center" wrapText="1"/>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6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3" fillId="6" borderId="58" xfId="0" applyFont="1" applyFill="1" applyBorder="1" applyAlignment="1" applyProtection="1">
      <alignment horizontal="center" vertical="center"/>
      <protection locked="0"/>
    </xf>
    <xf numFmtId="0" fontId="70" fillId="6" borderId="58" xfId="0" applyFont="1" applyFill="1" applyBorder="1" applyAlignment="1" applyProtection="1">
      <alignment horizontal="center" vertical="center"/>
      <protection locked="0"/>
    </xf>
    <xf numFmtId="0" fontId="53" fillId="6" borderId="58" xfId="0" applyFont="1" applyFill="1" applyBorder="1" applyAlignment="1" applyProtection="1">
      <protection locked="0"/>
    </xf>
    <xf numFmtId="9" fontId="46" fillId="6" borderId="0" xfId="0" applyNumberFormat="1" applyFont="1" applyFill="1" applyBorder="1" applyAlignment="1" applyProtection="1">
      <alignment horizontal="center" vertical="center" wrapText="1"/>
      <protection locked="0"/>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103" fillId="6" borderId="58" xfId="0" applyFont="1" applyFill="1" applyBorder="1" applyAlignment="1" applyProtection="1">
      <alignment vertical="center"/>
      <protection locked="0"/>
    </xf>
    <xf numFmtId="0" fontId="46" fillId="6" borderId="0" xfId="0" applyFont="1" applyFill="1" applyAlignment="1" applyProtection="1">
      <alignment horizontal="center" vertical="center"/>
      <protection locked="0"/>
    </xf>
    <xf numFmtId="9" fontId="46" fillId="6" borderId="58" xfId="0" applyNumberFormat="1" applyFont="1" applyFill="1" applyBorder="1" applyAlignment="1" applyProtection="1">
      <alignment horizontal="center" vertical="center" wrapText="1"/>
      <protection locked="0"/>
    </xf>
    <xf numFmtId="0" fontId="46" fillId="6" borderId="58" xfId="0" applyFont="1" applyFill="1" applyBorder="1" applyAlignment="1" applyProtection="1">
      <alignment horizontal="center" vertical="center" wrapText="1"/>
      <protection locked="0"/>
    </xf>
    <xf numFmtId="0" fontId="51" fillId="6" borderId="58" xfId="0" applyFont="1" applyFill="1" applyBorder="1" applyAlignment="1" applyProtection="1">
      <alignment horizontal="center" vertical="center" wrapText="1"/>
      <protection locked="0"/>
    </xf>
    <xf numFmtId="9" fontId="51" fillId="6" borderId="0" xfId="0" applyNumberFormat="1" applyFont="1" applyFill="1" applyBorder="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58" xfId="0" applyFont="1" applyFill="1" applyBorder="1" applyAlignment="1" applyProtection="1">
      <alignment horizontal="center" vertical="center"/>
      <protection locked="0"/>
    </xf>
    <xf numFmtId="9" fontId="51" fillId="6" borderId="0" xfId="0" applyNumberFormat="1" applyFont="1" applyFill="1" applyBorder="1" applyAlignment="1" applyProtection="1">
      <alignment horizontal="center" vertical="center"/>
      <protection locked="0"/>
    </xf>
    <xf numFmtId="0" fontId="46"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49" fontId="46" fillId="6" borderId="58" xfId="0" applyNumberFormat="1" applyFont="1" applyFill="1" applyBorder="1" applyAlignment="1" applyProtection="1">
      <alignment horizontal="center" vertical="center"/>
      <protection locked="0"/>
    </xf>
    <xf numFmtId="49" fontId="46" fillId="6" borderId="0" xfId="0" applyNumberFormat="1"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0" fontId="63" fillId="6" borderId="78" xfId="0" applyFont="1" applyFill="1" applyBorder="1" applyAlignment="1" applyProtection="1">
      <alignment horizontal="center" vertical="center" wrapText="1"/>
    </xf>
    <xf numFmtId="0" fontId="107" fillId="0" borderId="0" xfId="9" applyFont="1">
      <alignment vertical="center"/>
    </xf>
    <xf numFmtId="0" fontId="107" fillId="0" borderId="0" xfId="9" applyFont="1" applyAlignment="1">
      <alignment horizontal="center" vertical="center"/>
    </xf>
    <xf numFmtId="0" fontId="107" fillId="0" borderId="120" xfId="9" applyFont="1" applyBorder="1">
      <alignment vertical="center"/>
    </xf>
    <xf numFmtId="0" fontId="101"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7" fillId="0" borderId="121" xfId="9" applyFont="1" applyBorder="1" applyAlignment="1">
      <alignment vertical="center"/>
    </xf>
    <xf numFmtId="0" fontId="107" fillId="0" borderId="120" xfId="9" applyFont="1" applyBorder="1" applyAlignment="1">
      <alignment vertical="center"/>
    </xf>
    <xf numFmtId="0" fontId="107" fillId="0" borderId="120" xfId="9" applyFont="1" applyBorder="1" applyAlignment="1">
      <alignment horizontal="center" vertical="center"/>
    </xf>
    <xf numFmtId="0" fontId="107" fillId="0" borderId="0" xfId="9" applyFont="1" applyFill="1">
      <alignment vertical="center"/>
    </xf>
    <xf numFmtId="0" fontId="103"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7" fillId="0" borderId="122" xfId="9" applyFont="1" applyFill="1" applyBorder="1" applyAlignment="1">
      <alignment horizontal="center" vertical="center"/>
    </xf>
    <xf numFmtId="0" fontId="107" fillId="0" borderId="0" xfId="9" applyFont="1" applyFill="1" applyBorder="1" applyAlignment="1">
      <alignment horizontal="center" vertical="center"/>
    </xf>
    <xf numFmtId="0" fontId="107" fillId="0" borderId="0" xfId="9" applyFont="1" applyFill="1" applyAlignment="1">
      <alignment horizontal="center" vertical="center"/>
    </xf>
    <xf numFmtId="0" fontId="104" fillId="0" borderId="0" xfId="9" applyFont="1" applyAlignment="1">
      <alignment horizontal="center" vertical="center"/>
    </xf>
    <xf numFmtId="10" fontId="104" fillId="0" borderId="0" xfId="9" applyNumberFormat="1" applyFont="1" applyAlignment="1">
      <alignment horizontal="center" vertical="center"/>
    </xf>
    <xf numFmtId="49" fontId="55" fillId="6" borderId="1" xfId="9" applyNumberFormat="1" applyFont="1" applyFill="1" applyBorder="1" applyAlignment="1" applyProtection="1">
      <alignment horizontal="center" vertical="center" wrapText="1"/>
    </xf>
    <xf numFmtId="0" fontId="151" fillId="12" borderId="124" xfId="9" applyFont="1" applyFill="1" applyBorder="1" applyAlignment="1" applyProtection="1">
      <alignment horizontal="center" vertical="center" wrapText="1"/>
    </xf>
    <xf numFmtId="0" fontId="151" fillId="12" borderId="125" xfId="9" applyFont="1" applyFill="1" applyBorder="1" applyAlignment="1" applyProtection="1">
      <alignment horizontal="center" vertical="center" wrapText="1"/>
    </xf>
    <xf numFmtId="0" fontId="151" fillId="13" borderId="127" xfId="9" applyFont="1" applyFill="1" applyBorder="1" applyAlignment="1" applyProtection="1">
      <alignment horizontal="center" vertical="center" wrapText="1"/>
    </xf>
    <xf numFmtId="0" fontId="151" fillId="12" borderId="127" xfId="9" applyFont="1" applyFill="1" applyBorder="1" applyAlignment="1" applyProtection="1">
      <alignment horizontal="center" vertical="center" wrapText="1"/>
    </xf>
    <xf numFmtId="0" fontId="152" fillId="14" borderId="0" xfId="9" applyFont="1" applyFill="1">
      <alignment vertical="center"/>
    </xf>
    <xf numFmtId="10" fontId="152" fillId="14" borderId="129" xfId="9" applyNumberFormat="1" applyFont="1" applyFill="1" applyBorder="1" applyAlignment="1">
      <alignment vertical="center"/>
    </xf>
    <xf numFmtId="10" fontId="104" fillId="14" borderId="0" xfId="9" applyNumberFormat="1" applyFont="1" applyFill="1" applyAlignment="1">
      <alignment horizontal="center" vertical="center"/>
    </xf>
    <xf numFmtId="186" fontId="107" fillId="12" borderId="124" xfId="9" applyNumberFormat="1" applyFont="1" applyFill="1" applyBorder="1" applyAlignment="1">
      <alignment horizontal="center" vertical="center" wrapText="1"/>
    </xf>
    <xf numFmtId="186" fontId="107" fillId="12" borderId="130" xfId="9" applyNumberFormat="1" applyFont="1" applyFill="1" applyBorder="1" applyAlignment="1">
      <alignment horizontal="center" vertical="center" wrapText="1"/>
    </xf>
    <xf numFmtId="0" fontId="104" fillId="0" borderId="0" xfId="9" applyFont="1">
      <alignment vertical="center"/>
    </xf>
    <xf numFmtId="10" fontId="104" fillId="0" borderId="122" xfId="9" applyNumberFormat="1" applyFont="1" applyBorder="1">
      <alignment vertical="center"/>
    </xf>
    <xf numFmtId="10" fontId="104" fillId="0" borderId="0" xfId="9" applyNumberFormat="1" applyFont="1">
      <alignment vertical="center"/>
    </xf>
    <xf numFmtId="177" fontId="104" fillId="0" borderId="0" xfId="9" applyNumberFormat="1" applyFont="1">
      <alignment vertical="center"/>
    </xf>
    <xf numFmtId="181" fontId="104" fillId="0" borderId="122" xfId="9" applyNumberFormat="1" applyFont="1" applyBorder="1">
      <alignment vertical="center"/>
    </xf>
    <xf numFmtId="181" fontId="104" fillId="0" borderId="0" xfId="9" applyNumberFormat="1" applyFont="1">
      <alignment vertical="center"/>
    </xf>
    <xf numFmtId="186" fontId="104" fillId="0" borderId="0" xfId="9" applyNumberFormat="1" applyFont="1" applyAlignment="1">
      <alignment horizontal="center" vertical="center"/>
    </xf>
    <xf numFmtId="0" fontId="151" fillId="13" borderId="131" xfId="9" applyFont="1" applyFill="1" applyBorder="1" applyAlignment="1" applyProtection="1">
      <alignment horizontal="center" vertical="center" wrapText="1"/>
    </xf>
    <xf numFmtId="0" fontId="151" fillId="12" borderId="131" xfId="9" applyFont="1" applyFill="1" applyBorder="1" applyAlignment="1" applyProtection="1">
      <alignment horizontal="center" vertical="center" wrapText="1"/>
    </xf>
    <xf numFmtId="10" fontId="104" fillId="0" borderId="129" xfId="9" applyNumberFormat="1" applyFont="1" applyBorder="1">
      <alignment vertical="center"/>
    </xf>
    <xf numFmtId="10" fontId="104" fillId="0" borderId="60" xfId="9" applyNumberFormat="1" applyFont="1" applyBorder="1">
      <alignment vertical="center"/>
    </xf>
    <xf numFmtId="0" fontId="151" fillId="12" borderId="133" xfId="9" applyFont="1" applyFill="1" applyBorder="1" applyAlignment="1" applyProtection="1">
      <alignment horizontal="center" vertical="center" wrapText="1"/>
    </xf>
    <xf numFmtId="0" fontId="151" fillId="12" borderId="134" xfId="9" applyFont="1" applyFill="1" applyBorder="1" applyAlignment="1" applyProtection="1">
      <alignment horizontal="center" vertical="center" wrapText="1"/>
    </xf>
    <xf numFmtId="10" fontId="104" fillId="0" borderId="135" xfId="9" applyNumberFormat="1" applyFont="1" applyBorder="1">
      <alignment vertical="center"/>
    </xf>
    <xf numFmtId="10" fontId="104" fillId="0" borderId="36" xfId="9" applyNumberFormat="1" applyFont="1" applyBorder="1">
      <alignment vertical="center"/>
    </xf>
    <xf numFmtId="0" fontId="104" fillId="0" borderId="122" xfId="9" applyFont="1" applyBorder="1">
      <alignment vertical="center"/>
    </xf>
    <xf numFmtId="0" fontId="151" fillId="13" borderId="124" xfId="9" applyFont="1" applyFill="1" applyBorder="1" applyAlignment="1" applyProtection="1">
      <alignment horizontal="center" vertical="center" wrapText="1"/>
    </xf>
    <xf numFmtId="0" fontId="151" fillId="13" borderId="125" xfId="9" applyFont="1" applyFill="1" applyBorder="1" applyAlignment="1" applyProtection="1">
      <alignment horizontal="center" vertical="center" wrapText="1"/>
    </xf>
    <xf numFmtId="10" fontId="104" fillId="0" borderId="0" xfId="9" applyNumberFormat="1" applyFont="1" applyBorder="1">
      <alignment vertical="center"/>
    </xf>
    <xf numFmtId="186" fontId="107" fillId="12" borderId="127" xfId="9" applyNumberFormat="1" applyFont="1" applyFill="1" applyBorder="1" applyAlignment="1">
      <alignment horizontal="center" vertical="center" wrapText="1"/>
    </xf>
    <xf numFmtId="186" fontId="107" fillId="12" borderId="136" xfId="9" applyNumberFormat="1" applyFont="1" applyFill="1" applyBorder="1" applyAlignment="1">
      <alignment horizontal="center" vertical="center" wrapText="1"/>
    </xf>
    <xf numFmtId="0" fontId="104" fillId="13" borderId="124" xfId="9" applyFont="1" applyFill="1" applyBorder="1" applyAlignment="1" applyProtection="1">
      <alignment horizontal="center" vertical="center" wrapText="1"/>
    </xf>
    <xf numFmtId="0" fontId="104" fillId="13" borderId="125" xfId="9" applyFont="1" applyFill="1" applyBorder="1" applyAlignment="1" applyProtection="1">
      <alignment horizontal="center" vertical="center" wrapText="1"/>
    </xf>
    <xf numFmtId="49" fontId="55" fillId="5" borderId="1" xfId="9" applyNumberFormat="1" applyFont="1" applyFill="1" applyBorder="1" applyAlignment="1" applyProtection="1">
      <alignment horizontal="center" vertical="center" wrapText="1"/>
    </xf>
    <xf numFmtId="186" fontId="104" fillId="5" borderId="0" xfId="9" applyNumberFormat="1" applyFont="1" applyFill="1" applyAlignment="1">
      <alignment horizontal="center" vertical="center"/>
    </xf>
    <xf numFmtId="0" fontId="104" fillId="5" borderId="127" xfId="9" applyFont="1" applyFill="1" applyBorder="1" applyAlignment="1" applyProtection="1">
      <alignment horizontal="center" vertical="center" wrapText="1"/>
    </xf>
    <xf numFmtId="0" fontId="104" fillId="5" borderId="131" xfId="9" applyFont="1" applyFill="1" applyBorder="1" applyAlignment="1" applyProtection="1">
      <alignment horizontal="center" vertical="center" wrapText="1"/>
    </xf>
    <xf numFmtId="0" fontId="104" fillId="5" borderId="0" xfId="9" applyFont="1" applyFill="1">
      <alignment vertical="center"/>
    </xf>
    <xf numFmtId="10" fontId="104" fillId="5" borderId="122" xfId="9" applyNumberFormat="1" applyFont="1" applyFill="1" applyBorder="1">
      <alignment vertical="center"/>
    </xf>
    <xf numFmtId="10" fontId="104" fillId="5" borderId="0" xfId="9" applyNumberFormat="1" applyFont="1" applyFill="1">
      <alignment vertical="center"/>
    </xf>
    <xf numFmtId="177" fontId="104" fillId="5" borderId="0" xfId="9" applyNumberFormat="1" applyFont="1" applyFill="1">
      <alignment vertical="center"/>
    </xf>
    <xf numFmtId="10" fontId="104" fillId="5" borderId="129" xfId="9" applyNumberFormat="1" applyFont="1" applyFill="1" applyBorder="1">
      <alignment vertical="center"/>
    </xf>
    <xf numFmtId="10" fontId="104" fillId="5" borderId="60" xfId="9" applyNumberFormat="1" applyFont="1" applyFill="1" applyBorder="1">
      <alignment vertical="center"/>
    </xf>
    <xf numFmtId="0" fontId="129" fillId="5" borderId="0" xfId="9" applyFont="1" applyFill="1">
      <alignment vertical="center"/>
    </xf>
    <xf numFmtId="0" fontId="104" fillId="5" borderId="0" xfId="9" applyNumberFormat="1" applyFont="1" applyFill="1" applyAlignment="1">
      <alignment horizontal="center" vertical="center"/>
    </xf>
    <xf numFmtId="0" fontId="104" fillId="12" borderId="133" xfId="9" applyFont="1" applyFill="1" applyBorder="1" applyAlignment="1" applyProtection="1">
      <alignment horizontal="center" vertical="center" wrapText="1"/>
    </xf>
    <xf numFmtId="0" fontId="104" fillId="12" borderId="134" xfId="9" applyFont="1" applyFill="1" applyBorder="1" applyAlignment="1" applyProtection="1">
      <alignment horizontal="center" vertical="center" wrapText="1"/>
    </xf>
    <xf numFmtId="14" fontId="104" fillId="0" borderId="0" xfId="9" applyNumberFormat="1" applyFont="1">
      <alignment vertical="center"/>
    </xf>
    <xf numFmtId="0" fontId="129" fillId="0" borderId="0" xfId="9" applyFont="1">
      <alignment vertical="center"/>
    </xf>
    <xf numFmtId="0" fontId="104" fillId="0" borderId="0" xfId="9" applyNumberFormat="1" applyFont="1" applyAlignment="1">
      <alignment horizontal="center" vertical="center"/>
    </xf>
    <xf numFmtId="186" fontId="107" fillId="12" borderId="133" xfId="9" applyNumberFormat="1" applyFont="1" applyFill="1" applyBorder="1" applyAlignment="1">
      <alignment horizontal="center" vertical="center" wrapText="1"/>
    </xf>
    <xf numFmtId="186" fontId="107" fillId="12" borderId="137" xfId="9" applyNumberFormat="1" applyFont="1" applyFill="1" applyBorder="1" applyAlignment="1">
      <alignment horizontal="center" vertical="center" wrapText="1"/>
    </xf>
    <xf numFmtId="186" fontId="104" fillId="14" borderId="0" xfId="9" applyNumberFormat="1" applyFont="1" applyFill="1" applyAlignment="1">
      <alignment horizontal="center" vertical="center"/>
    </xf>
    <xf numFmtId="186" fontId="104" fillId="0" borderId="47" xfId="9" applyNumberFormat="1" applyFont="1" applyBorder="1" applyAlignment="1">
      <alignment horizontal="center" vertical="center"/>
    </xf>
    <xf numFmtId="0" fontId="151" fillId="13" borderId="138" xfId="9" applyFont="1" applyFill="1" applyBorder="1" applyAlignment="1" applyProtection="1">
      <alignment horizontal="center" vertical="center" wrapText="1"/>
    </xf>
    <xf numFmtId="0" fontId="151" fillId="13" borderId="139" xfId="9" applyFont="1" applyFill="1" applyBorder="1" applyAlignment="1" applyProtection="1">
      <alignment horizontal="center" vertical="center" wrapText="1"/>
    </xf>
    <xf numFmtId="0" fontId="104" fillId="0" borderId="47" xfId="9" applyFont="1" applyBorder="1">
      <alignment vertical="center"/>
    </xf>
    <xf numFmtId="10" fontId="104" fillId="0" borderId="140" xfId="9" applyNumberFormat="1" applyFont="1" applyBorder="1">
      <alignment vertical="center"/>
    </xf>
    <xf numFmtId="10" fontId="104" fillId="0" borderId="47" xfId="9" applyNumberFormat="1" applyFont="1" applyBorder="1">
      <alignment vertical="center"/>
    </xf>
    <xf numFmtId="177" fontId="104" fillId="0" borderId="47" xfId="9" applyNumberFormat="1" applyFont="1" applyBorder="1">
      <alignment vertical="center"/>
    </xf>
    <xf numFmtId="10" fontId="104" fillId="0" borderId="47" xfId="9" applyNumberFormat="1" applyFont="1" applyBorder="1" applyAlignment="1">
      <alignment horizontal="center" vertical="center"/>
    </xf>
    <xf numFmtId="0" fontId="151" fillId="12" borderId="141" xfId="9" applyFont="1" applyFill="1" applyBorder="1" applyAlignment="1" applyProtection="1">
      <alignment horizontal="center" vertical="center" wrapText="1"/>
    </xf>
    <xf numFmtId="0" fontId="151" fillId="12" borderId="142" xfId="9" applyFont="1" applyFill="1" applyBorder="1" applyAlignment="1" applyProtection="1">
      <alignment horizontal="center" vertical="center" wrapText="1"/>
    </xf>
    <xf numFmtId="10" fontId="104" fillId="15" borderId="122" xfId="9" applyNumberFormat="1" applyFont="1" applyFill="1" applyBorder="1">
      <alignment vertical="center"/>
    </xf>
    <xf numFmtId="10" fontId="104" fillId="15" borderId="0" xfId="9" applyNumberFormat="1" applyFont="1" applyFill="1">
      <alignment vertical="center"/>
    </xf>
    <xf numFmtId="178" fontId="104" fillId="0" borderId="0" xfId="9" applyNumberFormat="1" applyFont="1" applyAlignment="1">
      <alignment horizontal="center" vertical="center"/>
    </xf>
    <xf numFmtId="10" fontId="104" fillId="15" borderId="129" xfId="9" applyNumberFormat="1" applyFont="1" applyFill="1" applyBorder="1">
      <alignment vertical="center"/>
    </xf>
    <xf numFmtId="10" fontId="104" fillId="15" borderId="60" xfId="9" applyNumberFormat="1" applyFont="1" applyFill="1" applyBorder="1">
      <alignment vertical="center"/>
    </xf>
    <xf numFmtId="10" fontId="104" fillId="15" borderId="140" xfId="9" applyNumberFormat="1" applyFont="1" applyFill="1" applyBorder="1">
      <alignment vertical="center"/>
    </xf>
    <xf numFmtId="10" fontId="104" fillId="15" borderId="47" xfId="9" applyNumberFormat="1" applyFont="1" applyFill="1" applyBorder="1">
      <alignment vertical="center"/>
    </xf>
    <xf numFmtId="178" fontId="104" fillId="0" borderId="47" xfId="9" applyNumberFormat="1" applyFont="1" applyBorder="1" applyAlignment="1">
      <alignment horizontal="center" vertical="center"/>
    </xf>
    <xf numFmtId="0" fontId="107" fillId="13" borderId="143" xfId="9" applyFont="1" applyFill="1" applyBorder="1" applyAlignment="1">
      <alignment horizontal="center" vertical="center" wrapText="1"/>
    </xf>
    <xf numFmtId="0" fontId="107" fillId="13" borderId="144" xfId="9" applyFont="1" applyFill="1" applyBorder="1" applyAlignment="1">
      <alignment horizontal="center" vertical="center" wrapText="1"/>
    </xf>
    <xf numFmtId="180" fontId="104" fillId="0" borderId="0" xfId="9" applyNumberFormat="1" applyFont="1" applyAlignment="1">
      <alignment horizontal="center" vertical="center"/>
    </xf>
    <xf numFmtId="180" fontId="104" fillId="0" borderId="122" xfId="9" applyNumberFormat="1" applyFont="1" applyBorder="1" applyAlignment="1">
      <alignment horizontal="center" vertical="center"/>
    </xf>
    <xf numFmtId="177" fontId="104" fillId="15" borderId="0" xfId="9" applyNumberFormat="1" applyFont="1" applyFill="1" applyAlignment="1">
      <alignment horizontal="center" vertical="center"/>
    </xf>
    <xf numFmtId="0" fontId="151" fillId="13" borderId="133" xfId="9" applyFont="1" applyFill="1" applyBorder="1" applyAlignment="1" applyProtection="1">
      <alignment horizontal="center" vertical="center" wrapText="1"/>
    </xf>
    <xf numFmtId="0" fontId="107" fillId="12" borderId="133" xfId="9" applyFont="1" applyFill="1" applyBorder="1" applyAlignment="1">
      <alignment horizontal="center" vertical="center" wrapText="1"/>
    </xf>
    <xf numFmtId="0" fontId="107" fillId="12" borderId="137" xfId="9" applyFont="1" applyFill="1" applyBorder="1" applyAlignment="1">
      <alignment horizontal="center" vertical="center" wrapText="1"/>
    </xf>
    <xf numFmtId="177" fontId="104" fillId="5" borderId="0" xfId="9" applyNumberFormat="1" applyFont="1" applyFill="1" applyAlignment="1">
      <alignment horizontal="center" vertical="center"/>
    </xf>
    <xf numFmtId="0" fontId="151" fillId="5" borderId="127" xfId="9" applyFont="1" applyFill="1" applyBorder="1" applyAlignment="1" applyProtection="1">
      <alignment horizontal="center" vertical="center" wrapText="1"/>
    </xf>
    <xf numFmtId="180" fontId="104" fillId="5" borderId="0" xfId="9" applyNumberFormat="1" applyFont="1" applyFill="1" applyAlignment="1">
      <alignment horizontal="center" vertical="center"/>
    </xf>
    <xf numFmtId="0" fontId="104" fillId="5" borderId="122" xfId="9" applyFont="1" applyFill="1" applyBorder="1">
      <alignment vertical="center"/>
    </xf>
    <xf numFmtId="178" fontId="104" fillId="5" borderId="0" xfId="9" applyNumberFormat="1" applyFont="1" applyFill="1" applyAlignment="1">
      <alignment horizontal="center" vertical="center"/>
    </xf>
    <xf numFmtId="0" fontId="107" fillId="12" borderId="145" xfId="9" applyFont="1" applyFill="1" applyBorder="1" applyAlignment="1">
      <alignment horizontal="center" vertical="center" wrapText="1"/>
    </xf>
    <xf numFmtId="0" fontId="107" fillId="12" borderId="146" xfId="9" applyFont="1" applyFill="1" applyBorder="1" applyAlignment="1">
      <alignment horizontal="center" vertical="center" wrapText="1"/>
    </xf>
    <xf numFmtId="0" fontId="107" fillId="12" borderId="147" xfId="9" applyFont="1" applyFill="1" applyBorder="1" applyAlignment="1">
      <alignment horizontal="center" vertical="center" wrapText="1"/>
    </xf>
    <xf numFmtId="0" fontId="137" fillId="0" borderId="0" xfId="9" applyFont="1">
      <alignment vertical="center"/>
    </xf>
    <xf numFmtId="0" fontId="119" fillId="0" borderId="0" xfId="9" applyFont="1">
      <alignment vertical="center"/>
    </xf>
    <xf numFmtId="0" fontId="119" fillId="0" borderId="122" xfId="9" applyFont="1" applyBorder="1">
      <alignment vertical="center"/>
    </xf>
    <xf numFmtId="180" fontId="119" fillId="0" borderId="0" xfId="9" applyNumberFormat="1" applyFont="1" applyAlignment="1">
      <alignment horizontal="center" vertical="center"/>
    </xf>
    <xf numFmtId="180" fontId="119" fillId="0" borderId="122" xfId="9" applyNumberFormat="1" applyFont="1" applyBorder="1" applyAlignment="1">
      <alignment horizontal="center" vertical="center"/>
    </xf>
    <xf numFmtId="0" fontId="151" fillId="13" borderId="148" xfId="9" applyFont="1" applyFill="1" applyBorder="1" applyAlignment="1">
      <alignment horizontal="center" vertical="center" wrapText="1"/>
    </xf>
    <xf numFmtId="0" fontId="151" fillId="13" borderId="124" xfId="9" applyFont="1" applyFill="1" applyBorder="1" applyAlignment="1">
      <alignment horizontal="center" vertical="center" wrapText="1"/>
    </xf>
    <xf numFmtId="0" fontId="151" fillId="12" borderId="149" xfId="9" applyFont="1" applyFill="1" applyBorder="1" applyAlignment="1">
      <alignment horizontal="center" vertical="center" wrapText="1"/>
    </xf>
    <xf numFmtId="0" fontId="151" fillId="12" borderId="127" xfId="9" applyFont="1" applyFill="1" applyBorder="1" applyAlignment="1">
      <alignment horizontal="center" vertical="center" wrapText="1"/>
    </xf>
    <xf numFmtId="0" fontId="151" fillId="13" borderId="149" xfId="9" applyFont="1" applyFill="1" applyBorder="1" applyAlignment="1">
      <alignment horizontal="center" vertical="center" wrapText="1"/>
    </xf>
    <xf numFmtId="0" fontId="151" fillId="13" borderId="127" xfId="9" applyFont="1" applyFill="1" applyBorder="1" applyAlignment="1">
      <alignment horizontal="center" vertical="center" wrapText="1"/>
    </xf>
    <xf numFmtId="0" fontId="151" fillId="12" borderId="150" xfId="9" applyFont="1" applyFill="1" applyBorder="1" applyAlignment="1">
      <alignment horizontal="center" vertical="center" wrapText="1"/>
    </xf>
    <xf numFmtId="0" fontId="151" fillId="12" borderId="133" xfId="9" applyFont="1" applyFill="1" applyBorder="1" applyAlignment="1">
      <alignment horizontal="center" vertical="center" wrapText="1"/>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53" fillId="6" borderId="47" xfId="8" applyFont="1" applyFill="1" applyBorder="1" applyAlignment="1" applyProtection="1">
      <alignment vertical="center" wrapText="1"/>
      <protection locked="0"/>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49" fontId="46" fillId="0" borderId="5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4"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9"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9"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9"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9"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29"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29" fillId="0" borderId="0" xfId="2" applyFont="1" applyAlignment="1"/>
    <xf numFmtId="0" fontId="129"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19" fillId="6" borderId="1" xfId="2" applyFont="1" applyFill="1" applyBorder="1"/>
    <xf numFmtId="0" fontId="144" fillId="6" borderId="1" xfId="2" applyFont="1" applyFill="1" applyBorder="1" applyAlignment="1">
      <alignment horizontal="center" vertical="center" wrapText="1"/>
    </xf>
    <xf numFmtId="0" fontId="129"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7" fillId="6" borderId="1" xfId="2" applyNumberFormat="1" applyFont="1" applyFill="1" applyBorder="1" applyAlignment="1">
      <alignment horizontal="center"/>
    </xf>
    <xf numFmtId="14" fontId="137"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3" fillId="0" borderId="87" xfId="0" applyFont="1" applyBorder="1" applyAlignment="1"/>
    <xf numFmtId="0" fontId="113"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5" fillId="0" borderId="1" xfId="5" applyFont="1" applyFill="1" applyBorder="1">
      <alignment vertic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left"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0" borderId="113" xfId="0" applyNumberFormat="1" applyFont="1" applyFill="1" applyBorder="1" applyAlignment="1" applyProtection="1">
      <alignment horizontal="center" vertical="center" wrapText="1"/>
      <protection locked="0"/>
    </xf>
    <xf numFmtId="0" fontId="104" fillId="6" borderId="99"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104" fillId="14" borderId="0" xfId="9" applyFont="1" applyFill="1" applyAlignment="1">
      <alignment horizontal="center" vertical="center"/>
    </xf>
    <xf numFmtId="10" fontId="104" fillId="5" borderId="0" xfId="9" applyNumberFormat="1" applyFont="1" applyFill="1" applyAlignment="1">
      <alignment horizontal="center" vertical="center"/>
    </xf>
    <xf numFmtId="0" fontId="56" fillId="6" borderId="1" xfId="0" applyNumberFormat="1" applyFont="1" applyFill="1" applyBorder="1" applyAlignment="1" applyProtection="1">
      <alignment horizontal="right" vertical="center"/>
    </xf>
    <xf numFmtId="49" fontId="55" fillId="14" borderId="1" xfId="9" applyNumberFormat="1" applyFont="1" applyFill="1" applyBorder="1" applyAlignment="1" applyProtection="1">
      <alignment horizontal="center" vertical="center" wrapText="1"/>
    </xf>
    <xf numFmtId="0" fontId="151" fillId="14" borderId="127" xfId="9" applyFont="1" applyFill="1" applyBorder="1" applyAlignment="1" applyProtection="1">
      <alignment horizontal="center" vertical="center" wrapText="1"/>
    </xf>
    <xf numFmtId="0" fontId="107" fillId="14" borderId="0" xfId="9" applyFont="1" applyFill="1">
      <alignment vertical="center"/>
    </xf>
    <xf numFmtId="0" fontId="107" fillId="14" borderId="0" xfId="9" applyFont="1" applyFill="1" applyAlignment="1">
      <alignment horizontal="center" vertical="center"/>
    </xf>
    <xf numFmtId="0" fontId="107" fillId="14" borderId="122" xfId="9" applyFont="1" applyFill="1" applyBorder="1" applyAlignment="1">
      <alignment horizontal="center"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8" fillId="0" borderId="0" xfId="0" applyFont="1">
      <alignment vertical="center"/>
    </xf>
    <xf numFmtId="0" fontId="169" fillId="0" borderId="0" xfId="12"/>
    <xf numFmtId="0" fontId="98" fillId="6" borderId="1" xfId="12" applyFont="1" applyFill="1" applyBorder="1"/>
    <xf numFmtId="0" fontId="169" fillId="0" borderId="0" xfId="12" applyBorder="1"/>
    <xf numFmtId="0" fontId="170" fillId="6" borderId="13" xfId="12" applyFont="1" applyFill="1" applyBorder="1" applyAlignment="1">
      <alignment horizontal="center" vertical="center" wrapText="1"/>
    </xf>
    <xf numFmtId="0" fontId="170" fillId="0" borderId="0" xfId="12" applyFont="1" applyBorder="1" applyAlignment="1">
      <alignment horizontal="left" vertical="center" wrapText="1"/>
    </xf>
    <xf numFmtId="0" fontId="170" fillId="6" borderId="1" xfId="12" applyFont="1" applyFill="1" applyBorder="1" applyAlignment="1">
      <alignment horizontal="center" vertical="center" wrapText="1"/>
    </xf>
    <xf numFmtId="14" fontId="170" fillId="6" borderId="1" xfId="12" applyNumberFormat="1" applyFont="1" applyFill="1" applyBorder="1" applyAlignment="1">
      <alignment horizontal="center" vertical="center" wrapText="1"/>
    </xf>
    <xf numFmtId="0" fontId="170" fillId="13" borderId="1" xfId="12" applyFont="1" applyFill="1" applyBorder="1" applyAlignment="1" applyProtection="1">
      <alignment horizontal="center" vertical="center" wrapText="1"/>
      <protection locked="0"/>
    </xf>
    <xf numFmtId="0" fontId="169" fillId="0" borderId="1" xfId="12" applyBorder="1" applyProtection="1">
      <protection locked="0"/>
    </xf>
    <xf numFmtId="0" fontId="170" fillId="0" borderId="1" xfId="12" applyFont="1" applyBorder="1" applyAlignment="1" applyProtection="1">
      <alignment horizontal="left" vertical="center" wrapText="1"/>
      <protection locked="0"/>
    </xf>
    <xf numFmtId="0" fontId="169" fillId="6" borderId="1" xfId="12" applyFill="1" applyBorder="1" applyAlignment="1">
      <alignment vertical="center"/>
    </xf>
    <xf numFmtId="0" fontId="174" fillId="6" borderId="1" xfId="0" applyFont="1" applyFill="1" applyBorder="1" applyAlignment="1">
      <alignment horizontal="left" vertical="center" wrapText="1"/>
    </xf>
    <xf numFmtId="181" fontId="49" fillId="6" borderId="0" xfId="0" applyNumberFormat="1" applyFont="1" applyFill="1" applyProtection="1">
      <alignment vertical="center"/>
    </xf>
    <xf numFmtId="0" fontId="111" fillId="6" borderId="1" xfId="0" applyFont="1" applyFill="1" applyBorder="1" applyAlignment="1" applyProtection="1">
      <alignment horizontal="center" vertical="center" wrapText="1"/>
    </xf>
    <xf numFmtId="10" fontId="111" fillId="6" borderId="1" xfId="0" applyNumberFormat="1" applyFont="1" applyFill="1" applyBorder="1" applyAlignment="1" applyProtection="1">
      <alignment horizontal="center" vertical="center"/>
    </xf>
    <xf numFmtId="9" fontId="111" fillId="6" borderId="1" xfId="0" applyNumberFormat="1" applyFont="1" applyFill="1" applyBorder="1" applyAlignment="1" applyProtection="1">
      <alignment horizontal="center" vertical="center"/>
    </xf>
    <xf numFmtId="0" fontId="111" fillId="6" borderId="13" xfId="0" applyFont="1" applyFill="1" applyBorder="1" applyAlignment="1" applyProtection="1">
      <alignment horizontal="center" vertical="center" wrapText="1"/>
    </xf>
    <xf numFmtId="9" fontId="111" fillId="6" borderId="13" xfId="0" applyNumberFormat="1" applyFont="1" applyFill="1" applyBorder="1" applyAlignment="1" applyProtection="1">
      <alignment horizontal="center" vertical="center"/>
    </xf>
    <xf numFmtId="0" fontId="111" fillId="6" borderId="46" xfId="0" applyFont="1" applyFill="1" applyBorder="1" applyAlignment="1" applyProtection="1">
      <alignment vertical="center" wrapText="1"/>
    </xf>
    <xf numFmtId="0" fontId="111" fillId="6" borderId="36"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58" xfId="0" applyFont="1" applyFill="1" applyBorder="1" applyAlignment="1" applyProtection="1">
      <alignment vertical="center" wrapText="1"/>
    </xf>
    <xf numFmtId="0" fontId="111" fillId="6" borderId="0" xfId="0" applyFont="1" applyFill="1" applyBorder="1" applyAlignment="1" applyProtection="1">
      <alignment horizontal="center" vertical="center" wrapText="1"/>
    </xf>
    <xf numFmtId="0" fontId="111" fillId="6" borderId="4" xfId="0" applyFont="1" applyFill="1" applyBorder="1" applyAlignment="1" applyProtection="1">
      <alignment vertical="center" wrapText="1"/>
    </xf>
    <xf numFmtId="0" fontId="111" fillId="6" borderId="60" xfId="0" applyFont="1" applyFill="1" applyBorder="1" applyAlignment="1" applyProtection="1">
      <alignment horizontal="center" vertical="center" wrapText="1"/>
    </xf>
    <xf numFmtId="0" fontId="104" fillId="6" borderId="0" xfId="0" applyFont="1" applyFill="1" applyAlignment="1" applyProtection="1">
      <alignment vertical="center"/>
      <protection locked="0"/>
    </xf>
    <xf numFmtId="0" fontId="103" fillId="6" borderId="0" xfId="0" applyFont="1" applyFill="1" applyAlignment="1" applyProtection="1">
      <alignment horizontal="left" vertical="center"/>
      <protection locked="0"/>
    </xf>
    <xf numFmtId="9" fontId="176"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9" fillId="0" borderId="109" xfId="0" applyNumberFormat="1" applyFont="1" applyFill="1" applyBorder="1" applyAlignment="1" applyProtection="1">
      <alignment horizontal="center" vertical="center" wrapText="1"/>
      <protection locked="0"/>
    </xf>
    <xf numFmtId="0" fontId="179" fillId="0" borderId="18" xfId="0" applyNumberFormat="1" applyFont="1" applyFill="1" applyBorder="1" applyAlignment="1" applyProtection="1">
      <alignment horizontal="center" vertical="center" wrapText="1"/>
      <protection locked="0"/>
    </xf>
    <xf numFmtId="0" fontId="46" fillId="6" borderId="0" xfId="0" applyFont="1" applyFill="1" applyAlignment="1" applyProtection="1">
      <alignment horizontal="left" vertical="center"/>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3" fillId="0" borderId="1" xfId="0" applyFont="1" applyBorder="1" applyAlignment="1">
      <alignment horizontal="right" vertical="center"/>
    </xf>
    <xf numFmtId="0" fontId="183" fillId="0" borderId="1" xfId="0" applyFont="1" applyBorder="1" applyAlignment="1">
      <alignment horizontal="left" vertical="center" wrapText="1"/>
    </xf>
    <xf numFmtId="0" fontId="183" fillId="0" borderId="1" xfId="0" applyFont="1" applyBorder="1" applyAlignment="1">
      <alignment vertical="center"/>
    </xf>
    <xf numFmtId="0" fontId="183" fillId="0" borderId="1" xfId="0" applyFont="1" applyBorder="1" applyAlignment="1">
      <alignment horizontal="center" vertical="center"/>
    </xf>
    <xf numFmtId="0" fontId="183" fillId="0" borderId="1" xfId="0" applyFont="1" applyBorder="1" applyAlignment="1">
      <alignment vertical="center" wrapText="1"/>
    </xf>
    <xf numFmtId="0" fontId="183" fillId="0" borderId="5" xfId="0" applyFont="1" applyBorder="1" applyAlignment="1">
      <alignment vertical="center"/>
    </xf>
    <xf numFmtId="0" fontId="183" fillId="0" borderId="54" xfId="0" applyFont="1" applyBorder="1" applyAlignment="1">
      <alignment vertical="center"/>
    </xf>
    <xf numFmtId="0" fontId="183" fillId="0" borderId="3" xfId="0" applyFont="1" applyBorder="1" applyAlignment="1">
      <alignment vertical="center"/>
    </xf>
    <xf numFmtId="0" fontId="180" fillId="0" borderId="0" xfId="0" applyFont="1" applyAlignment="1">
      <alignment vertical="center"/>
    </xf>
    <xf numFmtId="0" fontId="181" fillId="0" borderId="0" xfId="0" applyFont="1" applyAlignment="1">
      <alignment vertical="center"/>
    </xf>
    <xf numFmtId="0" fontId="182" fillId="0" borderId="0" xfId="0" applyFont="1" applyAlignment="1">
      <alignment vertical="center"/>
    </xf>
    <xf numFmtId="0" fontId="174" fillId="0" borderId="1" xfId="0" applyFont="1" applyBorder="1" applyAlignment="1">
      <alignment horizontal="right" vertical="center" wrapText="1"/>
    </xf>
    <xf numFmtId="0" fontId="104" fillId="0" borderId="1" xfId="0" applyFont="1" applyBorder="1" applyAlignment="1">
      <alignment horizontal="right" vertical="center"/>
    </xf>
    <xf numFmtId="0" fontId="184" fillId="6" borderId="32" xfId="0" applyFont="1" applyFill="1" applyBorder="1" applyAlignment="1" applyProtection="1">
      <alignment horizontal="center" vertical="center"/>
    </xf>
    <xf numFmtId="0" fontId="104" fillId="0" borderId="0" xfId="9" applyFont="1" applyFill="1" applyAlignment="1">
      <alignment horizontal="center" vertical="center"/>
    </xf>
    <xf numFmtId="10" fontId="104" fillId="0" borderId="0" xfId="9" applyNumberFormat="1" applyFont="1" applyFill="1" applyAlignment="1">
      <alignment horizontal="center" vertical="center"/>
    </xf>
    <xf numFmtId="0" fontId="104" fillId="0" borderId="0" xfId="9" applyFont="1" applyFill="1">
      <alignment vertical="center"/>
    </xf>
    <xf numFmtId="186" fontId="152" fillId="14" borderId="0" xfId="9" applyNumberFormat="1" applyFont="1" applyFill="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48" xfId="0" applyFont="1" applyFill="1" applyBorder="1" applyAlignment="1" applyProtection="1">
      <alignment horizontal="left" vertical="center" wrapText="1"/>
    </xf>
    <xf numFmtId="0" fontId="49" fillId="6" borderId="3"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6"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49" fillId="6" borderId="119"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77" fontId="56" fillId="7"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55" fillId="7" borderId="0" xfId="0" applyFont="1" applyFill="1" applyAlignment="1" applyProtection="1">
      <alignmen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50" fillId="7" borderId="0" xfId="0" applyFont="1" applyFill="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104" fillId="6" borderId="0" xfId="0" applyFont="1" applyFill="1" applyAlignment="1" applyProtection="1"/>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104" fillId="6" borderId="0" xfId="0" applyFont="1" applyFill="1" applyAlignment="1" applyProtection="1">
      <alignment horizontal="left"/>
    </xf>
    <xf numFmtId="0" fontId="54" fillId="6" borderId="0" xfId="0" applyFont="1" applyFill="1" applyAlignment="1" applyProtection="1">
      <alignment horizontal="left"/>
    </xf>
    <xf numFmtId="0" fontId="54" fillId="6" borderId="0" xfId="0" applyFont="1" applyFill="1" applyAlignment="1" applyProtection="1"/>
    <xf numFmtId="0" fontId="55" fillId="6" borderId="0" xfId="0" applyFont="1" applyFill="1" applyAlignment="1" applyProtection="1">
      <alignment horizontal="left" vertical="center"/>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7"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84" xfId="0" applyFont="1" applyFill="1" applyBorder="1" applyAlignment="1" applyProtection="1">
      <alignment horizontal="center" vertical="center"/>
    </xf>
    <xf numFmtId="0" fontId="55"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4"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6" fillId="6" borderId="3" xfId="0" applyFont="1" applyFill="1" applyBorder="1" applyAlignment="1" applyProtection="1">
      <alignment horizontal="right" vertical="center" wrapText="1"/>
    </xf>
    <xf numFmtId="0" fontId="201" fillId="0" borderId="0" xfId="5" applyFont="1">
      <alignment vertical="center"/>
    </xf>
    <xf numFmtId="0" fontId="98" fillId="0" borderId="0" xfId="0" applyFont="1" applyProtection="1">
      <alignment vertical="center"/>
      <protection locked="0"/>
    </xf>
    <xf numFmtId="0" fontId="210"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1" fillId="0" borderId="0" xfId="0" applyFont="1" applyAlignment="1">
      <alignment vertical="center"/>
    </xf>
    <xf numFmtId="0" fontId="138" fillId="0" borderId="0" xfId="0" applyFont="1" applyAlignment="1">
      <alignment vertical="center" wrapText="1"/>
    </xf>
    <xf numFmtId="0" fontId="212" fillId="0" borderId="0" xfId="0" applyFont="1">
      <alignment vertical="center"/>
    </xf>
    <xf numFmtId="0" fontId="213" fillId="0" borderId="0" xfId="0" applyFont="1">
      <alignment vertical="center"/>
    </xf>
    <xf numFmtId="0" fontId="214" fillId="0" borderId="0" xfId="0" applyFont="1" applyAlignment="1" applyProtection="1">
      <alignment vertical="center" wrapText="1"/>
      <protection locked="0"/>
    </xf>
    <xf numFmtId="0" fontId="138" fillId="0" borderId="0" xfId="0" applyFont="1" applyFill="1" applyAlignment="1">
      <alignment vertical="center" wrapText="1"/>
    </xf>
    <xf numFmtId="0" fontId="211"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5" fillId="5" borderId="0" xfId="0" applyFont="1" applyFill="1" applyProtection="1">
      <alignment vertical="center"/>
      <protection locked="0"/>
    </xf>
    <xf numFmtId="0" fontId="103" fillId="0" borderId="0" xfId="0" applyFont="1" applyProtection="1">
      <alignment vertical="center"/>
      <protection locked="0"/>
    </xf>
    <xf numFmtId="0" fontId="211"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1"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8"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9"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8"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98" fillId="0" borderId="0" xfId="0" applyFont="1" applyProtection="1">
      <alignment vertical="center"/>
    </xf>
    <xf numFmtId="0" fontId="208" fillId="0" borderId="0" xfId="0" applyFont="1" applyBorder="1" applyAlignment="1" applyProtection="1">
      <alignment horizontal="left" vertical="center"/>
    </xf>
    <xf numFmtId="0" fontId="226"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6" fillId="0" borderId="60" xfId="0" applyFont="1" applyBorder="1" applyAlignment="1" applyProtection="1">
      <alignment horizontal="justify" vertical="center" wrapText="1"/>
    </xf>
    <xf numFmtId="0" fontId="226" fillId="0" borderId="0" xfId="0" applyFont="1" applyBorder="1" applyAlignment="1" applyProtection="1">
      <alignment horizontal="right" vertical="center" wrapText="1"/>
    </xf>
    <xf numFmtId="0" fontId="226" fillId="0" borderId="54" xfId="0" applyFont="1" applyBorder="1" applyAlignment="1" applyProtection="1">
      <alignment horizontal="justify" vertical="center" wrapText="1"/>
    </xf>
    <xf numFmtId="0" fontId="227" fillId="0" borderId="0" xfId="0" applyFont="1" applyBorder="1" applyAlignment="1" applyProtection="1">
      <alignment horizontal="center" vertical="center" wrapText="1"/>
      <protection locked="0"/>
    </xf>
    <xf numFmtId="0" fontId="211"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8" fillId="0" borderId="0" xfId="0" applyFont="1" applyAlignment="1">
      <alignment horizontal="right" vertical="center"/>
    </xf>
    <xf numFmtId="0" fontId="98" fillId="0" borderId="0" xfId="0" applyFont="1" applyBorder="1" applyProtection="1">
      <alignment vertical="center"/>
      <protection locked="0"/>
    </xf>
    <xf numFmtId="0" fontId="209" fillId="0" borderId="0" xfId="0" applyFont="1" applyBorder="1" applyProtection="1">
      <alignment vertical="center"/>
      <protection locked="0"/>
    </xf>
    <xf numFmtId="0" fontId="230" fillId="0" borderId="0" xfId="0" applyFont="1" applyProtection="1">
      <alignment vertical="center"/>
    </xf>
    <xf numFmtId="0" fontId="209" fillId="0" borderId="0" xfId="0" applyFont="1" applyProtection="1">
      <alignment vertical="center"/>
    </xf>
    <xf numFmtId="0" fontId="217"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7" fillId="0" borderId="0" xfId="0" applyFont="1" applyProtection="1">
      <alignment vertical="center"/>
    </xf>
    <xf numFmtId="0" fontId="217" fillId="2" borderId="1" xfId="0" applyFont="1" applyFill="1" applyBorder="1" applyAlignment="1" applyProtection="1">
      <alignment horizontal="center" vertical="center" wrapText="1"/>
    </xf>
    <xf numFmtId="0" fontId="217" fillId="6" borderId="1" xfId="0" applyFont="1" applyFill="1" applyBorder="1" applyAlignment="1" applyProtection="1">
      <alignment horizontal="center" vertical="center" wrapText="1"/>
    </xf>
    <xf numFmtId="0" fontId="233" fillId="4" borderId="1" xfId="0" applyFont="1" applyFill="1" applyBorder="1" applyAlignment="1" applyProtection="1">
      <alignment horizontal="center" vertical="center"/>
    </xf>
    <xf numFmtId="0" fontId="234" fillId="0" borderId="1" xfId="0" applyFont="1" applyFill="1" applyBorder="1" applyAlignment="1" applyProtection="1">
      <alignment horizontal="center" vertical="center"/>
    </xf>
    <xf numFmtId="0" fontId="232" fillId="0" borderId="0" xfId="0" applyFont="1" applyProtection="1">
      <alignment vertical="center"/>
    </xf>
    <xf numFmtId="0" fontId="123"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5" fillId="0" borderId="0" xfId="0" applyFont="1" applyProtection="1">
      <alignment vertical="center"/>
    </xf>
    <xf numFmtId="0" fontId="232" fillId="0" borderId="0" xfId="0" applyFont="1" applyAlignment="1" applyProtection="1">
      <alignment horizontal="left" vertical="center"/>
    </xf>
    <xf numFmtId="176" fontId="232" fillId="0" borderId="0" xfId="0" applyNumberFormat="1" applyFont="1" applyAlignment="1" applyProtection="1">
      <alignment horizontal="left" vertical="center"/>
    </xf>
    <xf numFmtId="0" fontId="232"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2" fillId="6" borderId="0" xfId="0" applyFont="1" applyFill="1" applyAlignment="1" applyProtection="1">
      <alignment horizontal="center" vertical="center" wrapText="1"/>
    </xf>
    <xf numFmtId="0" fontId="232"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2"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2"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63" fillId="6" borderId="26" xfId="0" applyFont="1" applyFill="1" applyBorder="1" applyAlignment="1" applyProtection="1">
      <alignment vertical="center" wrapText="1"/>
    </xf>
    <xf numFmtId="0" fontId="63" fillId="6" borderId="0" xfId="0" applyFont="1" applyFill="1" applyBorder="1" applyAlignment="1" applyProtection="1">
      <alignment vertical="center" wrapText="1"/>
    </xf>
    <xf numFmtId="0" fontId="63" fillId="6" borderId="58" xfId="0" applyFont="1" applyFill="1" applyBorder="1" applyAlignment="1" applyProtection="1">
      <alignment vertical="center" wrapText="1"/>
    </xf>
    <xf numFmtId="49" fontId="46" fillId="6" borderId="0" xfId="0" applyNumberFormat="1" applyFont="1" applyFill="1" applyAlignment="1" applyProtection="1">
      <alignment horizontal="center" vertical="center" wrapText="1"/>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0" borderId="0" xfId="0" applyFont="1" applyFill="1" applyBorder="1" applyAlignment="1" applyProtection="1">
      <alignment vertical="center" wrapText="1"/>
    </xf>
    <xf numFmtId="0" fontId="63" fillId="6" borderId="0" xfId="0" applyFont="1" applyFill="1" applyBorder="1" applyAlignment="1" applyProtection="1">
      <alignment horizontal="center" vertical="center" wrapText="1"/>
    </xf>
    <xf numFmtId="0" fontId="63" fillId="6" borderId="1" xfId="0" applyFont="1" applyFill="1" applyBorder="1" applyAlignment="1" applyProtection="1">
      <alignment horizontal="left" vertical="center"/>
    </xf>
    <xf numFmtId="14" fontId="63" fillId="0" borderId="13" xfId="0" applyNumberFormat="1" applyFont="1" applyFill="1" applyBorder="1" applyAlignment="1" applyProtection="1">
      <alignment horizontal="left" vertical="center"/>
      <protection locked="0"/>
    </xf>
    <xf numFmtId="0" fontId="63" fillId="6" borderId="1" xfId="0" applyFont="1" applyFill="1" applyBorder="1" applyAlignment="1" applyProtection="1">
      <alignment vertical="center" wrapText="1"/>
    </xf>
    <xf numFmtId="0" fontId="63" fillId="6" borderId="78" xfId="0" applyFont="1" applyFill="1" applyBorder="1" applyAlignment="1" applyProtection="1">
      <alignment horizontal="left" vertical="center"/>
    </xf>
    <xf numFmtId="14" fontId="63" fillId="5" borderId="78" xfId="0" applyNumberFormat="1" applyFont="1" applyFill="1" applyBorder="1" applyAlignment="1" applyProtection="1">
      <alignment horizontal="center" vertical="center"/>
      <protection locked="0"/>
    </xf>
    <xf numFmtId="0" fontId="63" fillId="6" borderId="85" xfId="0" applyFont="1" applyFill="1" applyBorder="1" applyAlignment="1" applyProtection="1">
      <alignment vertical="center" wrapText="1"/>
    </xf>
    <xf numFmtId="0" fontId="63" fillId="6" borderId="119" xfId="0" applyFont="1" applyFill="1" applyBorder="1" applyAlignment="1" applyProtection="1">
      <alignment vertical="center" wrapText="1"/>
    </xf>
    <xf numFmtId="0" fontId="63" fillId="6" borderId="0" xfId="0" applyFont="1" applyFill="1" applyAlignment="1" applyProtection="1">
      <alignment vertical="center" wrapText="1"/>
    </xf>
    <xf numFmtId="0" fontId="63" fillId="6" borderId="58" xfId="0" applyNumberFormat="1" applyFont="1" applyFill="1" applyBorder="1" applyAlignment="1" applyProtection="1">
      <alignment horizontal="left" vertical="center"/>
    </xf>
    <xf numFmtId="0" fontId="63" fillId="6" borderId="4" xfId="0" applyFont="1" applyFill="1" applyBorder="1" applyAlignment="1" applyProtection="1">
      <alignment vertical="center" wrapText="1"/>
    </xf>
    <xf numFmtId="0" fontId="63" fillId="7" borderId="151" xfId="0" applyFont="1" applyFill="1" applyBorder="1" applyAlignment="1" applyProtection="1">
      <alignment vertical="center" wrapText="1"/>
      <protection locked="0"/>
    </xf>
    <xf numFmtId="0" fontId="63" fillId="7" borderId="60" xfId="0" applyFont="1" applyFill="1" applyBorder="1" applyAlignment="1" applyProtection="1">
      <alignment vertical="center" wrapText="1"/>
    </xf>
    <xf numFmtId="0" fontId="63" fillId="7" borderId="7" xfId="0" applyFont="1" applyFill="1" applyBorder="1" applyAlignment="1" applyProtection="1">
      <alignment vertical="center" wrapText="1"/>
    </xf>
    <xf numFmtId="0" fontId="63" fillId="6" borderId="46" xfId="0" applyFont="1" applyFill="1" applyBorder="1" applyAlignment="1" applyProtection="1">
      <alignment vertical="center" wrapText="1"/>
    </xf>
    <xf numFmtId="0" fontId="63" fillId="7" borderId="5" xfId="0" applyFont="1" applyFill="1" applyBorder="1" applyAlignment="1" applyProtection="1">
      <alignment vertical="center"/>
      <protection locked="0"/>
    </xf>
    <xf numFmtId="0" fontId="63" fillId="7" borderId="54" xfId="0" applyFont="1" applyFill="1" applyBorder="1" applyAlignment="1" applyProtection="1">
      <alignment vertical="center" wrapText="1"/>
    </xf>
    <xf numFmtId="0" fontId="63" fillId="7" borderId="22" xfId="0" applyFont="1" applyFill="1" applyBorder="1" applyAlignment="1" applyProtection="1">
      <alignment vertical="center" wrapText="1"/>
    </xf>
    <xf numFmtId="0" fontId="63" fillId="6" borderId="58" xfId="0" applyNumberFormat="1" applyFont="1" applyFill="1" applyBorder="1" applyAlignment="1" applyProtection="1">
      <alignment horizontal="center" vertical="center" wrapText="1"/>
    </xf>
    <xf numFmtId="0" fontId="63" fillId="7" borderId="5" xfId="0" applyFont="1" applyFill="1" applyBorder="1" applyAlignment="1" applyProtection="1">
      <alignment vertical="center" wrapText="1"/>
      <protection locked="0"/>
    </xf>
    <xf numFmtId="49" fontId="63" fillId="6" borderId="58" xfId="0" applyNumberFormat="1" applyFont="1" applyFill="1" applyBorder="1" applyAlignment="1" applyProtection="1">
      <alignment horizontal="center" vertical="center" wrapText="1"/>
    </xf>
    <xf numFmtId="0" fontId="63" fillId="5" borderId="5" xfId="0" applyFont="1" applyFill="1" applyBorder="1" applyAlignment="1" applyProtection="1">
      <alignment horizontal="left" vertical="center" wrapText="1"/>
      <protection locked="0"/>
    </xf>
    <xf numFmtId="0" fontId="63" fillId="5" borderId="54" xfId="0" applyFont="1" applyFill="1" applyBorder="1" applyAlignment="1" applyProtection="1">
      <alignment vertical="center" wrapText="1"/>
    </xf>
    <xf numFmtId="0" fontId="63" fillId="5" borderId="13" xfId="0" applyFont="1" applyFill="1" applyBorder="1" applyAlignment="1" applyProtection="1">
      <alignment horizontal="left" vertical="center"/>
      <protection locked="0"/>
    </xf>
    <xf numFmtId="0" fontId="63" fillId="5" borderId="22" xfId="0" applyFont="1" applyFill="1" applyBorder="1" applyAlignment="1" applyProtection="1">
      <alignment vertical="center" wrapText="1"/>
    </xf>
    <xf numFmtId="0" fontId="63" fillId="5" borderId="85" xfId="0" applyFont="1" applyFill="1" applyBorder="1" applyAlignment="1" applyProtection="1">
      <alignment horizontal="left" vertical="center"/>
      <protection locked="0"/>
    </xf>
    <xf numFmtId="0" fontId="63" fillId="5" borderId="88" xfId="0" applyFont="1" applyFill="1" applyBorder="1" applyAlignment="1" applyProtection="1">
      <alignment vertical="center" wrapText="1"/>
    </xf>
    <xf numFmtId="0" fontId="63" fillId="5" borderId="119" xfId="0" applyFont="1" applyFill="1" applyBorder="1" applyAlignment="1" applyProtection="1">
      <alignment vertical="center" wrapText="1"/>
    </xf>
    <xf numFmtId="0" fontId="63" fillId="6" borderId="87" xfId="0" applyFont="1" applyFill="1" applyBorder="1" applyAlignment="1" applyProtection="1">
      <alignment vertical="center" wrapText="1"/>
    </xf>
    <xf numFmtId="0" fontId="63" fillId="6" borderId="2" xfId="0" applyFont="1" applyFill="1" applyBorder="1" applyAlignment="1" applyProtection="1">
      <alignment horizontal="left" vertical="center"/>
    </xf>
    <xf numFmtId="0" fontId="63" fillId="2" borderId="7" xfId="0" applyFont="1" applyFill="1" applyBorder="1" applyAlignment="1" applyProtection="1">
      <alignment horizontal="center" vertical="center" wrapText="1"/>
      <protection locked="0"/>
    </xf>
    <xf numFmtId="0" fontId="63" fillId="7" borderId="60" xfId="0" applyFont="1" applyFill="1" applyBorder="1" applyAlignment="1" applyProtection="1">
      <alignment vertical="center" wrapText="1"/>
      <protection locked="0"/>
    </xf>
    <xf numFmtId="49" fontId="63" fillId="6" borderId="2" xfId="0" applyNumberFormat="1" applyFont="1" applyFill="1" applyBorder="1" applyAlignment="1" applyProtection="1">
      <alignment horizontal="left" vertical="center" wrapText="1"/>
    </xf>
    <xf numFmtId="0" fontId="63" fillId="0" borderId="60" xfId="0" applyFont="1" applyFill="1" applyBorder="1" applyAlignment="1" applyProtection="1">
      <alignment vertical="center" wrapText="1"/>
    </xf>
    <xf numFmtId="0" fontId="63" fillId="7" borderId="60" xfId="0" applyFont="1" applyFill="1" applyBorder="1" applyAlignment="1" applyProtection="1">
      <alignment horizontal="center" vertical="center" wrapText="1"/>
    </xf>
    <xf numFmtId="0" fontId="63" fillId="6" borderId="46" xfId="0" applyFont="1" applyFill="1" applyBorder="1" applyAlignment="1" applyProtection="1">
      <alignment horizontal="left" vertical="center"/>
    </xf>
    <xf numFmtId="0" fontId="63" fillId="5" borderId="13" xfId="0" applyFont="1" applyFill="1" applyBorder="1" applyAlignment="1" applyProtection="1">
      <alignment horizontal="center" vertical="center" wrapText="1"/>
      <protection locked="0"/>
    </xf>
    <xf numFmtId="0" fontId="63" fillId="7" borderId="54" xfId="0" applyFont="1" applyFill="1" applyBorder="1" applyAlignment="1" applyProtection="1">
      <alignment vertical="center" wrapText="1"/>
      <protection locked="0"/>
    </xf>
    <xf numFmtId="0" fontId="63" fillId="7" borderId="3" xfId="0" applyFont="1" applyFill="1" applyBorder="1" applyAlignment="1" applyProtection="1">
      <alignment vertical="center" wrapText="1"/>
    </xf>
    <xf numFmtId="49" fontId="63" fillId="6" borderId="13" xfId="0" applyNumberFormat="1" applyFont="1" applyFill="1" applyBorder="1" applyAlignment="1" applyProtection="1">
      <alignment horizontal="left" vertical="center" wrapText="1"/>
    </xf>
    <xf numFmtId="0" fontId="46" fillId="6" borderId="1" xfId="0" applyFont="1" applyFill="1" applyBorder="1" applyAlignment="1" applyProtection="1">
      <alignment vertical="center" wrapText="1"/>
    </xf>
    <xf numFmtId="49" fontId="46" fillId="6" borderId="1" xfId="0" applyNumberFormat="1"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2" borderId="15" xfId="0" applyFont="1" applyFill="1" applyBorder="1" applyAlignment="1" applyProtection="1">
      <alignment horizontal="left" vertical="center" wrapText="1"/>
    </xf>
    <xf numFmtId="0" fontId="63" fillId="6" borderId="60" xfId="0" applyFont="1" applyFill="1" applyBorder="1" applyAlignment="1" applyProtection="1">
      <alignment vertical="center" wrapText="1"/>
    </xf>
    <xf numFmtId="184" fontId="63" fillId="0" borderId="1" xfId="0" applyNumberFormat="1" applyFont="1" applyFill="1" applyBorder="1" applyAlignment="1" applyProtection="1">
      <alignment horizontal="center" vertical="center" shrinkToFit="1"/>
      <protection locked="0"/>
    </xf>
    <xf numFmtId="177" fontId="63" fillId="6" borderId="58" xfId="0" applyNumberFormat="1" applyFont="1" applyFill="1" applyBorder="1" applyAlignment="1" applyProtection="1">
      <alignment horizontal="center" vertical="center" wrapText="1"/>
    </xf>
    <xf numFmtId="0" fontId="63" fillId="2" borderId="2"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center" vertical="center" wrapText="1"/>
    </xf>
    <xf numFmtId="0" fontId="46" fillId="6" borderId="0" xfId="0" applyNumberFormat="1" applyFont="1" applyFill="1" applyAlignment="1" applyProtection="1">
      <alignment horizontal="center" vertical="center" wrapText="1"/>
    </xf>
    <xf numFmtId="0" fontId="46" fillId="6" borderId="0" xfId="0" applyNumberFormat="1" applyFont="1" applyFill="1" applyAlignment="1" applyProtection="1">
      <alignment vertical="center" wrapText="1"/>
    </xf>
    <xf numFmtId="49" fontId="63" fillId="6" borderId="15" xfId="0" applyNumberFormat="1" applyFont="1" applyFill="1" applyBorder="1" applyAlignment="1" applyProtection="1">
      <alignment horizontal="left" vertical="center" wrapText="1"/>
    </xf>
    <xf numFmtId="0" fontId="63" fillId="6" borderId="13" xfId="0" applyFont="1" applyFill="1" applyBorder="1" applyAlignment="1" applyProtection="1">
      <alignment horizontal="left" vertical="center"/>
    </xf>
    <xf numFmtId="0" fontId="63" fillId="6" borderId="1"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left" vertical="center"/>
    </xf>
    <xf numFmtId="0" fontId="63" fillId="5" borderId="77" xfId="0" applyFont="1" applyFill="1" applyBorder="1" applyAlignment="1" applyProtection="1">
      <alignment horizontal="left" vertical="center" wrapText="1"/>
      <protection locked="0"/>
    </xf>
    <xf numFmtId="0" fontId="63" fillId="6" borderId="78" xfId="0" applyFont="1" applyFill="1" applyBorder="1" applyAlignment="1" applyProtection="1">
      <alignment horizontal="lef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right" vertical="center" wrapText="1"/>
    </xf>
    <xf numFmtId="0" fontId="49" fillId="6" borderId="27" xfId="0" applyFont="1" applyFill="1" applyBorder="1" applyAlignment="1" applyProtection="1">
      <alignment vertical="center"/>
    </xf>
    <xf numFmtId="0" fontId="57" fillId="5" borderId="23" xfId="0" applyFont="1" applyFill="1" applyBorder="1" applyAlignment="1" applyProtection="1">
      <alignment horizontal="center" vertical="center" wrapText="1"/>
      <protection locked="0"/>
    </xf>
    <xf numFmtId="0" fontId="49" fillId="5" borderId="24" xfId="0" applyFont="1" applyFill="1" applyBorder="1" applyAlignment="1" applyProtection="1">
      <alignment horizontal="center" vertical="center" wrapText="1"/>
      <protection locked="0"/>
    </xf>
    <xf numFmtId="0" fontId="179" fillId="0" borderId="23" xfId="0" applyFont="1" applyBorder="1" applyAlignment="1" applyProtection="1">
      <alignment vertical="center" wrapText="1"/>
      <protection locked="0"/>
    </xf>
    <xf numFmtId="0" fontId="49" fillId="5" borderId="5" xfId="0" applyFont="1" applyFill="1" applyBorder="1" applyAlignment="1" applyProtection="1">
      <alignment horizontal="center" vertical="center" wrapText="1"/>
      <protection locked="0"/>
    </xf>
    <xf numFmtId="0" fontId="49" fillId="0" borderId="86" xfId="0" applyFont="1" applyBorder="1" applyAlignment="1" applyProtection="1">
      <alignment vertical="center" wrapText="1"/>
      <protection locked="0"/>
    </xf>
    <xf numFmtId="0" fontId="57" fillId="5" borderId="23" xfId="0" applyFont="1" applyFill="1" applyBorder="1" applyAlignment="1" applyProtection="1">
      <alignment horizontal="center" vertical="center" wrapText="1" shrinkToFit="1"/>
      <protection locked="0"/>
    </xf>
    <xf numFmtId="0" fontId="63" fillId="6" borderId="56" xfId="0" applyFont="1" applyFill="1" applyBorder="1" applyAlignment="1" applyProtection="1">
      <alignment vertical="center" wrapText="1"/>
    </xf>
    <xf numFmtId="0" fontId="49" fillId="6" borderId="18"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49" fillId="6" borderId="16" xfId="0" applyFont="1" applyFill="1" applyBorder="1" applyAlignment="1" applyProtection="1">
      <alignment horizontal="right" vertical="center" wrapText="1"/>
    </xf>
    <xf numFmtId="184" fontId="179" fillId="0" borderId="21" xfId="0" applyNumberFormat="1" applyFont="1" applyFill="1" applyBorder="1" applyAlignment="1" applyProtection="1">
      <alignment horizontal="left" vertical="center" shrinkToFit="1"/>
      <protection locked="0"/>
    </xf>
    <xf numFmtId="0" fontId="49" fillId="6" borderId="58" xfId="0" applyFont="1" applyFill="1" applyBorder="1" applyAlignment="1" applyProtection="1">
      <alignment horizontal="center" vertical="center" wrapText="1"/>
    </xf>
    <xf numFmtId="0" fontId="49" fillId="6" borderId="18" xfId="0" applyFont="1" applyFill="1" applyBorder="1" applyAlignment="1" applyProtection="1">
      <alignment horizontal="left" vertical="center" wrapText="1"/>
    </xf>
    <xf numFmtId="0" fontId="179" fillId="0" borderId="24" xfId="0" applyFont="1" applyFill="1" applyBorder="1" applyAlignment="1" applyProtection="1">
      <alignment horizontal="left" vertical="center" wrapText="1"/>
      <protection locked="0"/>
    </xf>
    <xf numFmtId="0" fontId="179" fillId="0" borderId="48"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left" vertical="center" wrapText="1"/>
    </xf>
    <xf numFmtId="0" fontId="49"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right" vertical="center" wrapText="1"/>
    </xf>
    <xf numFmtId="0" fontId="179" fillId="0" borderId="90" xfId="0" applyFont="1" applyFill="1" applyBorder="1" applyAlignment="1" applyProtection="1">
      <alignment horizontal="left" vertical="center" wrapText="1"/>
      <protection locked="0"/>
    </xf>
    <xf numFmtId="0" fontId="63" fillId="6" borderId="92" xfId="0" applyFont="1" applyFill="1" applyBorder="1" applyAlignment="1" applyProtection="1">
      <alignment vertical="center" wrapText="1"/>
    </xf>
    <xf numFmtId="0" fontId="63" fillId="2" borderId="4" xfId="0" applyFont="1" applyFill="1" applyBorder="1" applyAlignment="1" applyProtection="1">
      <alignment vertical="center"/>
      <protection locked="0"/>
    </xf>
    <xf numFmtId="0" fontId="63" fillId="2" borderId="7" xfId="0" applyFont="1" applyFill="1" applyBorder="1" applyAlignment="1" applyProtection="1">
      <alignment vertical="center" wrapText="1"/>
    </xf>
    <xf numFmtId="0" fontId="63" fillId="2" borderId="7" xfId="0" applyFont="1" applyFill="1" applyBorder="1" applyAlignment="1" applyProtection="1">
      <alignment horizontal="left" vertical="center"/>
      <protection locked="0"/>
    </xf>
    <xf numFmtId="0" fontId="63" fillId="0" borderId="2" xfId="0" applyFont="1" applyBorder="1" applyAlignment="1" applyProtection="1">
      <alignment horizontal="left" vertical="center" wrapText="1"/>
      <protection locked="0"/>
    </xf>
    <xf numFmtId="49" fontId="46" fillId="6" borderId="58" xfId="0" applyNumberFormat="1" applyFont="1" applyFill="1" applyBorder="1" applyAlignment="1" applyProtection="1">
      <alignment horizontal="center" vertical="center" wrapText="1"/>
    </xf>
    <xf numFmtId="0" fontId="63" fillId="2" borderId="5" xfId="0" applyFont="1" applyFill="1" applyBorder="1" applyAlignment="1" applyProtection="1">
      <alignment vertical="center"/>
      <protection locked="0"/>
    </xf>
    <xf numFmtId="0" fontId="63" fillId="2" borderId="3" xfId="0" applyFont="1" applyFill="1" applyBorder="1" applyAlignment="1" applyProtection="1">
      <alignment vertical="center"/>
    </xf>
    <xf numFmtId="0" fontId="63" fillId="5" borderId="3" xfId="0" applyFont="1" applyFill="1" applyBorder="1" applyAlignment="1" applyProtection="1">
      <alignment horizontal="center" vertical="center" wrapText="1"/>
      <protection locked="0"/>
    </xf>
    <xf numFmtId="0" fontId="63" fillId="6" borderId="5" xfId="0" applyFont="1" applyFill="1" applyBorder="1" applyAlignment="1" applyProtection="1">
      <alignment horizontal="left" vertical="center"/>
    </xf>
    <xf numFmtId="0" fontId="63" fillId="6" borderId="3" xfId="0" applyFont="1" applyFill="1" applyBorder="1" applyAlignment="1" applyProtection="1">
      <alignment vertical="center" wrapText="1"/>
    </xf>
    <xf numFmtId="0" fontId="63" fillId="0" borderId="1" xfId="0" applyFont="1" applyBorder="1" applyAlignment="1" applyProtection="1">
      <alignment horizontal="left" vertical="center"/>
      <protection locked="0"/>
    </xf>
    <xf numFmtId="0" fontId="63" fillId="5" borderId="22" xfId="0" applyFont="1" applyFill="1" applyBorder="1" applyAlignment="1" applyProtection="1">
      <alignment horizontal="center" vertical="center" wrapText="1"/>
      <protection locked="0"/>
    </xf>
    <xf numFmtId="0" fontId="63" fillId="6" borderId="22" xfId="0" applyFont="1" applyFill="1" applyBorder="1" applyAlignment="1" applyProtection="1">
      <alignment vertical="center" wrapText="1"/>
    </xf>
    <xf numFmtId="0" fontId="63" fillId="0" borderId="13" xfId="0" applyFont="1" applyBorder="1" applyAlignment="1" applyProtection="1">
      <alignment horizontal="left" vertical="center"/>
      <protection locked="0"/>
    </xf>
    <xf numFmtId="0" fontId="60" fillId="5" borderId="1" xfId="0" applyFont="1" applyFill="1" applyBorder="1" applyAlignment="1" applyProtection="1">
      <alignment horizontal="center" vertical="center" wrapText="1"/>
      <protection locked="0"/>
    </xf>
    <xf numFmtId="193" fontId="46" fillId="6" borderId="1" xfId="0" applyNumberFormat="1" applyFont="1" applyFill="1" applyBorder="1" applyAlignment="1" applyProtection="1">
      <alignment vertical="center" wrapText="1"/>
    </xf>
    <xf numFmtId="0" fontId="63" fillId="6" borderId="13" xfId="0" applyNumberFormat="1" applyFont="1" applyFill="1" applyBorder="1" applyAlignment="1" applyProtection="1">
      <alignment vertical="center" wrapText="1"/>
    </xf>
    <xf numFmtId="0" fontId="63" fillId="6" borderId="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wrapText="1"/>
    </xf>
    <xf numFmtId="0" fontId="63" fillId="0" borderId="1" xfId="0" applyNumberFormat="1" applyFont="1" applyFill="1" applyBorder="1" applyAlignment="1" applyProtection="1">
      <alignment horizontal="center" vertical="center" wrapText="1"/>
      <protection locked="0"/>
    </xf>
    <xf numFmtId="0" fontId="63" fillId="6" borderId="15" xfId="0" applyNumberFormat="1" applyFont="1" applyFill="1" applyBorder="1" applyAlignment="1" applyProtection="1">
      <alignment vertical="center" wrapText="1"/>
    </xf>
    <xf numFmtId="0" fontId="63" fillId="5" borderId="1" xfId="0" applyNumberFormat="1" applyFont="1" applyFill="1" applyBorder="1" applyAlignment="1" applyProtection="1">
      <alignment horizontal="center" vertical="center" wrapText="1"/>
      <protection locked="0"/>
    </xf>
    <xf numFmtId="0" fontId="63" fillId="6" borderId="78" xfId="0" applyNumberFormat="1" applyFont="1" applyFill="1" applyBorder="1" applyAlignment="1" applyProtection="1">
      <alignment vertical="center" wrapText="1"/>
    </xf>
    <xf numFmtId="0" fontId="63" fillId="5" borderId="78"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106" fillId="6" borderId="152" xfId="0" applyFont="1" applyFill="1" applyBorder="1" applyAlignment="1" applyProtection="1">
      <alignment vertical="center"/>
    </xf>
    <xf numFmtId="0" fontId="48" fillId="6" borderId="152" xfId="0" applyFont="1" applyFill="1" applyBorder="1" applyAlignment="1" applyProtection="1">
      <alignment vertical="center" wrapText="1"/>
    </xf>
    <xf numFmtId="0" fontId="48" fillId="6" borderId="153" xfId="0" applyFont="1" applyFill="1" applyBorder="1" applyAlignment="1" applyProtection="1">
      <alignment vertical="center" wrapText="1"/>
    </xf>
    <xf numFmtId="0" fontId="48" fillId="6" borderId="152" xfId="0" applyFont="1" applyFill="1" applyBorder="1" applyAlignment="1" applyProtection="1">
      <alignment horizontal="center" vertical="center" wrapText="1"/>
    </xf>
    <xf numFmtId="0" fontId="48" fillId="0" borderId="152" xfId="0" applyFont="1" applyBorder="1" applyAlignment="1" applyProtection="1">
      <alignment vertical="center" wrapText="1"/>
    </xf>
    <xf numFmtId="0" fontId="46" fillId="6" borderId="0" xfId="0" applyFont="1" applyFill="1" applyBorder="1" applyAlignment="1" applyProtection="1">
      <alignment horizontal="center" vertical="center" wrapText="1"/>
    </xf>
    <xf numFmtId="0" fontId="46" fillId="6" borderId="54" xfId="0" applyFont="1" applyFill="1" applyBorder="1" applyAlignment="1" applyProtection="1">
      <alignment vertical="center" wrapText="1"/>
    </xf>
    <xf numFmtId="0" fontId="46" fillId="6" borderId="3" xfId="0" applyFont="1" applyFill="1" applyBorder="1" applyAlignment="1" applyProtection="1">
      <alignment vertical="center" wrapText="1"/>
    </xf>
    <xf numFmtId="49" fontId="46" fillId="6" borderId="5" xfId="0" applyNumberFormat="1"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49" fontId="46" fillId="0" borderId="1" xfId="0" applyNumberFormat="1" applyFont="1" applyBorder="1" applyAlignment="1" applyProtection="1">
      <alignment horizontal="center" vertical="center" wrapText="1"/>
      <protection locked="0"/>
    </xf>
    <xf numFmtId="0" fontId="46" fillId="6" borderId="0" xfId="0" applyFont="1" applyFill="1" applyAlignment="1" applyProtection="1">
      <alignment vertical="center" wrapText="1"/>
      <protection locked="0"/>
    </xf>
    <xf numFmtId="0" fontId="46" fillId="0" borderId="0" xfId="0" applyFont="1" applyAlignment="1" applyProtection="1">
      <alignment vertical="center" wrapText="1"/>
      <protection locked="0"/>
    </xf>
    <xf numFmtId="49" fontId="46" fillId="0" borderId="5" xfId="0" applyNumberFormat="1" applyFont="1" applyBorder="1" applyAlignment="1" applyProtection="1">
      <alignment vertical="center" wrapText="1"/>
      <protection locked="0"/>
    </xf>
    <xf numFmtId="0" fontId="46" fillId="0" borderId="0" xfId="0" applyFont="1" applyAlignment="1" applyProtection="1">
      <alignment horizontal="center" vertical="center" wrapText="1"/>
    </xf>
    <xf numFmtId="49" fontId="46" fillId="0" borderId="58" xfId="0" applyNumberFormat="1" applyFont="1" applyBorder="1" applyAlignment="1" applyProtection="1">
      <alignment horizontal="center" vertical="center" wrapText="1"/>
    </xf>
    <xf numFmtId="49" fontId="46" fillId="0" borderId="0" xfId="0" applyNumberFormat="1"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40"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8"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6" fillId="6" borderId="54" xfId="0" applyFont="1" applyFill="1" applyBorder="1" applyProtection="1">
      <alignment vertical="center"/>
    </xf>
    <xf numFmtId="0" fontId="48" fillId="6" borderId="3"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0" fontId="46" fillId="6" borderId="15" xfId="0" applyFont="1" applyFill="1" applyBorder="1" applyProtection="1">
      <alignment vertical="center"/>
    </xf>
    <xf numFmtId="176" fontId="48" fillId="6" borderId="10" xfId="1" applyNumberFormat="1" applyFont="1" applyFill="1" applyBorder="1" applyAlignment="1" applyProtection="1">
      <alignment horizontal="center" vertical="center"/>
    </xf>
    <xf numFmtId="0" fontId="46" fillId="6" borderId="0" xfId="0" applyFont="1" applyFill="1" applyBorder="1" applyProtection="1">
      <alignment vertical="center"/>
      <protection locked="0"/>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82"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7" xfId="0" applyFont="1" applyFill="1" applyBorder="1" applyAlignment="1" applyProtection="1">
      <alignment horizontal="center" vertical="center"/>
      <protection locked="0"/>
    </xf>
    <xf numFmtId="0" fontId="46" fillId="6" borderId="6" xfId="0" applyFont="1" applyFill="1" applyBorder="1" applyAlignment="1" applyProtection="1">
      <alignment vertical="center" wrapText="1"/>
    </xf>
    <xf numFmtId="179" fontId="46" fillId="6" borderId="0" xfId="0" applyNumberFormat="1" applyFont="1" applyFill="1" applyAlignment="1" applyProtection="1">
      <alignment horizontal="center" vertical="center"/>
      <protection locked="0"/>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103" fillId="6" borderId="0" xfId="0" applyFont="1" applyFill="1" applyAlignment="1" applyProtection="1">
      <alignment horizontal="center" vertical="center"/>
      <protection locked="0"/>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181" fontId="103" fillId="6" borderId="0" xfId="0" applyNumberFormat="1" applyFont="1" applyFill="1" applyAlignment="1" applyProtection="1">
      <alignment horizontal="center" vertical="center"/>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51" fillId="6" borderId="0" xfId="0" applyFont="1" applyFill="1" applyAlignment="1" applyProtection="1">
      <alignment vertical="center"/>
      <protection locked="0"/>
    </xf>
    <xf numFmtId="0" fontId="46" fillId="0" borderId="23" xfId="0" applyFont="1" applyBorder="1" applyAlignment="1" applyProtection="1">
      <alignment horizontal="right" vertical="center" wrapText="1"/>
      <protection locked="0"/>
    </xf>
    <xf numFmtId="0" fontId="46" fillId="6" borderId="0" xfId="0" applyFont="1" applyFill="1" applyBorder="1" applyAlignment="1" applyProtection="1">
      <alignment vertical="center"/>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125" fillId="0" borderId="5" xfId="5" applyFont="1" applyBorder="1" applyAlignment="1">
      <alignment horizontal="right" vertical="center"/>
    </xf>
    <xf numFmtId="192" fontId="125" fillId="0" borderId="5" xfId="5" applyNumberFormat="1" applyFont="1" applyFill="1" applyBorder="1" applyAlignment="1">
      <alignment horizontal="right" vertical="center"/>
    </xf>
    <xf numFmtId="0" fontId="125" fillId="0" borderId="5" xfId="5" applyFont="1" applyFill="1" applyBorder="1" applyAlignment="1">
      <alignment horizontal="left" vertical="center"/>
    </xf>
    <xf numFmtId="0" fontId="125" fillId="0" borderId="154" xfId="5" applyFont="1" applyBorder="1" applyAlignment="1">
      <alignment vertical="center"/>
    </xf>
    <xf numFmtId="0" fontId="125" fillId="0" borderId="154" xfId="5" applyFont="1" applyFill="1" applyBorder="1">
      <alignment vertical="center"/>
    </xf>
    <xf numFmtId="0" fontId="125" fillId="0" borderId="154" xfId="5" applyFont="1" applyFill="1" applyBorder="1" applyAlignment="1">
      <alignment horizontal="left" vertical="center"/>
    </xf>
    <xf numFmtId="184" fontId="125" fillId="0" borderId="5" xfId="5" applyNumberFormat="1" applyFont="1" applyFill="1" applyBorder="1" applyAlignment="1">
      <alignment horizontal="right" vertical="center"/>
    </xf>
    <xf numFmtId="14" fontId="127" fillId="0" borderId="5" xfId="5" applyNumberFormat="1" applyFont="1" applyBorder="1">
      <alignment vertical="center"/>
    </xf>
    <xf numFmtId="0" fontId="125" fillId="0" borderId="154" xfId="5" applyFont="1" applyFill="1" applyBorder="1" applyAlignment="1">
      <alignment horizontal="right" vertical="center"/>
    </xf>
    <xf numFmtId="0" fontId="127" fillId="0" borderId="154" xfId="5" applyFont="1" applyBorder="1">
      <alignment vertical="center"/>
    </xf>
    <xf numFmtId="0" fontId="220" fillId="7" borderId="102" xfId="0" applyFont="1" applyFill="1" applyBorder="1" applyAlignment="1" applyProtection="1">
      <alignment horizontal="center" vertical="center" wrapText="1"/>
      <protection locked="0"/>
    </xf>
    <xf numFmtId="0" fontId="220" fillId="7" borderId="102" xfId="0" applyNumberFormat="1" applyFont="1" applyFill="1" applyBorder="1" applyAlignment="1" applyProtection="1">
      <alignment horizontal="center" vertical="center" wrapText="1"/>
      <protection locked="0"/>
    </xf>
    <xf numFmtId="0" fontId="220" fillId="7" borderId="103" xfId="0" applyFont="1" applyFill="1" applyBorder="1" applyAlignment="1" applyProtection="1">
      <alignment horizontal="center" vertical="center" wrapText="1"/>
      <protection locked="0"/>
    </xf>
    <xf numFmtId="0" fontId="242" fillId="7" borderId="0" xfId="0" applyNumberFormat="1" applyFont="1" applyFill="1" applyAlignment="1" applyProtection="1">
      <alignment horizontal="center" vertical="center"/>
      <protection locked="0"/>
    </xf>
    <xf numFmtId="0" fontId="242" fillId="7" borderId="0" xfId="0" applyFont="1" applyFill="1" applyAlignment="1" applyProtection="1">
      <alignment horizontal="center" vertical="center"/>
      <protection locked="0"/>
    </xf>
    <xf numFmtId="0" fontId="242" fillId="0" borderId="0" xfId="0" applyFont="1" applyAlignment="1" applyProtection="1">
      <alignment horizontal="center" vertical="center"/>
      <protection locked="0"/>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7" borderId="0" xfId="0" applyFont="1" applyFill="1" applyBorder="1" applyAlignment="1" applyProtection="1">
      <alignment horizontal="center" vertical="center" wrapText="1"/>
      <protection locked="0"/>
    </xf>
    <xf numFmtId="0" fontId="46" fillId="7" borderId="0" xfId="0" applyNumberFormat="1" applyFont="1" applyFill="1" applyBorder="1" applyAlignment="1" applyProtection="1">
      <alignment horizontal="center" vertical="center" wrapText="1"/>
      <protection locked="0"/>
    </xf>
    <xf numFmtId="49" fontId="46" fillId="7" borderId="0" xfId="0" applyNumberFormat="1" applyFont="1" applyFill="1" applyBorder="1" applyAlignment="1" applyProtection="1">
      <alignment horizontal="center" vertical="center" wrapText="1"/>
      <protection locked="0"/>
    </xf>
    <xf numFmtId="0" fontId="220" fillId="7" borderId="0" xfId="0" applyFont="1" applyFill="1" applyBorder="1" applyAlignment="1" applyProtection="1">
      <alignment horizontal="center" vertical="center" wrapText="1"/>
      <protection locked="0"/>
    </xf>
    <xf numFmtId="0" fontId="220" fillId="7" borderId="0" xfId="0" applyNumberFormat="1" applyFont="1" applyFill="1" applyBorder="1" applyAlignment="1" applyProtection="1">
      <alignment horizontal="center" vertical="center" wrapText="1"/>
      <protection locked="0"/>
    </xf>
    <xf numFmtId="0" fontId="220" fillId="7" borderId="35" xfId="0" applyNumberFormat="1" applyFont="1" applyFill="1" applyBorder="1" applyAlignment="1" applyProtection="1">
      <alignment horizontal="center" vertical="center" wrapText="1"/>
      <protection locked="0"/>
    </xf>
    <xf numFmtId="0" fontId="242" fillId="7" borderId="0" xfId="0" applyFont="1" applyFill="1" applyAlignment="1" applyProtection="1">
      <alignment horizontal="center" vertical="center" wrapText="1"/>
      <protection locked="0"/>
    </xf>
    <xf numFmtId="0" fontId="242" fillId="7" borderId="0" xfId="0" applyNumberFormat="1" applyFont="1" applyFill="1" applyAlignment="1" applyProtection="1">
      <alignment horizontal="center"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6" fillId="0" borderId="0" xfId="0" applyFont="1" applyFill="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0" xfId="0" applyNumberFormat="1" applyFont="1" applyFill="1" applyAlignment="1" applyProtection="1">
      <alignment horizontal="center" vertical="center" wrapText="1"/>
      <protection locked="0"/>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49" fillId="7" borderId="1" xfId="0" applyFont="1" applyFill="1" applyBorder="1" applyProtection="1">
      <alignment vertical="center"/>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9" fillId="7" borderId="1"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105" fillId="6" borderId="0" xfId="0" applyFont="1" applyFill="1" applyBorder="1" applyAlignment="1" applyProtection="1">
      <alignment horizontal="center" vertical="center"/>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9"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20" fillId="6" borderId="0" xfId="0" applyFont="1" applyFill="1" applyBorder="1" applyAlignment="1" applyProtection="1">
      <alignment horizontal="left" vertical="center"/>
    </xf>
    <xf numFmtId="0" fontId="242" fillId="6" borderId="0" xfId="0" applyFont="1" applyFill="1" applyBorder="1" applyAlignment="1" applyProtection="1">
      <alignment vertical="center"/>
    </xf>
    <xf numFmtId="0" fontId="242"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0" fontId="50" fillId="0" borderId="24" xfId="0" applyFont="1" applyFill="1" applyBorder="1" applyAlignment="1" applyProtection="1">
      <alignment vertical="center" wrapText="1"/>
      <protection locked="0"/>
    </xf>
    <xf numFmtId="0" fontId="49" fillId="5" borderId="3" xfId="0" applyFont="1" applyFill="1" applyBorder="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107" fillId="6" borderId="1" xfId="0" applyFont="1" applyFill="1" applyBorder="1" applyAlignment="1" applyProtection="1">
      <alignment horizontal="center" vertical="center" wrapText="1"/>
    </xf>
    <xf numFmtId="0" fontId="49" fillId="6" borderId="24" xfId="0" applyFont="1" applyFill="1" applyBorder="1" applyProtection="1">
      <alignment vertical="center"/>
    </xf>
    <xf numFmtId="0" fontId="50" fillId="6" borderId="0" xfId="0" applyFont="1" applyFill="1" applyProtection="1">
      <alignment vertical="center"/>
      <protection locked="0"/>
    </xf>
    <xf numFmtId="0" fontId="119" fillId="0" borderId="24" xfId="0" applyFont="1" applyFill="1" applyBorder="1" applyAlignment="1" applyProtection="1">
      <alignment vertical="center" wrapText="1"/>
      <protection locked="0"/>
    </xf>
    <xf numFmtId="0" fontId="49" fillId="2" borderId="3"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104" fillId="6" borderId="5" xfId="0" applyFont="1" applyFill="1" applyBorder="1" applyAlignment="1" applyProtection="1">
      <alignment horizontal="center" vertical="center" wrapText="1"/>
    </xf>
    <xf numFmtId="0" fontId="111" fillId="6" borderId="22" xfId="0" applyFont="1" applyFill="1" applyBorder="1" applyAlignment="1" applyProtection="1">
      <alignment vertical="center" wrapText="1"/>
    </xf>
    <xf numFmtId="0" fontId="111" fillId="6" borderId="54" xfId="0" applyFont="1" applyFill="1" applyBorder="1" applyAlignment="1" applyProtection="1">
      <alignment horizontal="center" vertical="center"/>
    </xf>
    <xf numFmtId="0" fontId="111" fillId="6" borderId="3" xfId="0" applyFont="1" applyFill="1" applyBorder="1" applyAlignment="1" applyProtection="1">
      <alignment vertical="center" wrapText="1"/>
    </xf>
    <xf numFmtId="0" fontId="119" fillId="0" borderId="49" xfId="0" applyFont="1" applyFill="1" applyBorder="1" applyAlignment="1" applyProtection="1">
      <alignment vertical="center" wrapText="1"/>
      <protection locked="0"/>
    </xf>
    <xf numFmtId="0" fontId="111" fillId="6" borderId="35" xfId="0" applyFont="1" applyFill="1" applyBorder="1" applyAlignment="1" applyProtection="1">
      <alignment vertical="center" wrapText="1"/>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0" fontId="111" fillId="6" borderId="7" xfId="0" applyFont="1" applyFill="1" applyBorder="1" applyAlignment="1" applyProtection="1">
      <alignment vertical="center" wrapText="1"/>
    </xf>
    <xf numFmtId="0" fontId="174" fillId="6" borderId="1" xfId="0" applyFont="1" applyFill="1" applyBorder="1" applyAlignment="1">
      <alignment horizontal="center" vertical="center" wrapText="1"/>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174" fillId="6" borderId="1" xfId="0" applyFont="1" applyFill="1" applyBorder="1" applyAlignment="1">
      <alignment vertical="center" wrapText="1"/>
    </xf>
    <xf numFmtId="0" fontId="49"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46" fillId="2" borderId="1" xfId="2" applyFont="1" applyFill="1" applyBorder="1" applyAlignment="1" applyProtection="1">
      <alignment horizontal="center" vertical="center" wrapText="1"/>
      <protection locked="0"/>
    </xf>
    <xf numFmtId="0" fontId="103"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49" fontId="54" fillId="6" borderId="23" xfId="0" applyNumberFormat="1" applyFont="1" applyFill="1" applyBorder="1" applyAlignment="1" applyProtection="1">
      <alignment vertical="center" wrapText="1"/>
    </xf>
    <xf numFmtId="49" fontId="54" fillId="6" borderId="25" xfId="0" applyNumberFormat="1" applyFont="1" applyFill="1" applyBorder="1" applyAlignment="1" applyProtection="1">
      <alignment vertical="center" wrapText="1"/>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132" fillId="6" borderId="5" xfId="0" applyFont="1" applyFill="1" applyBorder="1" applyAlignment="1" applyProtection="1">
      <alignment vertical="center" wrapText="1"/>
    </xf>
    <xf numFmtId="0" fontId="132" fillId="6" borderId="33"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46" fillId="6" borderId="1" xfId="0" applyFont="1" applyFill="1" applyBorder="1" applyAlignment="1" applyProtection="1">
      <alignment horizontal="center" vertical="center" wrapText="1"/>
      <protection locked="0"/>
    </xf>
    <xf numFmtId="0" fontId="139"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59"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9" fillId="6" borderId="1" xfId="0" applyFont="1" applyFill="1" applyBorder="1">
      <alignment vertical="center"/>
    </xf>
    <xf numFmtId="0" fontId="103" fillId="6" borderId="24" xfId="0" applyFont="1" applyFill="1" applyBorder="1" applyProtection="1">
      <alignment vertical="center"/>
    </xf>
    <xf numFmtId="0" fontId="103" fillId="6" borderId="0" xfId="0" applyFont="1" applyFill="1" applyBorder="1">
      <alignment vertical="center"/>
    </xf>
    <xf numFmtId="0" fontId="103" fillId="6" borderId="56" xfId="0" applyFont="1" applyFill="1" applyBorder="1" applyProtection="1">
      <alignment vertical="center"/>
    </xf>
    <xf numFmtId="0" fontId="59" fillId="6" borderId="18" xfId="1" applyFont="1" applyFill="1" applyBorder="1" applyAlignment="1" applyProtection="1">
      <alignment vertical="center"/>
    </xf>
    <xf numFmtId="0" fontId="219" fillId="6" borderId="23" xfId="0" applyFont="1" applyFill="1" applyBorder="1" applyAlignment="1">
      <alignment horizontal="center" vertical="center"/>
    </xf>
    <xf numFmtId="0" fontId="219" fillId="6" borderId="0" xfId="0" applyFont="1" applyFill="1" applyBorder="1">
      <alignment vertical="center"/>
    </xf>
    <xf numFmtId="0" fontId="219"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6" borderId="23" xfId="0" applyFont="1" applyFill="1" applyBorder="1" applyAlignment="1">
      <alignment horizontal="center" vertical="center"/>
    </xf>
    <xf numFmtId="0" fontId="103" fillId="6" borderId="5" xfId="0" applyFont="1" applyFill="1" applyBorder="1" applyProtection="1">
      <alignment vertical="center"/>
    </xf>
    <xf numFmtId="0" fontId="103" fillId="5" borderId="1" xfId="0" applyFont="1" applyFill="1" applyBorder="1" applyAlignment="1" applyProtection="1">
      <alignment horizontal="center" vertical="center"/>
      <protection locked="0"/>
    </xf>
    <xf numFmtId="0" fontId="103" fillId="6" borderId="25" xfId="0" applyFont="1" applyFill="1" applyBorder="1" applyAlignment="1">
      <alignment horizontal="center" vertical="center"/>
    </xf>
    <xf numFmtId="0" fontId="103" fillId="6" borderId="66" xfId="0" applyFont="1" applyFill="1" applyBorder="1">
      <alignment vertical="center"/>
    </xf>
    <xf numFmtId="0" fontId="103" fillId="6" borderId="47" xfId="0" applyFont="1" applyFill="1" applyBorder="1">
      <alignment vertical="center"/>
    </xf>
    <xf numFmtId="0" fontId="64" fillId="6" borderId="85" xfId="0" applyFont="1" applyFill="1" applyBorder="1" applyAlignment="1" applyProtection="1">
      <alignment horizontal="right" vertical="center"/>
    </xf>
    <xf numFmtId="0" fontId="64" fillId="5" borderId="119" xfId="0" applyFont="1" applyFill="1" applyBorder="1" applyAlignment="1" applyProtection="1">
      <alignment vertical="center"/>
      <protection locked="0"/>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181" fontId="59" fillId="6" borderId="0" xfId="0" applyNumberFormat="1" applyFont="1" applyFill="1" applyBorder="1" applyAlignment="1" applyProtection="1">
      <alignment vertical="center"/>
      <protection locked="0"/>
    </xf>
    <xf numFmtId="0" fontId="59" fillId="6" borderId="0" xfId="0"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7"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8" xfId="0" applyNumberFormat="1" applyFont="1" applyFill="1" applyBorder="1" applyAlignment="1" applyProtection="1">
      <alignment horizontal="center" vertical="center" wrapText="1"/>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3"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0" fillId="6" borderId="95"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4" fillId="5" borderId="119" xfId="0" applyFont="1" applyFill="1" applyBorder="1" applyAlignment="1" applyProtection="1">
      <alignment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horizontal="center" vertical="center"/>
    </xf>
    <xf numFmtId="0" fontId="53" fillId="6" borderId="18" xfId="0" applyFont="1" applyFill="1" applyBorder="1" applyAlignment="1" applyProtection="1"/>
    <xf numFmtId="9" fontId="46" fillId="6" borderId="0" xfId="0" applyNumberFormat="1" applyFont="1" applyFill="1" applyBorder="1" applyAlignment="1" applyProtection="1">
      <alignment horizontal="center" vertical="center" wrapText="1"/>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70" fillId="0" borderId="58" xfId="0" applyFont="1" applyFill="1" applyBorder="1" applyAlignment="1" applyProtection="1">
      <alignment horizontal="center" vertical="center"/>
      <protection locked="0"/>
    </xf>
    <xf numFmtId="0" fontId="53" fillId="0" borderId="58" xfId="0" applyFont="1" applyBorder="1" applyAlignment="1" applyProtection="1">
      <protection locked="0"/>
    </xf>
    <xf numFmtId="9" fontId="46" fillId="0" borderId="58"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vertical="center"/>
      <protection locked="0"/>
    </xf>
    <xf numFmtId="0" fontId="46"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protection locked="0"/>
    </xf>
    <xf numFmtId="0" fontId="51" fillId="0" borderId="58" xfId="0" applyFont="1" applyFill="1" applyBorder="1" applyAlignment="1" applyProtection="1">
      <alignment vertical="center" wrapText="1"/>
      <protection locked="0"/>
    </xf>
    <xf numFmtId="0" fontId="46" fillId="0" borderId="58" xfId="0" applyFont="1" applyFill="1" applyBorder="1" applyAlignment="1" applyProtection="1">
      <alignment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3" fillId="6" borderId="96"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5" fillId="6" borderId="41" xfId="0" applyFont="1" applyFill="1" applyBorder="1" applyAlignment="1" applyProtection="1">
      <alignment horizontal="center" vertical="center" wrapText="1"/>
    </xf>
    <xf numFmtId="0" fontId="55" fillId="6" borderId="8" xfId="0" applyFont="1" applyFill="1" applyBorder="1" applyAlignment="1" applyProtection="1">
      <alignment horizontal="center" vertical="center" wrapText="1"/>
    </xf>
    <xf numFmtId="0" fontId="55" fillId="6" borderId="17" xfId="0" applyFont="1" applyFill="1" applyBorder="1" applyAlignment="1" applyProtection="1">
      <alignment horizontal="left" vertical="center" wrapText="1"/>
    </xf>
    <xf numFmtId="0" fontId="55" fillId="5" borderId="17" xfId="0" applyFont="1" applyFill="1" applyBorder="1" applyAlignment="1" applyProtection="1">
      <alignment horizontal="center" vertical="center" wrapText="1"/>
      <protection locked="0"/>
    </xf>
    <xf numFmtId="0" fontId="55" fillId="5" borderId="9" xfId="0" applyFont="1" applyFill="1" applyBorder="1" applyAlignment="1" applyProtection="1">
      <alignment horizontal="right" vertical="center" wrapText="1"/>
      <protection locked="0"/>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left" vertical="center"/>
    </xf>
    <xf numFmtId="0" fontId="55" fillId="6" borderId="13" xfId="0" applyFont="1" applyFill="1" applyBorder="1" applyAlignment="1" applyProtection="1">
      <alignment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34" xfId="0" applyFont="1" applyFill="1" applyBorder="1" applyAlignment="1" applyProtection="1">
      <alignment vertical="center"/>
    </xf>
    <xf numFmtId="0" fontId="52"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10" fontId="55" fillId="7" borderId="0" xfId="0" applyNumberFormat="1" applyFont="1" applyFill="1" applyAlignment="1" applyProtection="1">
      <alignment horizontal="center" vertical="center" wrapText="1"/>
    </xf>
    <xf numFmtId="10" fontId="55" fillId="0" borderId="0" xfId="0" applyNumberFormat="1" applyFont="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0" fontId="53" fillId="6" borderId="26" xfId="8" applyFont="1" applyFill="1" applyBorder="1" applyAlignment="1" applyProtection="1">
      <alignment horizontal="center" vertical="center" wrapText="1"/>
      <protection locked="0"/>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9"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9" fillId="0" borderId="1" xfId="0" applyNumberFormat="1" applyFont="1" applyFill="1" applyBorder="1" applyAlignment="1" applyProtection="1">
      <alignment horizontal="center" vertical="center" wrapText="1"/>
      <protection locked="0"/>
    </xf>
    <xf numFmtId="0" fontId="179"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9"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5" fillId="0" borderId="0" xfId="0" applyFont="1" applyAlignment="1" applyProtection="1">
      <alignment horizontal="left" vertical="center" wrapText="1"/>
    </xf>
    <xf numFmtId="0" fontId="185"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131" fillId="6" borderId="0" xfId="0" applyFont="1" applyFill="1">
      <alignment vertical="center"/>
    </xf>
    <xf numFmtId="0" fontId="131" fillId="6" borderId="1" xfId="0" applyFont="1" applyFill="1" applyBorder="1" applyAlignment="1">
      <alignment vertical="center" wrapText="1"/>
    </xf>
    <xf numFmtId="0" fontId="131" fillId="5" borderId="1" xfId="0" applyFont="1" applyFill="1" applyBorder="1" applyAlignment="1" applyProtection="1">
      <alignment horizontal="center" vertical="center"/>
      <protection locked="0"/>
    </xf>
    <xf numFmtId="0" fontId="54" fillId="6" borderId="96"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0" fontId="151" fillId="12" borderId="126" xfId="9" applyFont="1" applyFill="1" applyBorder="1" applyAlignment="1" applyProtection="1">
      <alignment vertical="center" wrapText="1"/>
    </xf>
    <xf numFmtId="0" fontId="151" fillId="12" borderId="155" xfId="9" applyFont="1" applyFill="1" applyBorder="1" applyAlignment="1" applyProtection="1">
      <alignment vertical="center" wrapText="1"/>
    </xf>
    <xf numFmtId="0" fontId="107" fillId="0" borderId="0" xfId="9" applyFont="1" applyFill="1" applyBorder="1" applyAlignment="1" applyProtection="1">
      <alignment horizontal="center" vertical="center"/>
      <protection locked="0"/>
    </xf>
    <xf numFmtId="0" fontId="152" fillId="14" borderId="0" xfId="9" applyFont="1" applyFill="1" applyBorder="1" applyAlignment="1" applyProtection="1">
      <alignment horizontal="center" vertical="center"/>
      <protection locked="0"/>
    </xf>
    <xf numFmtId="0" fontId="119" fillId="6" borderId="0" xfId="0" applyFont="1" applyFill="1" applyProtection="1">
      <alignment vertical="center"/>
      <protection locked="0"/>
    </xf>
    <xf numFmtId="0" fontId="151" fillId="12" borderId="126" xfId="9" applyFont="1" applyFill="1" applyBorder="1" applyAlignment="1" applyProtection="1">
      <alignment horizontal="center" vertical="center" wrapText="1"/>
    </xf>
    <xf numFmtId="0" fontId="144" fillId="16" borderId="0" xfId="9" applyFont="1" applyFill="1">
      <alignment vertical="center"/>
    </xf>
    <xf numFmtId="0" fontId="119" fillId="5" borderId="0" xfId="9" applyFont="1" applyFill="1">
      <alignment vertical="center"/>
    </xf>
    <xf numFmtId="0" fontId="107" fillId="16" borderId="0" xfId="9" applyFont="1" applyFill="1">
      <alignment vertical="center"/>
    </xf>
    <xf numFmtId="0" fontId="103"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7" fillId="16" borderId="122" xfId="9" applyFont="1" applyFill="1" applyBorder="1" applyAlignment="1">
      <alignment horizontal="center" vertical="center"/>
    </xf>
    <xf numFmtId="0" fontId="107" fillId="16" borderId="0" xfId="9" applyFont="1" applyFill="1" applyBorder="1" applyAlignment="1">
      <alignment horizontal="center" vertical="center"/>
    </xf>
    <xf numFmtId="0" fontId="152" fillId="16" borderId="0" xfId="9" applyFont="1" applyFill="1" applyBorder="1" applyAlignment="1" applyProtection="1">
      <alignment horizontal="center" vertical="center"/>
      <protection locked="0"/>
    </xf>
    <xf numFmtId="0" fontId="107" fillId="16" borderId="0" xfId="9" applyFont="1" applyFill="1" applyAlignment="1">
      <alignment horizontal="center" vertical="center"/>
    </xf>
    <xf numFmtId="0" fontId="104" fillId="16" borderId="0" xfId="9" applyFont="1" applyFill="1" applyAlignment="1">
      <alignment horizontal="center" vertical="center"/>
    </xf>
    <xf numFmtId="10" fontId="104" fillId="16" borderId="0" xfId="9" applyNumberFormat="1" applyFont="1" applyFill="1" applyAlignment="1">
      <alignment horizontal="center" vertical="center"/>
    </xf>
    <xf numFmtId="0" fontId="146" fillId="16" borderId="0" xfId="9" applyFont="1" applyFill="1">
      <alignment vertical="center"/>
    </xf>
    <xf numFmtId="0" fontId="151" fillId="12" borderId="155" xfId="9" applyFont="1" applyFill="1" applyBorder="1" applyAlignment="1" applyProtection="1">
      <alignment horizontal="center" vertical="center" wrapText="1"/>
    </xf>
    <xf numFmtId="192" fontId="125" fillId="0" borderId="1" xfId="5" applyNumberFormat="1" applyFont="1" applyFill="1" applyBorder="1" applyAlignment="1">
      <alignment horizontal="right" vertical="center"/>
    </xf>
    <xf numFmtId="0" fontId="151" fillId="12" borderId="126" xfId="9" applyFont="1" applyFill="1" applyBorder="1" applyAlignment="1" applyProtection="1">
      <alignment horizontal="center" vertical="center" wrapText="1"/>
    </xf>
    <xf numFmtId="0" fontId="252" fillId="0" borderId="1" xfId="0" applyFont="1" applyFill="1" applyBorder="1" applyAlignment="1">
      <alignment horizontal="center" vertical="center"/>
    </xf>
    <xf numFmtId="0" fontId="252" fillId="0" borderId="1" xfId="0" applyFont="1" applyFill="1" applyBorder="1" applyAlignment="1">
      <alignment horizontal="center" vertical="center" wrapText="1"/>
    </xf>
    <xf numFmtId="0" fontId="99" fillId="0" borderId="1" xfId="0" applyFont="1" applyBorder="1" applyAlignment="1">
      <alignment horizontal="center" vertical="center"/>
    </xf>
    <xf numFmtId="0" fontId="252" fillId="0" borderId="1" xfId="0" applyNumberFormat="1" applyFont="1" applyFill="1" applyBorder="1" applyAlignment="1">
      <alignment horizontal="center"/>
    </xf>
    <xf numFmtId="0" fontId="252" fillId="0" borderId="1" xfId="0" applyFont="1" applyFill="1" applyBorder="1" applyAlignment="1">
      <alignment horizontal="center"/>
    </xf>
    <xf numFmtId="186" fontId="252" fillId="0" borderId="1" xfId="0" applyNumberFormat="1" applyFont="1" applyFill="1" applyBorder="1"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253" fillId="0" borderId="1" xfId="2" applyFont="1" applyFill="1" applyBorder="1" applyAlignment="1"/>
    <xf numFmtId="0" fontId="253" fillId="0" borderId="0" xfId="2" applyFont="1" applyFill="1" applyBorder="1" applyAlignment="1"/>
    <xf numFmtId="0" fontId="23" fillId="0" borderId="1" xfId="2" applyFont="1" applyFill="1" applyBorder="1" applyAlignment="1">
      <alignment horizontal="center"/>
    </xf>
    <xf numFmtId="0" fontId="252" fillId="0" borderId="1" xfId="0" applyFont="1" applyBorder="1" applyAlignment="1">
      <alignment horizontal="center"/>
    </xf>
    <xf numFmtId="0" fontId="252" fillId="9" borderId="1" xfId="0" applyNumberFormat="1" applyFont="1" applyFill="1" applyBorder="1" applyAlignment="1">
      <alignment horizontal="center"/>
    </xf>
    <xf numFmtId="0" fontId="252" fillId="0" borderId="1" xfId="0" applyFont="1" applyBorder="1" applyAlignment="1">
      <alignment horizontal="center" vertical="center"/>
    </xf>
    <xf numFmtId="0" fontId="252" fillId="9" borderId="13" xfId="0" applyFont="1" applyFill="1" applyBorder="1" applyAlignment="1">
      <alignment horizontal="center"/>
    </xf>
    <xf numFmtId="186" fontId="252" fillId="0" borderId="13" xfId="0" applyNumberFormat="1" applyFont="1" applyFill="1" applyBorder="1" applyAlignment="1">
      <alignment horizontal="center"/>
    </xf>
    <xf numFmtId="0" fontId="252" fillId="0" borderId="13" xfId="0" applyFont="1" applyFill="1" applyBorder="1" applyAlignment="1">
      <alignment horizontal="center"/>
    </xf>
    <xf numFmtId="0" fontId="0" fillId="0" borderId="1" xfId="0" applyFont="1" applyBorder="1" applyAlignment="1">
      <alignment horizontal="center" vertical="center"/>
    </xf>
    <xf numFmtId="0" fontId="252" fillId="0" borderId="0" xfId="0" applyNumberFormat="1" applyFont="1" applyFill="1" applyBorder="1" applyAlignment="1">
      <alignment horizontal="center"/>
    </xf>
    <xf numFmtId="186" fontId="252" fillId="0" borderId="15" xfId="0" applyNumberFormat="1" applyFont="1" applyFill="1" applyBorder="1" applyAlignment="1">
      <alignment horizontal="center"/>
    </xf>
    <xf numFmtId="0" fontId="129" fillId="0" borderId="65" xfId="0" applyFont="1" applyBorder="1" applyAlignment="1">
      <alignment horizontal="center" vertical="center"/>
    </xf>
    <xf numFmtId="0" fontId="254" fillId="0" borderId="65" xfId="0" applyFont="1" applyBorder="1" applyAlignment="1">
      <alignment horizontal="center" vertical="center"/>
    </xf>
    <xf numFmtId="0" fontId="129" fillId="0" borderId="43" xfId="0" applyFont="1" applyBorder="1" applyAlignment="1">
      <alignment horizontal="center" vertical="center"/>
    </xf>
    <xf numFmtId="0" fontId="254" fillId="0" borderId="43" xfId="0" applyFont="1" applyBorder="1" applyAlignment="1">
      <alignment horizontal="center" vertical="center"/>
    </xf>
    <xf numFmtId="0" fontId="143" fillId="0" borderId="1" xfId="0" applyFont="1" applyBorder="1" applyAlignment="1">
      <alignment horizontal="center" vertical="center"/>
    </xf>
    <xf numFmtId="0" fontId="37" fillId="0" borderId="2" xfId="0" applyFont="1" applyBorder="1" applyAlignment="1">
      <alignment horizontal="center" vertical="center"/>
    </xf>
    <xf numFmtId="2" fontId="189" fillId="0" borderId="1" xfId="0" applyNumberFormat="1" applyFont="1" applyBorder="1" applyAlignment="1">
      <alignment horizontal="center" vertical="center"/>
    </xf>
    <xf numFmtId="1" fontId="143" fillId="0" borderId="1" xfId="0" applyNumberFormat="1" applyFont="1" applyBorder="1" applyAlignment="1">
      <alignment horizontal="center" vertical="center"/>
    </xf>
    <xf numFmtId="0" fontId="173" fillId="0" borderId="43" xfId="0" applyFont="1" applyBorder="1" applyAlignment="1">
      <alignment horizontal="center" vertical="center"/>
    </xf>
    <xf numFmtId="0" fontId="189" fillId="0" borderId="1" xfId="0" applyFont="1" applyBorder="1" applyAlignment="1">
      <alignment horizontal="center" vertical="center"/>
    </xf>
    <xf numFmtId="0" fontId="189" fillId="0" borderId="1" xfId="0" applyFont="1" applyBorder="1" applyAlignment="1">
      <alignment horizontal="center" vertical="center" wrapText="1"/>
    </xf>
    <xf numFmtId="2" fontId="143" fillId="0" borderId="1" xfId="0" applyNumberFormat="1" applyFont="1" applyBorder="1" applyAlignment="1">
      <alignment horizontal="center" vertical="center"/>
    </xf>
    <xf numFmtId="2" fontId="143" fillId="0" borderId="0" xfId="0" applyNumberFormat="1" applyFont="1" applyFill="1" applyBorder="1" applyAlignment="1">
      <alignment horizontal="center" vertical="center"/>
    </xf>
    <xf numFmtId="0" fontId="0" fillId="0" borderId="1" xfId="0" applyFont="1" applyBorder="1">
      <alignment vertical="center"/>
    </xf>
    <xf numFmtId="0" fontId="0" fillId="0" borderId="1" xfId="0" applyBorder="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254" fillId="0" borderId="1" xfId="0" applyFont="1" applyBorder="1" applyAlignment="1">
      <alignment horizontal="center" vertical="center"/>
    </xf>
    <xf numFmtId="0" fontId="0" fillId="0" borderId="1" xfId="0" applyFill="1" applyBorder="1" applyAlignment="1">
      <alignment horizontal="center" vertical="center"/>
    </xf>
    <xf numFmtId="0" fontId="0" fillId="9" borderId="1" xfId="0" applyFill="1" applyBorder="1" applyAlignment="1">
      <alignment horizontal="center" vertical="center"/>
    </xf>
    <xf numFmtId="179" fontId="0" fillId="0" borderId="1" xfId="0" applyNumberFormat="1" applyBorder="1" applyAlignment="1">
      <alignment horizontal="center" vertical="center"/>
    </xf>
    <xf numFmtId="0" fontId="144" fillId="0" borderId="43" xfId="0" applyFont="1" applyBorder="1" applyAlignment="1">
      <alignment horizontal="center" vertical="center"/>
    </xf>
    <xf numFmtId="0" fontId="255" fillId="0" borderId="43" xfId="0" applyFont="1" applyBorder="1" applyAlignment="1">
      <alignment horizontal="center" vertical="center"/>
    </xf>
    <xf numFmtId="0" fontId="129" fillId="9" borderId="1" xfId="0" applyFont="1" applyFill="1" applyBorder="1" applyAlignment="1">
      <alignment horizontal="center" vertical="center"/>
    </xf>
    <xf numFmtId="0" fontId="254" fillId="9" borderId="1" xfId="0" applyFont="1" applyFill="1" applyBorder="1" applyAlignment="1">
      <alignment horizontal="center" vertical="center"/>
    </xf>
    <xf numFmtId="0" fontId="141" fillId="0" borderId="43" xfId="0" applyFont="1" applyBorder="1" applyAlignment="1">
      <alignment horizontal="center" vertical="center"/>
    </xf>
    <xf numFmtId="0" fontId="98" fillId="0" borderId="0" xfId="0" applyFont="1">
      <alignment vertical="center"/>
    </xf>
    <xf numFmtId="0" fontId="253" fillId="0" borderId="1" xfId="2" applyFont="1" applyFill="1" applyBorder="1" applyAlignment="1">
      <alignment horizontal="center"/>
    </xf>
    <xf numFmtId="179" fontId="0" fillId="0" borderId="0" xfId="0" applyNumberFormat="1">
      <alignment vertical="center"/>
    </xf>
    <xf numFmtId="0" fontId="37" fillId="0" borderId="0" xfId="17" applyFill="1" applyAlignment="1" applyProtection="1">
      <alignment horizontal="center"/>
      <protection locked="0"/>
    </xf>
    <xf numFmtId="0" fontId="19" fillId="0" borderId="0" xfId="0" applyFont="1" applyAlignment="1">
      <alignment horizontal="center" vertical="center"/>
    </xf>
    <xf numFmtId="0" fontId="37" fillId="0" borderId="1" xfId="17" applyFill="1" applyBorder="1" applyAlignment="1" applyProtection="1">
      <alignment horizontal="center"/>
      <protection locked="0"/>
    </xf>
    <xf numFmtId="197" fontId="19" fillId="0" borderId="1" xfId="17" applyNumberFormat="1" applyFont="1" applyFill="1" applyBorder="1" applyAlignment="1" applyProtection="1">
      <alignment horizontal="center" vertical="center" shrinkToFit="1"/>
      <protection locked="0"/>
    </xf>
    <xf numFmtId="177" fontId="37" fillId="0" borderId="1" xfId="17" applyNumberFormat="1" applyFill="1" applyBorder="1" applyAlignment="1" applyProtection="1">
      <alignment horizontal="center"/>
      <protection locked="0"/>
    </xf>
    <xf numFmtId="49" fontId="19" fillId="0" borderId="1" xfId="17" applyNumberFormat="1" applyFont="1" applyFill="1" applyBorder="1" applyAlignment="1" applyProtection="1">
      <alignment horizontal="center" vertical="center" shrinkToFit="1"/>
    </xf>
    <xf numFmtId="179" fontId="19" fillId="0" borderId="1" xfId="17" applyNumberFormat="1" applyFont="1" applyFill="1" applyBorder="1" applyAlignment="1" applyProtection="1">
      <alignment horizontal="center" vertical="center" shrinkToFit="1"/>
    </xf>
    <xf numFmtId="0" fontId="19" fillId="0" borderId="1" xfId="0" applyFont="1" applyBorder="1" applyAlignment="1">
      <alignment horizontal="center" vertical="center"/>
    </xf>
    <xf numFmtId="177" fontId="37" fillId="0" borderId="1" xfId="17" applyNumberFormat="1" applyFont="1" applyFill="1" applyBorder="1" applyAlignment="1" applyProtection="1">
      <alignment horizontal="center"/>
      <protection locked="0"/>
    </xf>
    <xf numFmtId="0" fontId="37" fillId="0" borderId="0" xfId="0" applyFont="1">
      <alignment vertical="center"/>
    </xf>
    <xf numFmtId="179" fontId="19" fillId="0" borderId="0" xfId="17" applyNumberFormat="1" applyFont="1" applyFill="1" applyBorder="1" applyAlignment="1" applyProtection="1">
      <alignment horizontal="center" vertical="center" shrinkToFit="1"/>
    </xf>
    <xf numFmtId="0" fontId="19" fillId="0" borderId="0" xfId="0" applyFont="1" applyBorder="1" applyAlignment="1">
      <alignment horizontal="center" vertical="center"/>
    </xf>
    <xf numFmtId="177" fontId="258" fillId="0" borderId="1" xfId="17" applyNumberFormat="1" applyFont="1" applyFill="1" applyBorder="1" applyAlignment="1" applyProtection="1">
      <alignment horizontal="center"/>
      <protection locked="0"/>
    </xf>
    <xf numFmtId="49" fontId="199" fillId="0" borderId="1" xfId="17" applyNumberFormat="1" applyFont="1" applyFill="1" applyBorder="1" applyAlignment="1" applyProtection="1">
      <alignment horizontal="center" vertical="center" shrinkToFit="1"/>
    </xf>
    <xf numFmtId="179" fontId="199" fillId="0" borderId="1" xfId="17" applyNumberFormat="1" applyFont="1" applyFill="1" applyBorder="1" applyAlignment="1" applyProtection="1">
      <alignment horizontal="center" vertical="center" shrinkToFit="1"/>
    </xf>
    <xf numFmtId="0" fontId="199" fillId="0" borderId="1" xfId="0" applyFont="1" applyBorder="1" applyAlignment="1">
      <alignment horizontal="center" vertical="center"/>
    </xf>
    <xf numFmtId="0" fontId="258" fillId="0" borderId="0" xfId="0" applyFont="1">
      <alignment vertical="center"/>
    </xf>
    <xf numFmtId="49" fontId="83" fillId="0" borderId="1" xfId="17" applyNumberFormat="1" applyFont="1" applyFill="1" applyBorder="1" applyAlignment="1" applyProtection="1">
      <alignment horizontal="center" vertical="center" shrinkToFit="1"/>
    </xf>
    <xf numFmtId="179" fontId="83" fillId="0" borderId="1" xfId="17" applyNumberFormat="1" applyFont="1" applyFill="1" applyBorder="1" applyAlignment="1" applyProtection="1">
      <alignment horizontal="center" vertical="center" shrinkToFit="1"/>
    </xf>
    <xf numFmtId="49" fontId="83" fillId="0" borderId="1" xfId="17" applyNumberFormat="1" applyFont="1" applyFill="1" applyBorder="1" applyAlignment="1" applyProtection="1">
      <alignment horizontal="center" vertical="center"/>
    </xf>
    <xf numFmtId="179" fontId="143" fillId="0" borderId="1" xfId="17" applyNumberFormat="1" applyFont="1" applyFill="1" applyBorder="1" applyAlignment="1" applyProtection="1">
      <alignment horizontal="center" vertical="center" shrinkToFit="1"/>
    </xf>
    <xf numFmtId="179" fontId="0" fillId="0" borderId="1" xfId="0" applyNumberFormat="1" applyBorder="1">
      <alignment vertical="center"/>
    </xf>
    <xf numFmtId="0" fontId="258" fillId="0" borderId="1" xfId="0" applyFont="1" applyBorder="1">
      <alignment vertical="center"/>
    </xf>
    <xf numFmtId="179" fontId="258" fillId="0" borderId="1" xfId="0" applyNumberFormat="1" applyFont="1" applyBorder="1">
      <alignment vertical="center"/>
    </xf>
    <xf numFmtId="0" fontId="199" fillId="0" borderId="0" xfId="0" applyFont="1" applyAlignment="1">
      <alignment horizontal="center" vertical="center"/>
    </xf>
    <xf numFmtId="0" fontId="260" fillId="0" borderId="1" xfId="0" applyFont="1" applyBorder="1">
      <alignment vertical="center"/>
    </xf>
    <xf numFmtId="179" fontId="260" fillId="0" borderId="1" xfId="0" applyNumberFormat="1" applyFont="1" applyBorder="1">
      <alignment vertical="center"/>
    </xf>
    <xf numFmtId="179" fontId="19" fillId="0" borderId="0" xfId="0" applyNumberFormat="1" applyFont="1" applyAlignment="1">
      <alignment horizontal="center" vertical="center"/>
    </xf>
    <xf numFmtId="179" fontId="199" fillId="0" borderId="0" xfId="0" applyNumberFormat="1" applyFont="1" applyAlignment="1">
      <alignment horizontal="center" vertical="center"/>
    </xf>
    <xf numFmtId="0" fontId="0" fillId="0" borderId="1" xfId="0" applyFill="1" applyBorder="1">
      <alignment vertical="center"/>
    </xf>
    <xf numFmtId="0" fontId="260" fillId="0" borderId="15" xfId="0" applyFont="1" applyFill="1" applyBorder="1">
      <alignment vertical="center"/>
    </xf>
    <xf numFmtId="0" fontId="0" fillId="5" borderId="0" xfId="0" applyFill="1">
      <alignment vertical="center"/>
    </xf>
    <xf numFmtId="0" fontId="37" fillId="5" borderId="0" xfId="0" applyFont="1" applyFill="1" applyAlignment="1">
      <alignment vertical="center" wrapText="1"/>
    </xf>
    <xf numFmtId="179" fontId="0" fillId="5" borderId="0" xfId="0" applyNumberFormat="1" applyFill="1">
      <alignmen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176" fontId="143" fillId="0" borderId="1" xfId="0" applyNumberFormat="1" applyFont="1" applyBorder="1" applyAlignment="1">
      <alignment horizontal="center" vertical="center"/>
    </xf>
    <xf numFmtId="179" fontId="143" fillId="0" borderId="1" xfId="0" applyNumberFormat="1" applyFont="1" applyBorder="1" applyAlignment="1">
      <alignment horizontal="center" vertical="center"/>
    </xf>
    <xf numFmtId="0" fontId="19" fillId="0" borderId="0" xfId="17" applyNumberFormat="1" applyFont="1" applyFill="1" applyBorder="1" applyAlignment="1" applyProtection="1">
      <alignment horizontal="center" vertical="center" shrinkToFit="1"/>
    </xf>
    <xf numFmtId="49" fontId="37" fillId="0" borderId="1" xfId="17" applyNumberFormat="1" applyFill="1" applyBorder="1" applyAlignment="1" applyProtection="1">
      <alignment horizontal="center"/>
      <protection locked="0"/>
    </xf>
    <xf numFmtId="0" fontId="37" fillId="0" borderId="1" xfId="0" applyFont="1" applyBorder="1" applyAlignment="1">
      <alignment horizontal="center" vertical="center"/>
    </xf>
    <xf numFmtId="0" fontId="98" fillId="0" borderId="1" xfId="0" applyFont="1" applyBorder="1" applyAlignment="1">
      <alignment horizontal="center" vertical="center"/>
    </xf>
    <xf numFmtId="0" fontId="143" fillId="0" borderId="0" xfId="0" applyFont="1" applyBorder="1" applyAlignment="1">
      <alignment horizontal="center" vertical="center"/>
    </xf>
    <xf numFmtId="2" fontId="189" fillId="0" borderId="0" xfId="0" applyNumberFormat="1" applyFont="1" applyBorder="1" applyAlignment="1">
      <alignment horizontal="center" vertical="center"/>
    </xf>
    <xf numFmtId="2" fontId="143" fillId="0" borderId="0" xfId="0" applyNumberFormat="1" applyFont="1" applyBorder="1" applyAlignment="1">
      <alignment horizontal="center" vertical="center"/>
    </xf>
    <xf numFmtId="0" fontId="49" fillId="6" borderId="10"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xf>
    <xf numFmtId="0" fontId="174" fillId="6" borderId="1" xfId="0" applyFont="1" applyFill="1" applyBorder="1" applyAlignment="1">
      <alignment horizontal="center" vertical="center" wrapText="1"/>
    </xf>
    <xf numFmtId="0" fontId="49" fillId="6" borderId="5" xfId="0" applyFont="1" applyFill="1" applyBorder="1" applyAlignment="1" applyProtection="1">
      <alignment horizontal="left" vertical="center"/>
    </xf>
    <xf numFmtId="0" fontId="104" fillId="6" borderId="1"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55" fillId="9" borderId="49" xfId="1" applyNumberFormat="1" applyFont="1" applyFill="1" applyBorder="1" applyAlignment="1" applyProtection="1">
      <alignment horizontal="center" vertical="center"/>
      <protection locked="0"/>
    </xf>
    <xf numFmtId="0" fontId="52" fillId="6" borderId="63" xfId="0" applyFont="1" applyFill="1" applyBorder="1" applyAlignment="1" applyProtection="1">
      <alignment horizontal="center" vertical="center" wrapText="1"/>
    </xf>
    <xf numFmtId="0" fontId="52" fillId="6" borderId="34" xfId="0" applyFont="1" applyFill="1" applyBorder="1" applyAlignment="1" applyProtection="1">
      <alignment horizontal="right" vertical="center" wrapText="1"/>
    </xf>
    <xf numFmtId="0" fontId="52" fillId="6" borderId="65" xfId="0" applyFont="1" applyFill="1" applyBorder="1" applyAlignment="1" applyProtection="1">
      <alignment horizontal="center" vertical="center"/>
    </xf>
    <xf numFmtId="0" fontId="52" fillId="6" borderId="0" xfId="0" applyFont="1" applyFill="1" applyBorder="1" applyAlignment="1" applyProtection="1">
      <alignment horizontal="right" vertical="center" wrapText="1"/>
    </xf>
    <xf numFmtId="0" fontId="52" fillId="6" borderId="63" xfId="0" applyFont="1" applyFill="1" applyBorder="1" applyAlignment="1" applyProtection="1">
      <alignment horizontal="right" vertical="center" wrapText="1"/>
    </xf>
    <xf numFmtId="0" fontId="53" fillId="6" borderId="64" xfId="0" applyFont="1" applyFill="1" applyBorder="1" applyAlignment="1" applyProtection="1">
      <alignment horizontal="center" vertical="center"/>
    </xf>
    <xf numFmtId="49" fontId="53" fillId="0" borderId="10" xfId="0" applyNumberFormat="1" applyFont="1" applyFill="1" applyBorder="1" applyAlignment="1" applyProtection="1">
      <alignment horizontal="center" vertical="center" wrapText="1"/>
      <protection locked="0"/>
    </xf>
    <xf numFmtId="49" fontId="53" fillId="6" borderId="0" xfId="0" applyNumberFormat="1" applyFont="1" applyFill="1" applyBorder="1" applyAlignment="1" applyProtection="1">
      <alignment horizontal="center" vertical="center" wrapText="1"/>
      <protection locked="0"/>
    </xf>
    <xf numFmtId="0" fontId="53" fillId="0" borderId="8" xfId="0" applyNumberFormat="1" applyFont="1" applyFill="1" applyBorder="1" applyAlignment="1" applyProtection="1">
      <alignment horizontal="center" vertical="center" wrapText="1"/>
      <protection locked="0"/>
    </xf>
    <xf numFmtId="49" fontId="97" fillId="0" borderId="24" xfId="0" applyNumberFormat="1"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3" fillId="0" borderId="24" xfId="0" applyFont="1" applyBorder="1" applyAlignment="1" applyProtection="1">
      <alignment horizontal="center" vertical="center" wrapText="1"/>
      <protection locked="0"/>
    </xf>
    <xf numFmtId="0" fontId="97" fillId="0" borderId="24" xfId="0" applyFont="1" applyBorder="1" applyAlignment="1" applyProtection="1">
      <alignment horizontal="center" vertical="center" wrapText="1"/>
      <protection locked="0"/>
    </xf>
    <xf numFmtId="0" fontId="53" fillId="6" borderId="0"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center" vertical="center" wrapText="1"/>
    </xf>
    <xf numFmtId="0" fontId="53" fillId="6" borderId="32" xfId="0" applyFont="1" applyFill="1" applyBorder="1" applyAlignment="1" applyProtection="1">
      <alignment horizontal="center" vertical="center" wrapText="1"/>
    </xf>
    <xf numFmtId="0" fontId="97" fillId="0" borderId="49" xfId="0" applyFont="1" applyBorder="1" applyAlignment="1" applyProtection="1">
      <alignment horizontal="center" vertical="center"/>
      <protection locked="0"/>
    </xf>
    <xf numFmtId="0" fontId="52" fillId="6" borderId="0" xfId="0" applyFont="1" applyFill="1" applyBorder="1" applyAlignment="1" applyProtection="1">
      <alignment horizontal="center" vertical="center" wrapText="1"/>
      <protection locked="0"/>
    </xf>
    <xf numFmtId="0" fontId="262" fillId="6" borderId="0" xfId="0" applyFont="1" applyFill="1" applyBorder="1" applyAlignment="1" applyProtection="1">
      <alignment horizontal="center" vertical="center"/>
    </xf>
    <xf numFmtId="0" fontId="262" fillId="6" borderId="105" xfId="0" applyFont="1" applyFill="1" applyBorder="1" applyAlignment="1" applyProtection="1">
      <alignment horizontal="center" vertical="center"/>
    </xf>
    <xf numFmtId="0" fontId="52" fillId="6" borderId="0" xfId="0" applyFont="1" applyFill="1" applyBorder="1" applyAlignment="1" applyProtection="1">
      <alignment horizontal="right" vertical="center" wrapText="1"/>
      <protection locked="0"/>
    </xf>
    <xf numFmtId="0" fontId="52" fillId="6" borderId="16" xfId="0" applyFont="1" applyFill="1" applyBorder="1" applyAlignment="1" applyProtection="1">
      <alignment horizontal="center" vertical="center" wrapText="1"/>
    </xf>
    <xf numFmtId="0" fontId="52" fillId="6" borderId="16" xfId="0" applyFont="1" applyFill="1" applyBorder="1" applyAlignment="1" applyProtection="1">
      <alignment horizontal="right" vertical="center" wrapText="1"/>
    </xf>
    <xf numFmtId="0" fontId="52" fillId="6" borderId="31" xfId="0" applyFont="1" applyFill="1" applyBorder="1" applyAlignment="1" applyProtection="1">
      <alignment horizontal="center" vertical="center" wrapText="1"/>
    </xf>
    <xf numFmtId="0" fontId="52" fillId="6" borderId="82" xfId="0" applyFont="1" applyFill="1" applyBorder="1" applyAlignment="1" applyProtection="1">
      <alignment horizontal="right" vertical="center" wrapText="1"/>
    </xf>
    <xf numFmtId="0" fontId="52" fillId="6" borderId="27" xfId="0" applyFont="1" applyFill="1" applyBorder="1" applyAlignment="1" applyProtection="1">
      <alignment vertical="center" wrapText="1"/>
    </xf>
    <xf numFmtId="49" fontId="53" fillId="6" borderId="62" xfId="0" applyNumberFormat="1" applyFont="1" applyFill="1" applyBorder="1" applyAlignment="1" applyProtection="1">
      <alignment horizontal="center" vertical="center" wrapText="1"/>
    </xf>
    <xf numFmtId="49" fontId="52" fillId="6" borderId="27" xfId="0" applyNumberFormat="1" applyFont="1" applyFill="1" applyBorder="1" applyAlignment="1" applyProtection="1">
      <alignment vertical="center" wrapText="1"/>
    </xf>
    <xf numFmtId="0" fontId="53" fillId="6" borderId="41" xfId="0" applyFont="1" applyFill="1" applyBorder="1" applyAlignment="1" applyProtection="1">
      <alignment horizontal="center" vertical="center" wrapText="1"/>
    </xf>
    <xf numFmtId="49" fontId="53" fillId="6" borderId="24" xfId="0" applyNumberFormat="1" applyFont="1" applyFill="1" applyBorder="1" applyAlignment="1" applyProtection="1">
      <alignment horizontal="center" vertical="center" wrapText="1"/>
    </xf>
    <xf numFmtId="49" fontId="52" fillId="6" borderId="80" xfId="0" applyNumberFormat="1" applyFont="1" applyFill="1" applyBorder="1" applyAlignment="1" applyProtection="1">
      <alignment vertical="center" wrapText="1"/>
    </xf>
    <xf numFmtId="0" fontId="53" fillId="0" borderId="24" xfId="0" applyNumberFormat="1" applyFont="1" applyFill="1" applyBorder="1" applyAlignment="1" applyProtection="1">
      <alignment horizontal="center" vertical="center" wrapText="1"/>
      <protection locked="0"/>
    </xf>
    <xf numFmtId="0" fontId="53" fillId="5" borderId="24" xfId="0" applyNumberFormat="1" applyFont="1" applyFill="1" applyBorder="1" applyAlignment="1" applyProtection="1">
      <alignment horizontal="center" vertical="center" wrapText="1"/>
      <protection locked="0"/>
    </xf>
    <xf numFmtId="0" fontId="53" fillId="7" borderId="0" xfId="0" applyFont="1" applyFill="1" applyAlignment="1" applyProtection="1">
      <alignment horizontal="center" vertical="center" wrapText="1"/>
      <protection locked="0"/>
    </xf>
    <xf numFmtId="49" fontId="52" fillId="6" borderId="81" xfId="0" applyNumberFormat="1" applyFont="1" applyFill="1" applyBorder="1" applyAlignment="1" applyProtection="1">
      <alignment vertical="center" wrapText="1"/>
    </xf>
    <xf numFmtId="0" fontId="53" fillId="6" borderId="25" xfId="0" applyFont="1" applyFill="1" applyBorder="1" applyAlignment="1" applyProtection="1">
      <alignment horizontal="center" vertical="center" wrapText="1"/>
    </xf>
    <xf numFmtId="0" fontId="53" fillId="6" borderId="0" xfId="0" applyFont="1" applyFill="1" applyAlignment="1" applyProtection="1">
      <alignment horizontal="center" vertical="center" wrapText="1"/>
      <protection locked="0"/>
    </xf>
    <xf numFmtId="0" fontId="53" fillId="6" borderId="0" xfId="0" applyNumberFormat="1" applyFont="1" applyFill="1" applyAlignment="1" applyProtection="1">
      <alignment horizontal="center" vertical="center" wrapText="1"/>
      <protection locked="0"/>
    </xf>
    <xf numFmtId="0" fontId="97" fillId="0" borderId="24" xfId="0" applyNumberFormat="1" applyFont="1" applyFill="1" applyBorder="1" applyAlignment="1" applyProtection="1">
      <alignment horizontal="center" vertical="center" wrapText="1"/>
      <protection locked="0"/>
    </xf>
    <xf numFmtId="0" fontId="19" fillId="7" borderId="1" xfId="0" applyFont="1" applyFill="1" applyBorder="1" applyAlignment="1">
      <alignment horizontal="left" vertical="center" wrapText="1"/>
    </xf>
    <xf numFmtId="198" fontId="19" fillId="7" borderId="1" xfId="18" applyNumberFormat="1" applyFont="1" applyFill="1" applyBorder="1" applyAlignment="1">
      <alignment horizontal="right" vertical="center"/>
    </xf>
    <xf numFmtId="0" fontId="129" fillId="7" borderId="1" xfId="0" applyFont="1" applyFill="1" applyBorder="1" applyAlignment="1">
      <alignment horizontal="left" vertical="center" wrapText="1"/>
    </xf>
    <xf numFmtId="43" fontId="129" fillId="7" borderId="1" xfId="18" applyFont="1" applyFill="1" applyBorder="1" applyAlignment="1">
      <alignment horizontal="right" vertical="center"/>
    </xf>
    <xf numFmtId="0" fontId="98" fillId="0" borderId="1" xfId="0" applyNumberFormat="1" applyFont="1" applyBorder="1" applyAlignment="1">
      <alignment horizontal="center" vertical="center"/>
    </xf>
    <xf numFmtId="0" fontId="19" fillId="7" borderId="1" xfId="0" applyNumberFormat="1" applyFont="1" applyFill="1" applyBorder="1" applyAlignment="1">
      <alignment horizontal="center" wrapText="1"/>
    </xf>
    <xf numFmtId="0" fontId="19" fillId="7" borderId="1" xfId="18" applyNumberFormat="1" applyFont="1" applyFill="1" applyBorder="1" applyAlignment="1">
      <alignment horizontal="center"/>
    </xf>
    <xf numFmtId="0" fontId="19" fillId="7" borderId="1" xfId="0" applyNumberFormat="1" applyFont="1" applyFill="1" applyBorder="1" applyAlignment="1">
      <alignment horizontal="center"/>
    </xf>
    <xf numFmtId="0" fontId="19" fillId="0" borderId="1" xfId="18"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98" fillId="0" borderId="1" xfId="0" applyFont="1" applyFill="1" applyBorder="1" applyAlignment="1">
      <alignment horizontal="center" vertical="center"/>
    </xf>
    <xf numFmtId="0" fontId="98" fillId="0" borderId="0" xfId="0" applyFont="1" applyFill="1" applyBorder="1" applyAlignment="1">
      <alignment horizontal="center" vertical="center"/>
    </xf>
    <xf numFmtId="10" fontId="0" fillId="0" borderId="1" xfId="0" applyNumberFormat="1" applyBorder="1" applyAlignment="1">
      <alignment horizontal="center" vertical="center"/>
    </xf>
    <xf numFmtId="0" fontId="98" fillId="0" borderId="0" xfId="0" applyFont="1" applyBorder="1" applyAlignment="1">
      <alignment horizontal="center" vertical="center"/>
    </xf>
    <xf numFmtId="0" fontId="0" fillId="0" borderId="0" xfId="0" applyBorder="1" applyAlignment="1">
      <alignment horizontal="center" vertical="center"/>
    </xf>
    <xf numFmtId="0" fontId="19" fillId="7" borderId="0" xfId="0" applyNumberFormat="1" applyFont="1" applyFill="1" applyBorder="1" applyAlignment="1">
      <alignment horizontal="center"/>
    </xf>
    <xf numFmtId="0" fontId="19" fillId="9" borderId="1" xfId="0" applyNumberFormat="1" applyFont="1" applyFill="1" applyBorder="1" applyAlignment="1">
      <alignment horizontal="center"/>
    </xf>
    <xf numFmtId="179" fontId="0" fillId="0" borderId="5" xfId="0" applyNumberFormat="1" applyBorder="1" applyAlignment="1">
      <alignment horizontal="center" vertical="center"/>
    </xf>
    <xf numFmtId="49" fontId="60" fillId="0" borderId="4" xfId="0" applyNumberFormat="1" applyFont="1" applyFill="1" applyBorder="1" applyAlignment="1" applyProtection="1">
      <alignment horizontal="left" vertical="center"/>
      <protection locked="0"/>
    </xf>
    <xf numFmtId="0" fontId="136" fillId="0" borderId="51"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vertical="center" wrapText="1"/>
      <protection locked="0"/>
    </xf>
    <xf numFmtId="0" fontId="52" fillId="3" borderId="20" xfId="0" applyNumberFormat="1" applyFont="1" applyFill="1" applyBorder="1" applyAlignment="1" applyProtection="1">
      <alignment vertical="center" wrapText="1"/>
      <protection locked="0"/>
    </xf>
    <xf numFmtId="0" fontId="52" fillId="6" borderId="20" xfId="0" applyNumberFormat="1" applyFont="1" applyFill="1" applyBorder="1" applyAlignment="1" applyProtection="1">
      <alignment vertical="center" wrapText="1"/>
    </xf>
    <xf numFmtId="0" fontId="52" fillId="3" borderId="51" xfId="0" applyNumberFormat="1" applyFont="1" applyFill="1" applyBorder="1" applyAlignment="1" applyProtection="1">
      <alignment vertical="center" wrapText="1"/>
      <protection locked="0"/>
    </xf>
    <xf numFmtId="199" fontId="0" fillId="0" borderId="0" xfId="0" applyNumberFormat="1">
      <alignment vertical="center"/>
    </xf>
    <xf numFmtId="0" fontId="0" fillId="0" borderId="1" xfId="0" applyBorder="1" applyAlignment="1">
      <alignment horizontal="center" vertical="center"/>
    </xf>
    <xf numFmtId="0" fontId="201"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11"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11"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20"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5" fillId="0" borderId="0" xfId="0" applyNumberFormat="1" applyFont="1" applyAlignment="1" applyProtection="1">
      <alignment horizontal="right" vertical="center"/>
      <protection locked="0"/>
    </xf>
    <xf numFmtId="0" fontId="228"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7"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11" fillId="0" borderId="0" xfId="0" applyFont="1" applyBorder="1" applyAlignment="1" applyProtection="1">
      <alignment horizontal="left" vertical="center"/>
    </xf>
    <xf numFmtId="0" fontId="211"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2"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4" fillId="5" borderId="1" xfId="5" applyFont="1" applyFill="1" applyBorder="1" applyAlignment="1">
      <alignment horizontal="center" vertical="center"/>
    </xf>
    <xf numFmtId="0" fontId="125" fillId="0" borderId="1" xfId="5" applyFont="1" applyBorder="1" applyAlignment="1">
      <alignment horizontal="center" vertical="center"/>
    </xf>
    <xf numFmtId="0" fontId="125" fillId="0" borderId="5" xfId="5" applyFont="1" applyBorder="1" applyAlignment="1">
      <alignment horizontal="center" vertical="center"/>
    </xf>
    <xf numFmtId="0" fontId="125" fillId="0" borderId="154" xfId="5" applyFont="1" applyBorder="1" applyAlignment="1">
      <alignment horizontal="center" vertical="center"/>
    </xf>
    <xf numFmtId="0" fontId="98" fillId="6" borderId="0" xfId="0" applyFont="1" applyFill="1" applyBorder="1" applyAlignment="1" applyProtection="1">
      <alignment horizontal="center" vertical="center" wrapText="1"/>
    </xf>
    <xf numFmtId="0" fontId="46" fillId="6" borderId="1" xfId="0"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6" borderId="2" xfId="0" applyFont="1" applyFill="1" applyBorder="1" applyAlignment="1" applyProtection="1">
      <alignment horizontal="left" vertical="center"/>
    </xf>
    <xf numFmtId="0" fontId="63" fillId="0" borderId="5" xfId="0" applyFont="1" applyBorder="1" applyAlignment="1" applyProtection="1">
      <alignment horizontal="left" vertical="center" wrapText="1"/>
      <protection locked="0"/>
    </xf>
    <xf numFmtId="0" fontId="63" fillId="0" borderId="3" xfId="0" applyFont="1" applyBorder="1" applyAlignment="1" applyProtection="1">
      <alignment horizontal="left" vertical="center" wrapText="1"/>
      <protection locked="0"/>
    </xf>
    <xf numFmtId="0" fontId="63" fillId="6" borderId="22" xfId="0" applyFont="1" applyFill="1" applyBorder="1" applyAlignment="1" applyProtection="1">
      <alignment horizontal="left" vertical="center"/>
    </xf>
    <xf numFmtId="0" fontId="63" fillId="6" borderId="35" xfId="0" applyFont="1" applyFill="1" applyBorder="1" applyAlignment="1" applyProtection="1">
      <alignment horizontal="left" vertical="center"/>
    </xf>
    <xf numFmtId="0" fontId="63" fillId="6" borderId="1" xfId="0" applyNumberFormat="1" applyFont="1" applyFill="1" applyBorder="1" applyAlignment="1" applyProtection="1">
      <alignment horizontal="center" vertical="center" wrapText="1"/>
    </xf>
    <xf numFmtId="0" fontId="63" fillId="6" borderId="34" xfId="0" applyFont="1" applyFill="1" applyBorder="1" applyAlignment="1" applyProtection="1">
      <alignment horizontal="left" vertical="center" wrapText="1"/>
    </xf>
    <xf numFmtId="0" fontId="63" fillId="6" borderId="64" xfId="0" applyFont="1" applyFill="1" applyBorder="1" applyAlignment="1" applyProtection="1">
      <alignment horizontal="left" vertical="center" wrapText="1"/>
    </xf>
    <xf numFmtId="0" fontId="63" fillId="6" borderId="65" xfId="0" applyFont="1" applyFill="1" applyBorder="1" applyAlignment="1" applyProtection="1">
      <alignment horizontal="left" vertical="center" wrapText="1"/>
    </xf>
    <xf numFmtId="0" fontId="63" fillId="6" borderId="13" xfId="0" applyFont="1" applyFill="1" applyBorder="1" applyAlignment="1" applyProtection="1">
      <alignment horizontal="center" vertical="center" wrapText="1"/>
    </xf>
    <xf numFmtId="0" fontId="63" fillId="6" borderId="104"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49" fontId="228" fillId="0" borderId="4" xfId="0" applyNumberFormat="1" applyFont="1" applyFill="1" applyBorder="1" applyAlignment="1" applyProtection="1">
      <alignment horizontal="left" vertical="center"/>
      <protection locked="0"/>
    </xf>
    <xf numFmtId="49" fontId="228" fillId="0" borderId="54" xfId="0" applyNumberFormat="1" applyFont="1" applyFill="1" applyBorder="1" applyAlignment="1" applyProtection="1">
      <alignment horizontal="left" vertical="center"/>
      <protection locked="0"/>
    </xf>
    <xf numFmtId="49" fontId="228" fillId="0" borderId="3" xfId="0" applyNumberFormat="1" applyFont="1" applyFill="1" applyBorder="1" applyAlignment="1" applyProtection="1">
      <alignment horizontal="left" vertical="center"/>
      <protection locked="0"/>
    </xf>
    <xf numFmtId="0" fontId="228" fillId="0" borderId="5" xfId="0" applyNumberFormat="1" applyFont="1" applyBorder="1" applyAlignment="1" applyProtection="1">
      <alignment horizontal="left" vertical="center"/>
      <protection locked="0"/>
    </xf>
    <xf numFmtId="0" fontId="228" fillId="0" borderId="54" xfId="0" applyNumberFormat="1" applyFont="1" applyBorder="1" applyAlignment="1" applyProtection="1">
      <alignment horizontal="left" vertical="center"/>
      <protection locked="0"/>
    </xf>
    <xf numFmtId="0" fontId="228" fillId="0" borderId="3" xfId="0" applyNumberFormat="1" applyFont="1" applyBorder="1" applyAlignment="1" applyProtection="1">
      <alignment horizontal="left" vertical="center"/>
      <protection locked="0"/>
    </xf>
    <xf numFmtId="49" fontId="228" fillId="7" borderId="5" xfId="0" applyNumberFormat="1" applyFont="1" applyFill="1" applyBorder="1" applyAlignment="1" applyProtection="1">
      <alignment horizontal="left" vertical="center"/>
      <protection locked="0"/>
    </xf>
    <xf numFmtId="49" fontId="228" fillId="7" borderId="54" xfId="0" applyNumberFormat="1" applyFont="1" applyFill="1" applyBorder="1" applyAlignment="1" applyProtection="1">
      <alignment horizontal="left" vertical="center"/>
      <protection locked="0"/>
    </xf>
    <xf numFmtId="49" fontId="228" fillId="7" borderId="3" xfId="0" applyNumberFormat="1" applyFont="1" applyFill="1" applyBorder="1" applyAlignment="1" applyProtection="1">
      <alignment horizontal="left" vertical="center"/>
      <protection locked="0"/>
    </xf>
    <xf numFmtId="49" fontId="228" fillId="7" borderId="85" xfId="0" applyNumberFormat="1" applyFont="1" applyFill="1" applyBorder="1" applyAlignment="1" applyProtection="1">
      <alignment horizontal="left" vertical="center"/>
      <protection locked="0"/>
    </xf>
    <xf numFmtId="49" fontId="228" fillId="7" borderId="88" xfId="0" applyNumberFormat="1" applyFont="1" applyFill="1" applyBorder="1" applyAlignment="1" applyProtection="1">
      <alignment horizontal="left" vertical="center"/>
      <protection locked="0"/>
    </xf>
    <xf numFmtId="49" fontId="228"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262" fillId="6" borderId="106" xfId="0" applyFont="1" applyFill="1" applyBorder="1" applyAlignment="1" applyProtection="1">
      <alignment horizontal="center" vertical="center"/>
    </xf>
    <xf numFmtId="0" fontId="262" fillId="6" borderId="102" xfId="0" applyFont="1" applyFill="1" applyBorder="1" applyAlignment="1" applyProtection="1">
      <alignment horizontal="center" vertical="center"/>
    </xf>
    <xf numFmtId="0" fontId="49" fillId="6" borderId="54" xfId="0" applyFont="1" applyFill="1" applyBorder="1" applyAlignment="1" applyProtection="1">
      <alignment horizontal="left"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132" fillId="6" borderId="23" xfId="0" applyFont="1" applyFill="1" applyBorder="1" applyProtection="1">
      <alignment vertical="center"/>
    </xf>
    <xf numFmtId="0" fontId="132" fillId="6" borderId="25" xfId="0" applyFont="1" applyFill="1" applyBorder="1" applyProtection="1">
      <alignmen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center" vertical="center" wrapText="1"/>
    </xf>
    <xf numFmtId="182" fontId="46" fillId="6" borderId="54" xfId="0" applyNumberFormat="1" applyFont="1" applyFill="1" applyBorder="1" applyAlignment="1" applyProtection="1">
      <alignment horizontal="center" vertical="center" wrapText="1"/>
    </xf>
    <xf numFmtId="182" fontId="46" fillId="6" borderId="3" xfId="0" applyNumberFormat="1"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wrapText="1"/>
    </xf>
    <xf numFmtId="0" fontId="46" fillId="6" borderId="54"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protection locked="0"/>
    </xf>
    <xf numFmtId="0" fontId="107" fillId="6" borderId="1"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center" vertical="center"/>
    </xf>
    <xf numFmtId="0" fontId="49" fillId="6" borderId="53"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109" fillId="6" borderId="107" xfId="0" applyFont="1" applyFill="1" applyBorder="1" applyProtection="1">
      <alignment vertical="center"/>
    </xf>
    <xf numFmtId="0" fontId="109" fillId="6" borderId="108"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74" fillId="6" borderId="1" xfId="0" applyFont="1" applyFill="1" applyBorder="1" applyAlignment="1">
      <alignment horizontal="center" vertical="center" wrapText="1"/>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97" fillId="0" borderId="23" xfId="0" applyFont="1" applyFill="1" applyBorder="1" applyAlignment="1" applyProtection="1">
      <alignment horizontal="center" vertical="center" wrapText="1"/>
      <protection locked="0"/>
    </xf>
    <xf numFmtId="0" fontId="53" fillId="0" borderId="24"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97" fillId="0" borderId="3"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177" fillId="0" borderId="11" xfId="0" applyFont="1" applyFill="1" applyBorder="1" applyAlignment="1" applyProtection="1">
      <alignment horizontal="center" vertical="center" wrapText="1"/>
      <protection locked="0"/>
    </xf>
    <xf numFmtId="0" fontId="177" fillId="0" borderId="61" xfId="0" applyFont="1" applyFill="1" applyBorder="1" applyAlignment="1" applyProtection="1">
      <alignment horizontal="center" vertical="center" wrapText="1"/>
      <protection locked="0"/>
    </xf>
    <xf numFmtId="0" fontId="177" fillId="0" borderId="23" xfId="0" applyFont="1" applyFill="1" applyBorder="1" applyAlignment="1" applyProtection="1">
      <alignment horizontal="center" vertical="center" wrapText="1"/>
      <protection locked="0"/>
    </xf>
    <xf numFmtId="0" fontId="177" fillId="0" borderId="24" xfId="0" applyFont="1" applyFill="1" applyBorder="1" applyAlignment="1" applyProtection="1">
      <alignment horizontal="center" vertical="center" wrapText="1"/>
      <protection locked="0"/>
    </xf>
    <xf numFmtId="0" fontId="177" fillId="0" borderId="22" xfId="0" applyFont="1" applyFill="1" applyBorder="1" applyAlignment="1" applyProtection="1">
      <alignment horizontal="center" vertical="center" wrapText="1"/>
      <protection locked="0"/>
    </xf>
    <xf numFmtId="0" fontId="177" fillId="0" borderId="4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5" xfId="0"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0" borderId="0" xfId="0" applyFont="1" applyAlignment="1" applyProtection="1">
      <alignment horizontal="left" vertical="center"/>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107" fillId="6" borderId="0" xfId="0" applyFont="1" applyFill="1" applyAlignment="1" applyProtection="1">
      <alignment horizontal="center" vertical="center"/>
    </xf>
    <xf numFmtId="0" fontId="104" fillId="6" borderId="1" xfId="0" applyFont="1" applyFill="1" applyBorder="1" applyAlignment="1" applyProtection="1">
      <alignment horizontal="center" vertical="center"/>
    </xf>
    <xf numFmtId="0" fontId="219" fillId="6" borderId="1" xfId="0" applyFont="1" applyFill="1" applyBorder="1" applyAlignment="1">
      <alignment horizontal="center" vertical="center"/>
    </xf>
    <xf numFmtId="0" fontId="144" fillId="11" borderId="5" xfId="0" applyFont="1" applyFill="1" applyBorder="1" applyAlignment="1">
      <alignment horizontal="left" vertical="center"/>
    </xf>
    <xf numFmtId="0" fontId="144" fillId="11" borderId="54" xfId="0" applyFont="1" applyFill="1" applyBorder="1" applyAlignment="1">
      <alignment horizontal="left" vertical="center"/>
    </xf>
    <xf numFmtId="0" fontId="144"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4" fillId="6" borderId="55" xfId="0" applyFont="1" applyFill="1" applyBorder="1" applyAlignment="1">
      <alignment vertical="center"/>
    </xf>
    <xf numFmtId="0" fontId="144" fillId="6" borderId="36" xfId="0" applyFont="1" applyFill="1" applyBorder="1" applyAlignment="1">
      <alignment vertical="center"/>
    </xf>
    <xf numFmtId="0" fontId="144" fillId="6" borderId="22" xfId="0" applyFont="1" applyFill="1" applyBorder="1" applyAlignment="1">
      <alignment vertical="center"/>
    </xf>
    <xf numFmtId="0" fontId="144" fillId="6" borderId="42" xfId="0" applyFont="1" applyFill="1" applyBorder="1" applyAlignment="1">
      <alignment vertical="center"/>
    </xf>
    <xf numFmtId="0" fontId="144" fillId="6" borderId="47" xfId="0" applyFont="1" applyFill="1" applyBorder="1" applyAlignment="1">
      <alignment vertical="center"/>
    </xf>
    <xf numFmtId="0" fontId="144" fillId="6" borderId="73" xfId="0" applyFont="1" applyFill="1" applyBorder="1" applyAlignment="1">
      <alignment vertical="center"/>
    </xf>
    <xf numFmtId="0" fontId="141" fillId="6" borderId="37" xfId="0" applyFont="1" applyFill="1" applyBorder="1" applyAlignment="1">
      <alignment horizontal="left" vertical="center"/>
    </xf>
    <xf numFmtId="0" fontId="141" fillId="6" borderId="54" xfId="0" applyFont="1" applyFill="1" applyBorder="1" applyAlignment="1">
      <alignment horizontal="left" vertical="center"/>
    </xf>
    <xf numFmtId="0" fontId="141" fillId="6" borderId="3" xfId="0" applyFont="1" applyFill="1" applyBorder="1" applyAlignment="1">
      <alignment horizontal="left" vertical="center"/>
    </xf>
    <xf numFmtId="0" fontId="143" fillId="6" borderId="1" xfId="0" applyFont="1" applyFill="1" applyBorder="1" applyAlignment="1">
      <alignment horizontal="center" vertical="center"/>
    </xf>
    <xf numFmtId="0" fontId="143" fillId="6" borderId="24" xfId="0" applyFont="1" applyFill="1" applyBorder="1" applyAlignment="1">
      <alignment horizontal="center" vertical="center"/>
    </xf>
    <xf numFmtId="0" fontId="53" fillId="6" borderId="13"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186" fontId="52" fillId="6"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151" fillId="12" borderId="132" xfId="9"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0" fontId="151" fillId="12" borderId="128" xfId="9" applyFont="1" applyFill="1" applyBorder="1" applyAlignment="1" applyProtection="1">
      <alignment horizontal="center" vertical="center" wrapText="1"/>
    </xf>
    <xf numFmtId="0" fontId="144" fillId="0" borderId="0" xfId="9" applyFont="1" applyAlignment="1">
      <alignment horizontal="center" vertical="center"/>
    </xf>
    <xf numFmtId="0" fontId="107" fillId="0" borderId="0" xfId="9" applyFont="1" applyAlignment="1">
      <alignment horizontal="center" vertical="center"/>
    </xf>
    <xf numFmtId="0" fontId="149" fillId="0" borderId="0" xfId="9" applyFont="1" applyAlignment="1">
      <alignment horizontal="center" vertical="center"/>
    </xf>
    <xf numFmtId="0" fontId="151" fillId="12" borderId="123" xfId="9" applyFont="1" applyFill="1" applyBorder="1" applyAlignment="1" applyProtection="1">
      <alignment horizontal="center" vertical="center" wrapText="1"/>
    </xf>
    <xf numFmtId="0" fontId="104" fillId="12" borderId="132" xfId="9" applyFont="1" applyFill="1" applyBorder="1" applyAlignment="1" applyProtection="1">
      <alignment horizontal="center" vertical="center" wrapText="1"/>
    </xf>
    <xf numFmtId="0" fontId="104" fillId="12" borderId="126" xfId="9" applyFont="1" applyFill="1" applyBorder="1" applyAlignment="1" applyProtection="1">
      <alignment horizontal="center" vertical="center" wrapText="1"/>
    </xf>
    <xf numFmtId="0" fontId="104" fillId="12" borderId="128" xfId="9"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98"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98" fillId="0" borderId="1" xfId="0" applyFont="1" applyBorder="1" applyAlignment="1">
      <alignment horizontal="center" vertical="center"/>
    </xf>
    <xf numFmtId="0" fontId="0" fillId="0" borderId="1" xfId="0" applyBorder="1" applyAlignment="1">
      <alignment horizontal="center" vertical="center"/>
    </xf>
    <xf numFmtId="0" fontId="143" fillId="0" borderId="13" xfId="0" applyFont="1" applyBorder="1" applyAlignment="1">
      <alignment horizontal="center" vertical="center"/>
    </xf>
    <xf numFmtId="0" fontId="143" fillId="0" borderId="2" xfId="0" applyFont="1" applyBorder="1" applyAlignment="1">
      <alignment horizontal="center" vertical="center"/>
    </xf>
    <xf numFmtId="0" fontId="188" fillId="0" borderId="13" xfId="0" applyFont="1" applyBorder="1" applyAlignment="1">
      <alignment horizontal="center" vertical="center"/>
    </xf>
    <xf numFmtId="0" fontId="188" fillId="0" borderId="2" xfId="0" applyFont="1" applyBorder="1" applyAlignment="1">
      <alignment horizontal="center" vertical="center"/>
    </xf>
    <xf numFmtId="0" fontId="143" fillId="0" borderId="5" xfId="0" applyFont="1" applyBorder="1" applyAlignment="1">
      <alignment horizontal="center" vertical="center"/>
    </xf>
    <xf numFmtId="0" fontId="143" fillId="0" borderId="54" xfId="0" applyFont="1" applyBorder="1" applyAlignment="1">
      <alignment horizontal="center" vertical="center"/>
    </xf>
    <xf numFmtId="0" fontId="143" fillId="0" borderId="3" xfId="0" applyFont="1" applyBorder="1" applyAlignment="1">
      <alignment horizontal="center" vertical="center"/>
    </xf>
    <xf numFmtId="0" fontId="99" fillId="0" borderId="1" xfId="0" applyFont="1" applyBorder="1" applyAlignment="1">
      <alignment horizontal="center" vertical="center"/>
    </xf>
    <xf numFmtId="0" fontId="98" fillId="0" borderId="13" xfId="0" applyFont="1" applyBorder="1" applyAlignment="1">
      <alignment horizontal="center" vertical="center"/>
    </xf>
    <xf numFmtId="0" fontId="98" fillId="0" borderId="15" xfId="0" applyFont="1" applyBorder="1" applyAlignment="1">
      <alignment horizontal="center" vertical="center"/>
    </xf>
    <xf numFmtId="0" fontId="98" fillId="0" borderId="2" xfId="0" applyFont="1" applyBorder="1" applyAlignment="1">
      <alignment horizontal="center" vertical="center"/>
    </xf>
    <xf numFmtId="0" fontId="257" fillId="0" borderId="0" xfId="17" applyFont="1" applyFill="1" applyBorder="1" applyAlignment="1" applyProtection="1">
      <alignment horizontal="center" vertical="center"/>
    </xf>
    <xf numFmtId="0" fontId="83" fillId="0" borderId="60" xfId="17" applyFont="1" applyFill="1" applyBorder="1" applyAlignment="1" applyProtection="1">
      <alignment horizontal="left" vertical="center"/>
    </xf>
    <xf numFmtId="49" fontId="19" fillId="0" borderId="1" xfId="17" applyNumberFormat="1" applyFont="1" applyFill="1" applyBorder="1" applyAlignment="1" applyProtection="1">
      <alignment horizontal="center" vertical="center" shrinkToFit="1"/>
    </xf>
    <xf numFmtId="176" fontId="19" fillId="0" borderId="1" xfId="17" applyNumberFormat="1" applyFont="1" applyFill="1" applyBorder="1" applyAlignment="1" applyProtection="1">
      <alignment horizontal="center" vertical="center" shrinkToFit="1"/>
    </xf>
    <xf numFmtId="0" fontId="19" fillId="0" borderId="1" xfId="0" applyFont="1" applyBorder="1" applyAlignment="1">
      <alignment horizontal="center" vertical="center"/>
    </xf>
    <xf numFmtId="0" fontId="0" fillId="17" borderId="60" xfId="0" applyFont="1" applyFill="1" applyBorder="1" applyAlignment="1">
      <alignment horizontal="center" vertical="center"/>
    </xf>
    <xf numFmtId="0" fontId="0" fillId="17" borderId="60" xfId="0" applyFill="1" applyBorder="1" applyAlignment="1">
      <alignment horizontal="center" vertical="center"/>
    </xf>
    <xf numFmtId="0" fontId="99" fillId="0" borderId="5" xfId="0" applyFont="1" applyBorder="1" applyAlignment="1">
      <alignment horizontal="center" vertical="center"/>
    </xf>
    <xf numFmtId="0" fontId="99" fillId="0" borderId="3" xfId="0" applyFont="1" applyBorder="1" applyAlignment="1">
      <alignment horizontal="center" vertical="center"/>
    </xf>
    <xf numFmtId="0" fontId="253" fillId="0" borderId="1" xfId="2" applyFont="1" applyFill="1" applyBorder="1" applyAlignment="1">
      <alignment horizontal="center"/>
    </xf>
    <xf numFmtId="0" fontId="19" fillId="6" borderId="60" xfId="0" applyFont="1" applyFill="1" applyBorder="1" applyAlignment="1">
      <alignment horizontal="center" vertical="center"/>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9">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Sheet1" xfId="17"/>
    <cellStyle name="千位分隔" xfId="18" builtinId="3"/>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30;&#28304;&#22269;&#38469;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结果"/>
      <sheetName val="面积"/>
      <sheetName val="市场比较法（办公）"/>
      <sheetName val="收益法（办公）"/>
      <sheetName val="收益法（租约）-1"/>
      <sheetName val="收益法（租约）-2"/>
      <sheetName val="办公结果一览表"/>
      <sheetName val="市场比较法（商业）"/>
      <sheetName val="收益法（商业）"/>
      <sheetName val="成本法（现房）"/>
      <sheetName val="成本法（在建）"/>
      <sheetName val="假设开发法"/>
      <sheetName val="市场比较法（套用-土地）"/>
      <sheetName val="商业结果一览表"/>
      <sheetName val="车库市场法"/>
      <sheetName val="车库收益法"/>
      <sheetName val="剩余年限"/>
    </sheetNames>
    <sheetDataSet>
      <sheetData sheetId="0" refreshError="1"/>
      <sheetData sheetId="1">
        <row r="14">
          <cell r="E14">
            <v>201</v>
          </cell>
          <cell r="F14">
            <v>1241.3599999999999</v>
          </cell>
          <cell r="I14">
            <v>101</v>
          </cell>
          <cell r="J14">
            <v>399</v>
          </cell>
        </row>
        <row r="15">
          <cell r="E15">
            <v>401</v>
          </cell>
          <cell r="F15">
            <v>1490.04</v>
          </cell>
          <cell r="I15">
            <v>107</v>
          </cell>
          <cell r="J15">
            <v>157.30000000000001</v>
          </cell>
        </row>
        <row r="16">
          <cell r="E16">
            <v>403</v>
          </cell>
          <cell r="F16">
            <v>713.79</v>
          </cell>
          <cell r="I16">
            <v>108</v>
          </cell>
          <cell r="J16">
            <v>314.99</v>
          </cell>
        </row>
        <row r="17">
          <cell r="E17">
            <v>501</v>
          </cell>
          <cell r="F17">
            <v>1720.67</v>
          </cell>
          <cell r="I17">
            <v>301</v>
          </cell>
          <cell r="J17">
            <v>1424.68</v>
          </cell>
        </row>
        <row r="18">
          <cell r="E18">
            <v>503</v>
          </cell>
          <cell r="F18">
            <v>784.25</v>
          </cell>
          <cell r="I18">
            <v>-101</v>
          </cell>
          <cell r="J18">
            <v>907.62</v>
          </cell>
        </row>
        <row r="19">
          <cell r="E19">
            <v>601</v>
          </cell>
          <cell r="F19">
            <v>1509.02</v>
          </cell>
          <cell r="I19">
            <v>-102</v>
          </cell>
          <cell r="J19">
            <v>57.51</v>
          </cell>
        </row>
        <row r="20">
          <cell r="E20">
            <v>701</v>
          </cell>
          <cell r="F20">
            <v>1706.47</v>
          </cell>
          <cell r="I20">
            <v>-104</v>
          </cell>
          <cell r="J20">
            <v>1854.19</v>
          </cell>
        </row>
        <row r="21">
          <cell r="E21">
            <v>703</v>
          </cell>
          <cell r="F21">
            <v>444.47</v>
          </cell>
          <cell r="I21">
            <v>-105</v>
          </cell>
          <cell r="J21">
            <v>100.78</v>
          </cell>
        </row>
        <row r="22">
          <cell r="E22">
            <v>801</v>
          </cell>
          <cell r="F22">
            <v>1731.32</v>
          </cell>
          <cell r="I22" t="str">
            <v>合计</v>
          </cell>
        </row>
        <row r="23">
          <cell r="E23">
            <v>803</v>
          </cell>
          <cell r="F23">
            <v>148.13999999999999</v>
          </cell>
        </row>
        <row r="24">
          <cell r="E24">
            <v>901</v>
          </cell>
          <cell r="F24">
            <v>1704.96</v>
          </cell>
        </row>
        <row r="25">
          <cell r="E25">
            <v>903</v>
          </cell>
          <cell r="F25">
            <v>446.92</v>
          </cell>
        </row>
        <row r="26">
          <cell r="E26">
            <v>1001</v>
          </cell>
          <cell r="F26">
            <v>1730.45</v>
          </cell>
        </row>
        <row r="27">
          <cell r="E27">
            <v>1003</v>
          </cell>
          <cell r="F27">
            <v>149.74</v>
          </cell>
        </row>
        <row r="28">
          <cell r="E28">
            <v>1101</v>
          </cell>
          <cell r="F28">
            <v>1703.47</v>
          </cell>
        </row>
        <row r="29">
          <cell r="E29">
            <v>1103</v>
          </cell>
          <cell r="F29">
            <v>450.72</v>
          </cell>
        </row>
        <row r="30">
          <cell r="E30">
            <v>1201</v>
          </cell>
          <cell r="F30">
            <v>1730.45</v>
          </cell>
        </row>
        <row r="31">
          <cell r="E31">
            <v>1203</v>
          </cell>
          <cell r="F31">
            <v>149.74</v>
          </cell>
        </row>
        <row r="32">
          <cell r="E32">
            <v>1301</v>
          </cell>
          <cell r="F32">
            <v>1703.01</v>
          </cell>
        </row>
        <row r="33">
          <cell r="E33">
            <v>1303</v>
          </cell>
          <cell r="F33">
            <v>451.98</v>
          </cell>
        </row>
        <row r="34">
          <cell r="E34">
            <v>1401</v>
          </cell>
          <cell r="F34">
            <v>1730.45</v>
          </cell>
        </row>
        <row r="35">
          <cell r="E35">
            <v>1403</v>
          </cell>
          <cell r="F35">
            <v>149.74</v>
          </cell>
        </row>
        <row r="36">
          <cell r="E36">
            <v>1501</v>
          </cell>
          <cell r="F36">
            <v>1703.18</v>
          </cell>
        </row>
        <row r="37">
          <cell r="E37">
            <v>1503</v>
          </cell>
          <cell r="F37">
            <v>451.34</v>
          </cell>
        </row>
        <row r="38">
          <cell r="E38">
            <v>1601</v>
          </cell>
          <cell r="F38">
            <v>260.95</v>
          </cell>
        </row>
        <row r="39">
          <cell r="E39">
            <v>1602</v>
          </cell>
          <cell r="F39">
            <v>573.46</v>
          </cell>
        </row>
        <row r="40">
          <cell r="E40">
            <v>1701</v>
          </cell>
          <cell r="F40">
            <v>1703</v>
          </cell>
        </row>
        <row r="41">
          <cell r="E41">
            <v>1703</v>
          </cell>
          <cell r="F41">
            <v>451.99</v>
          </cell>
        </row>
        <row r="42">
          <cell r="E42">
            <v>1801</v>
          </cell>
          <cell r="F42">
            <v>1730.45</v>
          </cell>
        </row>
        <row r="43">
          <cell r="E43">
            <v>1803</v>
          </cell>
          <cell r="F43">
            <v>149.74</v>
          </cell>
        </row>
        <row r="44">
          <cell r="E44">
            <v>1901</v>
          </cell>
          <cell r="F44">
            <v>1703</v>
          </cell>
        </row>
        <row r="45">
          <cell r="E45">
            <v>1903</v>
          </cell>
          <cell r="F45">
            <v>451.99</v>
          </cell>
        </row>
        <row r="46">
          <cell r="E46">
            <v>2001</v>
          </cell>
          <cell r="F46">
            <v>1730.45</v>
          </cell>
        </row>
        <row r="47">
          <cell r="E47">
            <v>2003</v>
          </cell>
          <cell r="F47">
            <v>149.74</v>
          </cell>
        </row>
        <row r="48">
          <cell r="E48">
            <v>2101</v>
          </cell>
          <cell r="F48">
            <v>1684.98</v>
          </cell>
        </row>
        <row r="49">
          <cell r="E49">
            <v>2103</v>
          </cell>
          <cell r="F49">
            <v>552.46</v>
          </cell>
        </row>
        <row r="50">
          <cell r="E50">
            <v>2201</v>
          </cell>
          <cell r="F50">
            <v>1707.59</v>
          </cell>
        </row>
        <row r="51">
          <cell r="E51">
            <v>2203</v>
          </cell>
          <cell r="F51">
            <v>246.41</v>
          </cell>
        </row>
        <row r="52">
          <cell r="E52">
            <v>2301</v>
          </cell>
          <cell r="F52">
            <v>1684.98</v>
          </cell>
        </row>
        <row r="53">
          <cell r="E53">
            <v>2303</v>
          </cell>
          <cell r="F53">
            <v>552.46</v>
          </cell>
        </row>
        <row r="54">
          <cell r="E54">
            <v>2401</v>
          </cell>
          <cell r="F54">
            <v>1707.59</v>
          </cell>
        </row>
        <row r="55">
          <cell r="E55">
            <v>2403</v>
          </cell>
          <cell r="F55">
            <v>246.41</v>
          </cell>
        </row>
        <row r="56">
          <cell r="E56">
            <v>2501</v>
          </cell>
          <cell r="F56">
            <v>1684.98</v>
          </cell>
        </row>
        <row r="57">
          <cell r="E57">
            <v>2503</v>
          </cell>
          <cell r="F57">
            <v>552.46</v>
          </cell>
        </row>
        <row r="58">
          <cell r="E58">
            <v>2601</v>
          </cell>
          <cell r="F58">
            <v>1026.42</v>
          </cell>
        </row>
        <row r="59">
          <cell r="E59">
            <v>2701</v>
          </cell>
          <cell r="F59">
            <v>1678.85</v>
          </cell>
        </row>
        <row r="60">
          <cell r="E60">
            <v>2801</v>
          </cell>
          <cell r="F60">
            <v>1687.61</v>
          </cell>
        </row>
        <row r="61">
          <cell r="E61">
            <v>2901</v>
          </cell>
          <cell r="F61">
            <v>1709.76</v>
          </cell>
        </row>
        <row r="62">
          <cell r="E62">
            <v>3001</v>
          </cell>
          <cell r="F62">
            <v>1718.42</v>
          </cell>
        </row>
        <row r="63">
          <cell r="E63">
            <v>3101</v>
          </cell>
          <cell r="F63">
            <v>1764.2</v>
          </cell>
        </row>
        <row r="64">
          <cell r="E64">
            <v>3201</v>
          </cell>
          <cell r="F64">
            <v>1764.2</v>
          </cell>
        </row>
        <row r="65">
          <cell r="E65">
            <v>3301</v>
          </cell>
          <cell r="F65">
            <v>1718.51</v>
          </cell>
        </row>
        <row r="66">
          <cell r="E66">
            <v>3303</v>
          </cell>
          <cell r="F66">
            <v>248.07</v>
          </cell>
        </row>
        <row r="67">
          <cell r="E67" t="str">
            <v>合计</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北京市财源国际大厦A、B座房地产抵押价值预评估</v>
      </c>
    </row>
    <row r="3" spans="1:2" s="1595" customFormat="1">
      <c r="A3" s="1593" t="s">
        <v>1221</v>
      </c>
      <c r="B3" s="1594">
        <f>'预评函-封皮'!B40</f>
        <v>0</v>
      </c>
    </row>
    <row r="4" spans="1:2" s="1595" customFormat="1">
      <c r="A4" s="1593" t="s">
        <v>1222</v>
      </c>
      <c r="B4" s="1594" t="str">
        <f>'预评函-封皮'!B46</f>
        <v>（注册号：0)、（注册号：0)</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受贵公司委托，我公司对北京市财源国际大厦A、B座房地产抵押价值进行了预评估。</v>
      </c>
    </row>
    <row r="7" spans="1:2" s="1595" customFormat="1">
      <c r="A7" s="1593" t="s">
        <v>1264</v>
      </c>
      <c r="B7" s="1594" t="str">
        <f>'预评函-1'!A7</f>
        <v>估价对象为北京市财源国际大厦A、B座房地产，为所有。根据，估价对象（分摊）出让国有建设用地使用权面积为9387.88平方米，建筑面积为143997.77平方米。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估价对象为北京市财源国际大厦A、B座房地产,属开发建设的办公项目，该项目尚在开发建设中。根据，估价对象（分摊）出让国有建设用地使用权面积为9387.88平方米，规划建筑面积为143997.77平方米。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拟使用北京市财源国际大厦A、B座房地产作为抵押担保物，向办理贷款手续。特委托北京康正宏基房地产评估有限公司对上述抵押物进行评估。本次评估为确定房地产抵押贷款额度提供参考依据而评估房地产抵押价值。</v>
      </c>
    </row>
    <row r="12" spans="1:2" s="1595" customFormat="1">
      <c r="A12" s="1593" t="s">
        <v>1226</v>
      </c>
      <c r="B12" s="1594" t="str">
        <f>'预评函-1'!A15</f>
        <v>2018年10月22日（评估专业人员实地查勘之日）</v>
      </c>
    </row>
    <row r="13" spans="1:2" s="1595" customFormat="1">
      <c r="A13" s="1593" t="s">
        <v>1227</v>
      </c>
      <c r="B13" s="1594" t="str">
        <f>'预评函-1'!A18</f>
        <v>本次估价的“房地产价值”是指在正常市场情况下，在价值时点2018年10月22日，估价对象规划用途为，土地取得方式为出让，出让国有建设用地使用权剩余土地使用年限为，假定未设立法定优先受偿款下的房地产市场价值。</v>
      </c>
    </row>
    <row r="14" spans="1:2" s="1595" customFormat="1">
      <c r="A14" s="1593" t="s">
        <v>1228</v>
      </c>
      <c r="B14" s="1594"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本次评估采用的主估价方法为比较法和收益法。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1368578</v>
      </c>
    </row>
    <row r="21" spans="1:2" s="1595" customFormat="1">
      <c r="A21" s="1593" t="s">
        <v>1235</v>
      </c>
      <c r="B21" s="1594">
        <f ca="1">'预评函-2'!D7</f>
        <v>127675</v>
      </c>
    </row>
    <row r="22" spans="1:2" s="1595" customFormat="1">
      <c r="A22" s="1593" t="s">
        <v>1236</v>
      </c>
      <c r="B22" s="1594" t="str">
        <f ca="1">'预评函-2'!D6</f>
        <v>壹佰叁拾陆亿捌仟伍佰柒拾捌万元整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1368578</v>
      </c>
    </row>
    <row r="31" spans="1:2" s="1595" customFormat="1">
      <c r="A31" s="1593" t="s">
        <v>1274</v>
      </c>
      <c r="B31" s="1594">
        <f ca="1">'预评函-2'!D15</f>
        <v>95042</v>
      </c>
    </row>
    <row r="32" spans="1:2" s="1595" customFormat="1">
      <c r="A32" s="1593" t="s">
        <v>1241</v>
      </c>
      <c r="B32" s="1594" t="str">
        <f ca="1">'预评函-2'!D14</f>
        <v>壹佰叁拾陆亿捌仟伍佰柒拾捌万元整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北京市财源国际大厦A、B座房地产</v>
      </c>
    </row>
    <row r="42" spans="1:2" s="1595" customFormat="1">
      <c r="A42" s="1593" t="s">
        <v>1288</v>
      </c>
      <c r="B42" s="1594" t="str">
        <f>'预评函-3'!B2</f>
        <v>建筑面积</v>
      </c>
    </row>
    <row r="43" spans="1:2" s="1595" customFormat="1">
      <c r="A43" s="1593" t="s">
        <v>1289</v>
      </c>
      <c r="B43" s="1594">
        <f>'预评函-3'!B4</f>
        <v>143997.77000000002</v>
      </c>
    </row>
    <row r="44" spans="1:2" s="1595" customFormat="1">
      <c r="A44" s="1593" t="s">
        <v>1273</v>
      </c>
      <c r="B44" s="1594" t="str">
        <f>'预评函-3'!C2</f>
        <v>(分摊)土地面积</v>
      </c>
    </row>
    <row r="45" spans="1:2" s="1595" customFormat="1">
      <c r="A45" s="1593" t="s">
        <v>1245</v>
      </c>
      <c r="B45" s="1594">
        <f>'预评函-3'!C4</f>
        <v>9387.8799999999992</v>
      </c>
    </row>
    <row r="46" spans="1:2" s="1595" customFormat="1">
      <c r="A46" s="1593" t="s">
        <v>1271</v>
      </c>
      <c r="B46" s="1594" t="str">
        <f>'预评函-3'!D2</f>
        <v>出让国有建设用地使用权价值</v>
      </c>
    </row>
    <row r="47" spans="1:2" s="1595" customFormat="1">
      <c r="A47" s="1593" t="s">
        <v>1246</v>
      </c>
      <c r="B47" s="1594">
        <f ca="1">'预评函-3'!D4</f>
        <v>1185189</v>
      </c>
    </row>
    <row r="48" spans="1:2" s="1595" customFormat="1">
      <c r="A48" s="1593" t="s">
        <v>1247</v>
      </c>
      <c r="B48" s="1594">
        <f ca="1">'预评函-3'!E4</f>
        <v>110567</v>
      </c>
    </row>
    <row r="49" spans="1:2" s="1595" customFormat="1">
      <c r="A49" s="1593" t="s">
        <v>1248</v>
      </c>
      <c r="B49" s="1594" t="str">
        <f ca="1">'预评函-3'!D5</f>
        <v>壹佰壹拾捌亿伍仟壹佰捌拾玖万元整</v>
      </c>
    </row>
    <row r="50" spans="1:2" s="1595" customFormat="1">
      <c r="A50" s="1593" t="s">
        <v>1272</v>
      </c>
      <c r="B50" s="1594" t="str">
        <f>'预评函-3'!F2</f>
        <v>在建建筑物价值</v>
      </c>
    </row>
    <row r="51" spans="1:2" s="1595" customFormat="1">
      <c r="A51" s="1593" t="s">
        <v>1249</v>
      </c>
      <c r="B51" s="1594">
        <f ca="1">'预评函-3'!F4</f>
        <v>183389</v>
      </c>
    </row>
    <row r="52" spans="1:2" s="1595" customFormat="1">
      <c r="A52" s="1593" t="s">
        <v>1250</v>
      </c>
      <c r="B52" s="1594">
        <f ca="1">'预评函-3'!G4</f>
        <v>17108</v>
      </c>
    </row>
    <row r="53" spans="1:2" s="1595" customFormat="1">
      <c r="A53" s="1593" t="s">
        <v>1278</v>
      </c>
      <c r="B53" s="1594" t="str">
        <f ca="1">'预评函-3'!F5</f>
        <v>壹拾捌亿叁仟叁佰捌拾玖万元整</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f>'预评函-4'!A4</f>
        <v>0</v>
      </c>
    </row>
    <row r="71" spans="1:2">
      <c r="A71" s="1593" t="s">
        <v>1261</v>
      </c>
      <c r="B71" s="1594">
        <f>'预评函-4'!B4</f>
        <v>0</v>
      </c>
    </row>
    <row r="72" spans="1:2">
      <c r="A72" s="1593" t="s">
        <v>1262</v>
      </c>
      <c r="B72" s="1602">
        <f>'预评函-4'!A5</f>
        <v>0</v>
      </c>
    </row>
    <row r="73" spans="1:2" s="1589" customFormat="1" ht="15" thickBot="1">
      <c r="A73" s="1596" t="s">
        <v>1263</v>
      </c>
      <c r="B73" s="1597">
        <f>'预评函-4'!B5</f>
        <v>0</v>
      </c>
    </row>
    <row r="74" spans="1:2" ht="15" thickTop="1">
      <c r="A74" s="1586" t="s">
        <v>1299</v>
      </c>
      <c r="B74" s="1603"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106" t="str">
        <f>项目基本情况!B1</f>
        <v>北京市财源国际大厦A、B座房地产抵押价值预评估</v>
      </c>
      <c r="C37" s="3106"/>
      <c r="D37" s="3106"/>
      <c r="E37" s="3106"/>
      <c r="F37" s="3106"/>
      <c r="G37" s="3106"/>
      <c r="H37" s="3106"/>
      <c r="I37" s="3106"/>
    </row>
    <row r="38" spans="1:9">
      <c r="A38" s="1018"/>
      <c r="B38" s="1018"/>
    </row>
    <row r="39" spans="1:9">
      <c r="A39" s="1016" t="s">
        <v>818</v>
      </c>
      <c r="B39" s="1016" t="s">
        <v>820</v>
      </c>
    </row>
    <row r="40" spans="1:9">
      <c r="A40" s="1016"/>
      <c r="B40" s="1944">
        <f>项目基本情况!B5</f>
        <v>0</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项目基本情况!K4</f>
        <v>（注册号：0)、（注册号：0)</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v>
      </c>
    </row>
    <row r="4" spans="1:1" ht="36">
      <c r="A4" s="1950" t="str">
        <f>"受贵公司委托，我公司对"&amp;项目基本情况!S1&amp;"进行了预评估。"</f>
        <v>受贵公司委托，我公司对北京市财源国际大厦A、B座房地产抵押价值进行了预评估。</v>
      </c>
    </row>
    <row r="5" spans="1:1" ht="18.75">
      <c r="A5" s="1951" t="s">
        <v>1612</v>
      </c>
    </row>
    <row r="6" spans="1:1" ht="18.75">
      <c r="A6" s="1952" t="s">
        <v>1613</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估价对象为北京市财源国际大厦A、B座房地产，为所有。根据，估价对象（分摊）出让国有建设用地使用权面积为9387.88平方米，建筑面积为143997.77平方米。</v>
      </c>
    </row>
    <row r="8" spans="1:1" ht="57.75">
      <c r="A8" s="1953" t="s">
        <v>1614</v>
      </c>
    </row>
    <row r="9" spans="1:1" ht="18.75">
      <c r="A9" s="1952" t="s">
        <v>1615</v>
      </c>
    </row>
    <row r="10" spans="1:1" ht="54">
      <c r="A10" s="1950"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估价对象为北京市财源国际大厦A、B座房地产,属开发建设的办公项目，该项目尚在开发建设中。根据，估价对象（分摊）出让国有建设用地使用权面积为9387.88平方米，规划建筑面积为143997.77平方米。</v>
      </c>
    </row>
    <row r="11" spans="1:1" ht="76.5">
      <c r="A11" s="1953" t="s">
        <v>1616</v>
      </c>
    </row>
    <row r="12" spans="1:1" ht="18.75">
      <c r="A12" s="1951" t="s">
        <v>1617</v>
      </c>
    </row>
    <row r="13" spans="1:1" ht="38.25" customHeight="1">
      <c r="A13" s="1954" t="str">
        <f>IF(项目基本情况!B8="抵押",IF(项目基本情况!B5=项目基本情况!B6,定义!C51,定义!B51),定义!D51)</f>
        <v>拟使用北京市财源国际大厦A、B座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2018年10月22日（评估专业人员实地查勘之日）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10月22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1609</v>
      </c>
    </row>
    <row r="24" spans="1:1" ht="18">
      <c r="A24" s="1957" t="str">
        <f>"本次评估采用的主估价方法为"&amp;'结果表（办公）'!K4&amp;"和"&amp;'结果表（办公）'!L4&amp;"。"</f>
        <v>本次评估采用的主估价方法为比较法和收益法。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311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11"/>
      <c r="C2" s="3111"/>
      <c r="D2" s="3111"/>
      <c r="E2" s="3111"/>
    </row>
    <row r="3" spans="1:5" ht="18">
      <c r="A3" s="3112" t="str">
        <f>IF(项目基本情况!B9="房地产市场价值","估价结果一览表（市场价值不需“结果表-1”）","估价结果一览表")</f>
        <v>估价结果一览表</v>
      </c>
      <c r="B3" s="3112"/>
      <c r="C3" s="3112"/>
      <c r="D3" s="3112"/>
      <c r="E3" s="3112"/>
    </row>
    <row r="4" spans="1:5" ht="19.5" thickBot="1">
      <c r="A4" s="1963"/>
      <c r="B4" s="3110" t="s">
        <v>1630</v>
      </c>
      <c r="C4" s="3110"/>
      <c r="D4" s="3110"/>
      <c r="E4" s="1963"/>
    </row>
    <row r="5" spans="1:5" ht="16.5" thickTop="1">
      <c r="A5" s="1961"/>
      <c r="B5" s="3108" t="s">
        <v>1622</v>
      </c>
      <c r="C5" s="1964" t="s">
        <v>1623</v>
      </c>
      <c r="D5" s="1042">
        <f ca="1">'结果表（办公）'!H101</f>
        <v>1368578</v>
      </c>
      <c r="E5" s="1961"/>
    </row>
    <row r="6" spans="1:5" ht="31.5">
      <c r="A6" s="1961"/>
      <c r="B6" s="3108"/>
      <c r="C6" s="1964" t="s">
        <v>1624</v>
      </c>
      <c r="D6" s="1042" t="str">
        <f ca="1">NUMBERSTRING(INT(D5*10000),2)&amp;"元整"</f>
        <v>壹佰叁拾陆亿捌仟伍佰柒拾捌万元整</v>
      </c>
      <c r="E6" s="1961"/>
    </row>
    <row r="7" spans="1:5" ht="15.75">
      <c r="A7" s="1961"/>
      <c r="B7" s="3113"/>
      <c r="C7" s="1965" t="s">
        <v>1625</v>
      </c>
      <c r="D7" s="1043">
        <f ca="1">'结果表（办公）'!H102</f>
        <v>127675</v>
      </c>
      <c r="E7" s="1961"/>
    </row>
    <row r="8" spans="1:5" ht="15.75">
      <c r="A8" s="1961"/>
      <c r="B8" s="3114" t="str">
        <f>'结果表（办公）'!E103</f>
        <v>2.估价师知悉的法定优先受偿款</v>
      </c>
      <c r="C8" s="1966" t="s">
        <v>1626</v>
      </c>
      <c r="D8" s="1043">
        <f>'结果表（办公）'!H103</f>
        <v>0</v>
      </c>
      <c r="E8" s="1961"/>
    </row>
    <row r="9" spans="1:5" ht="15.75">
      <c r="A9" s="1961"/>
      <c r="B9" s="3116"/>
      <c r="C9" s="1964" t="s">
        <v>1624</v>
      </c>
      <c r="D9" s="1042" t="str">
        <f>NUMBERSTRING(INT(D8*10000),2)&amp;"元整"</f>
        <v>零元整</v>
      </c>
      <c r="E9" s="1961"/>
    </row>
    <row r="10" spans="1:5" ht="15">
      <c r="A10" s="1961"/>
      <c r="B10" s="1967" t="s">
        <v>1629</v>
      </c>
      <c r="C10" s="1968" t="s">
        <v>1627</v>
      </c>
      <c r="D10" s="1044">
        <f>'结果表（办公）'!H104</f>
        <v>0</v>
      </c>
      <c r="E10" s="1961"/>
    </row>
    <row r="11" spans="1:5" ht="15">
      <c r="A11" s="1961"/>
      <c r="B11" s="1967" t="s">
        <v>1631</v>
      </c>
      <c r="C11" s="1968" t="s">
        <v>1632</v>
      </c>
      <c r="D11" s="1044">
        <f>'结果表（办公）'!H105</f>
        <v>0</v>
      </c>
      <c r="E11" s="1961"/>
    </row>
    <row r="12" spans="1:5" ht="15">
      <c r="A12" s="1961"/>
      <c r="B12" s="1967" t="s">
        <v>1633</v>
      </c>
      <c r="C12" s="1968" t="s">
        <v>1632</v>
      </c>
      <c r="D12" s="1044">
        <f>'结果表（办公）'!H106</f>
        <v>0</v>
      </c>
      <c r="E12" s="1961"/>
    </row>
    <row r="13" spans="1:5" ht="15.75">
      <c r="A13" s="1961"/>
      <c r="B13" s="3107" t="str">
        <f>'结果表（办公）'!E107</f>
        <v>3.房地产抵押价值</v>
      </c>
      <c r="C13" s="1969" t="s">
        <v>1623</v>
      </c>
      <c r="D13" s="1045">
        <f ca="1">'结果表（办公）'!H107</f>
        <v>1368578</v>
      </c>
      <c r="E13" s="1961"/>
    </row>
    <row r="14" spans="1:5" ht="31.5">
      <c r="A14" s="1961"/>
      <c r="B14" s="3108"/>
      <c r="C14" s="1964" t="s">
        <v>1624</v>
      </c>
      <c r="D14" s="1042" t="str">
        <f ca="1">NUMBERSTRING(INT(D13*10000),2)&amp;"元整"</f>
        <v>壹佰叁拾陆亿捌仟伍佰柒拾捌万元整</v>
      </c>
      <c r="E14" s="1961"/>
    </row>
    <row r="15" spans="1:5" ht="15">
      <c r="A15" s="1961"/>
      <c r="B15" s="3113"/>
      <c r="C15" s="1965" t="s">
        <v>1634</v>
      </c>
      <c r="D15" s="1054">
        <f ca="1">'结果表（办公）'!H108</f>
        <v>95042</v>
      </c>
      <c r="E15" s="1961"/>
    </row>
    <row r="16" spans="1:5" ht="15">
      <c r="A16" s="1961"/>
      <c r="B16" s="3114" t="str">
        <f>'结果表（办公）'!E109</f>
        <v>——</v>
      </c>
      <c r="C16" s="1969" t="s">
        <v>1635</v>
      </c>
      <c r="D16" s="1970" t="str">
        <f>'结果表（办公）'!H109</f>
        <v>——</v>
      </c>
      <c r="E16" s="1961"/>
    </row>
    <row r="17" spans="1:5" ht="15.75">
      <c r="A17" s="1961"/>
      <c r="B17" s="3115"/>
      <c r="C17" s="1964" t="s">
        <v>1636</v>
      </c>
      <c r="D17" s="1042" t="e">
        <f>NUMBERSTRING(INT(D16*10000),2)&amp;"元整"</f>
        <v>#VALUE!</v>
      </c>
      <c r="E17" s="1961"/>
    </row>
    <row r="18" spans="1:5" ht="15">
      <c r="A18" s="1961"/>
      <c r="B18" s="3116"/>
      <c r="C18" s="1965" t="s">
        <v>1625</v>
      </c>
      <c r="D18" s="1054" t="str">
        <f>'结果表（办公）'!H110</f>
        <v>——</v>
      </c>
      <c r="E18" s="1961"/>
    </row>
    <row r="19" spans="1:5" ht="15.75">
      <c r="A19" s="1961"/>
      <c r="B19" s="3107" t="str">
        <f>'结果表（办公）'!E111</f>
        <v>——</v>
      </c>
      <c r="C19" s="1969" t="s">
        <v>1623</v>
      </c>
      <c r="D19" s="1043" t="str">
        <f>'结果表（办公）'!H111</f>
        <v>——</v>
      </c>
      <c r="E19" s="1961"/>
    </row>
    <row r="20" spans="1:5" ht="15.75">
      <c r="A20" s="1961"/>
      <c r="B20" s="3108"/>
      <c r="C20" s="1964" t="s">
        <v>1636</v>
      </c>
      <c r="D20" s="1042" t="e">
        <f>NUMBERSTRING(INT(D19*10000),2)&amp;"元整"</f>
        <v>#VALUE!</v>
      </c>
      <c r="E20" s="1961"/>
    </row>
    <row r="21" spans="1:5" ht="15.75" thickBot="1">
      <c r="A21" s="1961"/>
      <c r="B21" s="3109"/>
      <c r="C21" s="1971" t="s">
        <v>1634</v>
      </c>
      <c r="D21" s="1055" t="str">
        <f>'结果表（办公）'!H112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126" t="str">
        <f>IF(项目基本情况!B9="房地产市场价值","估价结果一览表","结果表-2")</f>
        <v>结果表-2</v>
      </c>
      <c r="B1" s="3126"/>
      <c r="C1" s="3126"/>
      <c r="D1" s="3126"/>
      <c r="E1" s="3126"/>
      <c r="F1" s="3126"/>
      <c r="G1" s="3126"/>
      <c r="H1" s="3126"/>
      <c r="I1" s="3126"/>
    </row>
    <row r="2" spans="1:9" ht="30" customHeight="1" thickTop="1">
      <c r="A2" s="3127" t="s">
        <v>1641</v>
      </c>
      <c r="B2" s="3127" t="s">
        <v>1642</v>
      </c>
      <c r="C2" s="3127" t="s">
        <v>1643</v>
      </c>
      <c r="D2" s="3127" t="str">
        <f>'结果表（办公）'!D116</f>
        <v>出让国有建设用地使用权价值</v>
      </c>
      <c r="E2" s="3127"/>
      <c r="F2" s="3127" t="str">
        <f>'结果表（办公）'!F116</f>
        <v>在建建筑物价值</v>
      </c>
      <c r="G2" s="3127"/>
      <c r="H2" s="3127" t="str">
        <f>IF(项目基本情况!B9="房地产市场价值","房地产市场价值","房地产价值")</f>
        <v>房地产价值</v>
      </c>
      <c r="I2" s="3127"/>
    </row>
    <row r="3" spans="1:9" ht="15">
      <c r="A3" s="3121"/>
      <c r="B3" s="3121"/>
      <c r="C3" s="3121"/>
      <c r="D3" s="1046" t="s">
        <v>1638</v>
      </c>
      <c r="E3" s="1046" t="s">
        <v>1644</v>
      </c>
      <c r="F3" s="1046" t="s">
        <v>1638</v>
      </c>
      <c r="G3" s="1046" t="s">
        <v>1639</v>
      </c>
      <c r="H3" s="1046" t="s">
        <v>1638</v>
      </c>
      <c r="I3" s="1046" t="s">
        <v>1639</v>
      </c>
    </row>
    <row r="4" spans="1:9" ht="30">
      <c r="A4" s="1975" t="str">
        <f>项目基本情况!S2</f>
        <v>北京市财源国际大厦A、B座房地产</v>
      </c>
      <c r="B4" s="1046">
        <f>项目基本情况!C17</f>
        <v>143997.77000000002</v>
      </c>
      <c r="C4" s="1046">
        <f>项目基本情况!C18</f>
        <v>9387.8799999999992</v>
      </c>
      <c r="D4" s="1046">
        <f ca="1">'结果表（办公）'!D118</f>
        <v>1185189</v>
      </c>
      <c r="E4" s="1046">
        <f ca="1">'结果表（办公）'!E118</f>
        <v>110567</v>
      </c>
      <c r="F4" s="1046">
        <f ca="1">'结果表（办公）'!F118</f>
        <v>183389</v>
      </c>
      <c r="G4" s="1046">
        <f ca="1">'结果表（办公）'!G118</f>
        <v>17108</v>
      </c>
      <c r="H4" s="1046">
        <f ca="1">'结果表（办公）'!H118</f>
        <v>1368578</v>
      </c>
      <c r="I4" s="1046">
        <f ca="1">'结果表（办公）'!I118</f>
        <v>127675</v>
      </c>
    </row>
    <row r="5" spans="1:9" ht="30" customHeight="1">
      <c r="A5" s="3121" t="s">
        <v>1640</v>
      </c>
      <c r="B5" s="3121"/>
      <c r="C5" s="3121"/>
      <c r="D5" s="3122" t="str">
        <f ca="1">'结果表（办公）'!D119</f>
        <v>壹佰壹拾捌亿伍仟壹佰捌拾玖万元整</v>
      </c>
      <c r="E5" s="3122"/>
      <c r="F5" s="3122" t="str">
        <f ca="1">'结果表（办公）'!F119</f>
        <v>壹拾捌亿叁仟叁佰捌拾玖万元整</v>
      </c>
      <c r="G5" s="3122"/>
      <c r="H5" s="3122" t="str">
        <f ca="1">'结果表（办公）'!H119</f>
        <v>壹佰叁拾陆亿捌仟伍佰柒拾捌万元整</v>
      </c>
      <c r="I5" s="3122"/>
    </row>
    <row r="6" spans="1:9" ht="15.75">
      <c r="A6" s="3120" t="str">
        <f>'结果表（办公）'!A120</f>
        <v>估价师知悉的法定优先受偿款</v>
      </c>
      <c r="B6" s="3120"/>
      <c r="C6" s="3120"/>
      <c r="D6" s="3120">
        <f>'结果表（办公）'!D120</f>
        <v>0</v>
      </c>
      <c r="E6" s="3120"/>
      <c r="F6" s="3120"/>
      <c r="G6" s="3120"/>
      <c r="H6" s="3120"/>
      <c r="I6" s="3120"/>
    </row>
    <row r="7" spans="1:9" ht="15">
      <c r="A7" s="3121" t="s">
        <v>1640</v>
      </c>
      <c r="B7" s="3121"/>
      <c r="C7" s="3121"/>
      <c r="D7" s="3123" t="str">
        <f>'结果表（办公）'!D121</f>
        <v>零元整</v>
      </c>
      <c r="E7" s="3124"/>
      <c r="F7" s="3124"/>
      <c r="G7" s="3124"/>
      <c r="H7" s="3124"/>
      <c r="I7" s="3125"/>
    </row>
    <row r="8" spans="1:9" ht="15.75">
      <c r="A8" s="3120" t="str">
        <f>'结果表（办公）'!A122</f>
        <v>房地产抵押价值</v>
      </c>
      <c r="B8" s="3120"/>
      <c r="C8" s="3120"/>
      <c r="D8" s="3120">
        <f ca="1">'结果表（办公）'!D122</f>
        <v>1368578</v>
      </c>
      <c r="E8" s="3120"/>
      <c r="F8" s="3120"/>
      <c r="G8" s="3120"/>
      <c r="H8" s="3120"/>
      <c r="I8" s="3120"/>
    </row>
    <row r="9" spans="1:9" ht="15">
      <c r="A9" s="3121" t="s">
        <v>1640</v>
      </c>
      <c r="B9" s="3121"/>
      <c r="C9" s="3121"/>
      <c r="D9" s="3122" t="str">
        <f ca="1">'结果表（办公）'!D123</f>
        <v>壹佰叁拾陆亿捌仟伍佰柒拾捌万元整</v>
      </c>
      <c r="E9" s="3122"/>
      <c r="F9" s="3122"/>
      <c r="G9" s="3122"/>
      <c r="H9" s="3122"/>
      <c r="I9" s="3122"/>
    </row>
    <row r="10" spans="1:9" ht="15.75">
      <c r="A10" s="3120" t="str">
        <f>'结果表（办公）'!A124</f>
        <v/>
      </c>
      <c r="B10" s="3120"/>
      <c r="C10" s="3120"/>
      <c r="D10" s="3120" t="str">
        <f>'结果表（办公）'!D124</f>
        <v>——</v>
      </c>
      <c r="E10" s="3120"/>
      <c r="F10" s="3120"/>
      <c r="G10" s="3120"/>
      <c r="H10" s="3120"/>
      <c r="I10" s="3120"/>
    </row>
    <row r="11" spans="1:9" ht="15">
      <c r="A11" s="3121" t="s">
        <v>1640</v>
      </c>
      <c r="B11" s="3121"/>
      <c r="C11" s="3121"/>
      <c r="D11" s="3122" t="e">
        <f>'结果表（办公）'!D125</f>
        <v>#VALUE!</v>
      </c>
      <c r="E11" s="3122"/>
      <c r="F11" s="3122"/>
      <c r="G11" s="3122"/>
      <c r="H11" s="3122"/>
      <c r="I11" s="3122"/>
    </row>
    <row r="12" spans="1:9" ht="15.75">
      <c r="A12" s="3120" t="str">
        <f>'结果表（办公）'!A126</f>
        <v/>
      </c>
      <c r="B12" s="3120"/>
      <c r="C12" s="3120"/>
      <c r="D12" s="3120" t="str">
        <f>'结果表（办公）'!D126</f>
        <v>——</v>
      </c>
      <c r="E12" s="3120"/>
      <c r="F12" s="3120"/>
      <c r="G12" s="3120"/>
      <c r="H12" s="3120"/>
      <c r="I12" s="3120"/>
    </row>
    <row r="13" spans="1:9" ht="15.75" thickBot="1">
      <c r="A13" s="3117" t="s">
        <v>1640</v>
      </c>
      <c r="B13" s="3117"/>
      <c r="C13" s="3117"/>
      <c r="D13" s="3118" t="e">
        <f>'结果表（办公）'!D127</f>
        <v>#VALUE!</v>
      </c>
      <c r="E13" s="3118"/>
      <c r="F13" s="3118"/>
      <c r="G13" s="3118"/>
      <c r="H13" s="3118"/>
      <c r="I13" s="3118"/>
    </row>
    <row r="14" spans="1:9" ht="15" thickTop="1">
      <c r="A14" s="3119" t="s">
        <v>1645</v>
      </c>
      <c r="B14" s="3119"/>
      <c r="C14" s="3119"/>
      <c r="D14" s="3119"/>
      <c r="E14" s="3119"/>
      <c r="F14" s="3119"/>
      <c r="G14" s="3119"/>
      <c r="H14" s="3119"/>
      <c r="I14" s="3119"/>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134" t="s">
        <v>1662</v>
      </c>
      <c r="B1" s="3134"/>
      <c r="C1" s="3134"/>
      <c r="D1" s="3134"/>
    </row>
    <row r="2" spans="1:4" ht="18">
      <c r="A2" s="3135" t="s">
        <v>1646</v>
      </c>
      <c r="B2" s="3135"/>
      <c r="C2" s="3135"/>
      <c r="D2" s="3135"/>
    </row>
    <row r="3" spans="1:4" ht="18.75">
      <c r="A3" s="1979" t="s">
        <v>1647</v>
      </c>
      <c r="B3" s="1979" t="s">
        <v>1648</v>
      </c>
      <c r="C3" s="1979" t="s">
        <v>1649</v>
      </c>
      <c r="D3" s="1979" t="s">
        <v>1650</v>
      </c>
    </row>
    <row r="4" spans="1:4" ht="56.25" customHeight="1">
      <c r="A4" s="1980">
        <f>项目基本情况!B4</f>
        <v>0</v>
      </c>
      <c r="B4" s="1981">
        <f>项目基本情况!C4</f>
        <v>0</v>
      </c>
      <c r="C4" s="1982"/>
      <c r="D4" s="1983" t="s">
        <v>1651</v>
      </c>
    </row>
    <row r="5" spans="1:4" ht="56.25" customHeight="1">
      <c r="A5" s="1980">
        <f>项目基本情况!D4</f>
        <v>0</v>
      </c>
      <c r="B5" s="1981">
        <f>项目基本情况!E4</f>
        <v>0</v>
      </c>
      <c r="C5" s="1984"/>
      <c r="D5" s="1983" t="s">
        <v>1651</v>
      </c>
    </row>
    <row r="6" spans="1:4" ht="18">
      <c r="A6" s="3135" t="s">
        <v>1652</v>
      </c>
      <c r="B6" s="3135"/>
      <c r="C6" s="3135"/>
      <c r="D6" s="3135"/>
    </row>
    <row r="7" spans="1:4" ht="18.75">
      <c r="A7" s="1979" t="s">
        <v>1647</v>
      </c>
      <c r="B7" s="1981" t="s">
        <v>1653</v>
      </c>
      <c r="C7" s="1979" t="s">
        <v>1649</v>
      </c>
      <c r="D7" s="1979" t="s">
        <v>1650</v>
      </c>
    </row>
    <row r="8" spans="1:4" ht="56.25" customHeight="1">
      <c r="A8" s="1985" t="s">
        <v>869</v>
      </c>
      <c r="B8" s="1985" t="s">
        <v>1</v>
      </c>
      <c r="C8" s="1982"/>
      <c r="D8" s="1983" t="s">
        <v>1651</v>
      </c>
    </row>
    <row r="9" spans="1:4">
      <c r="A9" s="727"/>
      <c r="B9" s="727"/>
      <c r="C9" s="727"/>
      <c r="D9" s="727"/>
    </row>
    <row r="10" spans="1:4" ht="18.75">
      <c r="A10" s="1986" t="s">
        <v>1654</v>
      </c>
      <c r="B10" s="727"/>
      <c r="C10" s="727"/>
      <c r="D10" s="727"/>
    </row>
    <row r="11" spans="1:4" ht="30" customHeight="1">
      <c r="A11" s="3136" t="s">
        <v>1655</v>
      </c>
      <c r="B11" s="3128"/>
      <c r="C11" s="3128"/>
      <c r="D11" s="3128"/>
    </row>
    <row r="12" spans="1:4" ht="15.75">
      <c r="A12" s="312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3"/>
      <c r="C12" s="3133"/>
      <c r="D12" s="3133"/>
    </row>
    <row r="13" spans="1:4" ht="30" customHeight="1">
      <c r="A13" s="312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3"/>
      <c r="C13" s="3133"/>
      <c r="D13" s="3133"/>
    </row>
    <row r="14" spans="1:4" ht="15.75" customHeight="1">
      <c r="A14" s="3128" t="str">
        <f>IF(项目基本情况!B8="抵押","4.本次评估估价师所知悉的法定优先受偿款情况说明如下：","——")</f>
        <v>4.本次评估估价师所知悉的法定优先受偿款情况说明如下：</v>
      </c>
      <c r="B14" s="3133"/>
      <c r="C14" s="3133"/>
      <c r="D14" s="3133"/>
    </row>
    <row r="15" spans="1:4" ht="42" customHeight="1">
      <c r="A15" s="312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28"/>
      <c r="C15" s="3128"/>
      <c r="D15" s="3128"/>
    </row>
    <row r="16" spans="1:4" ht="30" customHeight="1">
      <c r="A16" s="3130" t="s">
        <v>1656</v>
      </c>
      <c r="B16" s="3130"/>
      <c r="C16" s="3130"/>
      <c r="D16" s="3130"/>
    </row>
    <row r="17" spans="1:4" ht="144" customHeight="1">
      <c r="A17" s="3130" t="s">
        <v>1657</v>
      </c>
      <c r="B17" s="3130"/>
      <c r="C17" s="3130"/>
      <c r="D17" s="3130"/>
    </row>
    <row r="18" spans="1:4" ht="15.75" customHeight="1">
      <c r="A18" s="3128" t="str">
        <f>IF(项目基本情况!B8="抵押",'结果表（办公）'!K120,"——")</f>
        <v>故，本次评估不存在估价师知悉的法定优先受偿款</v>
      </c>
      <c r="B18" s="3128"/>
      <c r="C18" s="3128"/>
      <c r="D18" s="3128"/>
    </row>
    <row r="19" spans="1:4" ht="46.5" customHeight="1">
      <c r="A19" s="312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8"/>
      <c r="C19" s="3128"/>
      <c r="D19" s="3128"/>
    </row>
    <row r="20" spans="1:4" ht="57.75" customHeight="1">
      <c r="A20" s="3128"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28"/>
      <c r="C20" s="3128"/>
      <c r="D20" s="3128"/>
    </row>
    <row r="21" spans="1:4" ht="57.75" customHeight="1">
      <c r="A21" s="3131"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31"/>
      <c r="C21" s="3131"/>
      <c r="D21" s="3131"/>
    </row>
    <row r="22" spans="1:4" ht="18.75" customHeight="1">
      <c r="A22" s="3132" t="s">
        <v>1658</v>
      </c>
      <c r="B22" s="3132"/>
      <c r="C22" s="3132"/>
      <c r="D22" s="3132"/>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3129">
        <v>42551</v>
      </c>
      <c r="D31" s="312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142" t="s">
        <v>1669</v>
      </c>
      <c r="B15" s="3137" t="s">
        <v>136</v>
      </c>
      <c r="C15" s="3138"/>
    </row>
    <row r="16" spans="1:7" ht="13.5">
      <c r="A16" s="3143"/>
      <c r="B16" s="3137" t="s">
        <v>69</v>
      </c>
      <c r="C16" s="3138"/>
    </row>
    <row r="17" spans="1:3" ht="13.5">
      <c r="A17" s="3143"/>
      <c r="B17" s="3140" t="s">
        <v>1670</v>
      </c>
      <c r="C17" s="2002" t="s">
        <v>1669</v>
      </c>
    </row>
    <row r="18" spans="1:3" ht="13.5">
      <c r="A18" s="3143"/>
      <c r="B18" s="3140"/>
      <c r="C18" s="2002" t="s">
        <v>1671</v>
      </c>
    </row>
    <row r="19" spans="1:3" ht="13.5">
      <c r="A19" s="3143"/>
      <c r="B19" s="3140"/>
      <c r="C19" s="2002" t="s">
        <v>1672</v>
      </c>
    </row>
    <row r="20" spans="1:3" ht="13.5">
      <c r="A20" s="3144"/>
      <c r="B20" s="3139" t="s">
        <v>1673</v>
      </c>
      <c r="C20" s="3138"/>
    </row>
    <row r="21" spans="1:3" ht="13.5">
      <c r="A21" s="2003" t="s">
        <v>1674</v>
      </c>
      <c r="B21" s="2004"/>
      <c r="C21" s="2005"/>
    </row>
    <row r="22" spans="1:3" ht="13.5">
      <c r="A22" s="3141" t="s">
        <v>1675</v>
      </c>
      <c r="B22" s="3139" t="s">
        <v>1676</v>
      </c>
      <c r="C22" s="3138"/>
    </row>
    <row r="23" spans="1:3" ht="13.5">
      <c r="A23" s="3141"/>
      <c r="B23" s="3139" t="s">
        <v>1677</v>
      </c>
      <c r="C23" s="3138"/>
    </row>
    <row r="24" spans="1:3" ht="13.5">
      <c r="A24" s="3141"/>
      <c r="B24" s="3139" t="s">
        <v>1678</v>
      </c>
      <c r="C24" s="3138"/>
    </row>
    <row r="25" spans="1:3" ht="13.5">
      <c r="A25" s="3141"/>
      <c r="B25" s="3140" t="s">
        <v>1679</v>
      </c>
      <c r="C25" s="2002" t="s">
        <v>1680</v>
      </c>
    </row>
    <row r="26" spans="1:3" ht="13.5">
      <c r="A26" s="3141"/>
      <c r="B26" s="3140"/>
      <c r="C26" s="2002" t="s">
        <v>1681</v>
      </c>
    </row>
    <row r="27" spans="1:3" ht="13.5">
      <c r="A27" s="3141"/>
      <c r="B27" s="3140"/>
      <c r="C27" s="2002" t="s">
        <v>1682</v>
      </c>
    </row>
    <row r="28" spans="1:3" ht="13.5">
      <c r="A28" s="3141"/>
      <c r="B28" s="3140"/>
      <c r="C28" s="2002" t="s">
        <v>1683</v>
      </c>
    </row>
    <row r="29" spans="1:3" ht="13.5">
      <c r="A29" s="3141"/>
      <c r="B29" s="3140"/>
      <c r="C29" s="2002" t="s">
        <v>1684</v>
      </c>
    </row>
    <row r="30" spans="1:3" ht="13.5">
      <c r="A30" s="3141"/>
      <c r="B30" s="3140"/>
      <c r="C30" s="2002" t="s">
        <v>1685</v>
      </c>
    </row>
    <row r="31" spans="1:3" ht="13.5">
      <c r="A31" s="3141"/>
      <c r="B31" s="3140"/>
      <c r="C31" s="2002" t="s">
        <v>1686</v>
      </c>
    </row>
    <row r="32" spans="1:3" ht="13.5">
      <c r="A32" s="3141"/>
      <c r="B32" s="3140"/>
      <c r="C32" s="2002" t="s">
        <v>1687</v>
      </c>
    </row>
    <row r="33" spans="1:3" ht="13.5">
      <c r="A33" s="3141"/>
      <c r="B33" s="3140"/>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43398</v>
      </c>
      <c r="C2" s="1021" t="s">
        <v>826</v>
      </c>
      <c r="D2" s="1021"/>
    </row>
    <row r="3" spans="1:6" ht="24" customHeight="1">
      <c r="A3" s="1022" t="s">
        <v>827</v>
      </c>
      <c r="B3" s="1023" t="s">
        <v>828</v>
      </c>
      <c r="C3" s="2348" t="s">
        <v>829</v>
      </c>
      <c r="D3" s="2351" t="s">
        <v>830</v>
      </c>
      <c r="E3" s="1024" t="s">
        <v>831</v>
      </c>
      <c r="F3" s="1023" t="s">
        <v>829</v>
      </c>
    </row>
    <row r="4" spans="1:6" ht="24" customHeight="1">
      <c r="A4" s="1704" t="s">
        <v>832</v>
      </c>
      <c r="B4" s="1024">
        <f ca="1">IF(C4&lt;B2,"已过期",1119970066)</f>
        <v>1119970066</v>
      </c>
      <c r="C4" s="2349">
        <v>43849</v>
      </c>
      <c r="D4" s="2352" t="s">
        <v>832</v>
      </c>
      <c r="E4" s="1024">
        <f ca="1">IF(F4&lt;B2,"已过期",96010014)</f>
        <v>96010014</v>
      </c>
      <c r="F4" s="1032">
        <v>47118</v>
      </c>
    </row>
    <row r="5" spans="1:6" ht="24" customHeight="1">
      <c r="A5" s="1704" t="s">
        <v>833</v>
      </c>
      <c r="B5" s="1024">
        <f ca="1">IF(C5&lt;B2,"已过期",1119970074)</f>
        <v>1119970074</v>
      </c>
      <c r="C5" s="2349">
        <v>43849</v>
      </c>
      <c r="D5" s="2352" t="s">
        <v>833</v>
      </c>
      <c r="E5" s="1024">
        <f ca="1">IF(F5&lt;B2,"已过期",2002110027)</f>
        <v>2002110027</v>
      </c>
      <c r="F5" s="1032">
        <v>46752</v>
      </c>
    </row>
    <row r="6" spans="1:6" ht="24" customHeight="1">
      <c r="A6" s="1704" t="s">
        <v>834</v>
      </c>
      <c r="B6" s="1024">
        <f ca="1">IF(C6&lt;B2,"已过期",1119970111)</f>
        <v>1119970111</v>
      </c>
      <c r="C6" s="2349">
        <v>43849</v>
      </c>
      <c r="D6" s="2352" t="s">
        <v>834</v>
      </c>
      <c r="E6" s="1024">
        <f ca="1">IF(F6&lt;B2,"已过期",94010078)</f>
        <v>94010078</v>
      </c>
      <c r="F6" s="1032">
        <v>46387</v>
      </c>
    </row>
    <row r="7" spans="1:6" ht="24" customHeight="1">
      <c r="A7" s="1704" t="s">
        <v>835</v>
      </c>
      <c r="B7" s="1024">
        <f ca="1">IF(C7&lt;B2,"已过期",1120050019)</f>
        <v>1120050019</v>
      </c>
      <c r="C7" s="2349">
        <v>44395</v>
      </c>
      <c r="D7" s="2352" t="s">
        <v>835</v>
      </c>
      <c r="E7" s="1024">
        <f ca="1">IF(F7&lt;B2,"已过期",2002110030)</f>
        <v>2002110030</v>
      </c>
      <c r="F7" s="1032">
        <v>46387</v>
      </c>
    </row>
    <row r="8" spans="1:6" ht="24" customHeight="1">
      <c r="A8" s="1704" t="s">
        <v>836</v>
      </c>
      <c r="B8" s="1024">
        <f ca="1">IF(C8&lt;B2,"已过期",1120000080)</f>
        <v>1120000080</v>
      </c>
      <c r="C8" s="2349">
        <v>43849</v>
      </c>
      <c r="D8" s="2352" t="s">
        <v>836</v>
      </c>
      <c r="E8" s="1024">
        <f ca="1">IF(F8&lt;B2,"已过期",2000110082)</f>
        <v>2000110082</v>
      </c>
      <c r="F8" s="1032">
        <v>46387</v>
      </c>
    </row>
    <row r="9" spans="1:6" ht="24" customHeight="1">
      <c r="A9" s="1704" t="s">
        <v>837</v>
      </c>
      <c r="B9" s="1024">
        <f ca="1">IF(C9&lt;B2,"已过期",1419970001)</f>
        <v>1419970001</v>
      </c>
      <c r="C9" s="2349">
        <v>43867</v>
      </c>
      <c r="D9" s="2352" t="s">
        <v>837</v>
      </c>
      <c r="E9" s="1024">
        <f ca="1">IF(F9&lt;B2,"已过期",2002110125)</f>
        <v>2002110125</v>
      </c>
      <c r="F9" s="1032">
        <v>47118</v>
      </c>
    </row>
    <row r="10" spans="1:6" ht="24" customHeight="1">
      <c r="A10" s="1704" t="s">
        <v>838</v>
      </c>
      <c r="B10" s="1024">
        <f ca="1">IF(C10&lt;B2,"已过期",1120060040)</f>
        <v>1120060040</v>
      </c>
      <c r="C10" s="2349">
        <v>43483</v>
      </c>
      <c r="D10" s="2352" t="s">
        <v>838</v>
      </c>
      <c r="E10" s="1024">
        <f ca="1">IF(F10&lt;B2,"已过期",2004110096)</f>
        <v>2004110096</v>
      </c>
      <c r="F10" s="1032">
        <v>47118</v>
      </c>
    </row>
    <row r="11" spans="1:6" ht="24" customHeight="1">
      <c r="A11" s="1704" t="s">
        <v>839</v>
      </c>
      <c r="B11" s="1024">
        <f ca="1">IF(C11&lt;B2,"已过期",1120100036)</f>
        <v>1120100036</v>
      </c>
      <c r="C11" s="2349">
        <v>43622</v>
      </c>
      <c r="D11" s="2352" t="s">
        <v>839</v>
      </c>
      <c r="E11" s="1024">
        <f ca="1">IF(F11&lt;B2,"已过期",2010110070)</f>
        <v>2010110070</v>
      </c>
      <c r="F11" s="1032">
        <v>47907</v>
      </c>
    </row>
    <row r="12" spans="1:6" ht="24" customHeight="1">
      <c r="A12" s="1704" t="s">
        <v>3015</v>
      </c>
      <c r="B12" s="1024">
        <v>1120110054</v>
      </c>
      <c r="C12" s="2904">
        <v>43937</v>
      </c>
      <c r="D12" s="1704" t="s">
        <v>3015</v>
      </c>
      <c r="E12" s="1024">
        <v>2008110060</v>
      </c>
      <c r="F12" s="1032">
        <v>47177</v>
      </c>
    </row>
    <row r="13" spans="1:6" ht="24" customHeight="1">
      <c r="A13" s="1704" t="s">
        <v>840</v>
      </c>
      <c r="B13" s="1024">
        <f ca="1">IF(C13&lt;B2,"已过期",1120070131)</f>
        <v>1120070131</v>
      </c>
      <c r="C13" s="2349">
        <v>43814</v>
      </c>
      <c r="D13" s="2352" t="s">
        <v>840</v>
      </c>
      <c r="E13" s="1024">
        <v>2014110011</v>
      </c>
      <c r="F13" s="1032">
        <v>49302</v>
      </c>
    </row>
    <row r="14" spans="1:6" ht="24" customHeight="1">
      <c r="A14" s="1704" t="s">
        <v>841</v>
      </c>
      <c r="B14" s="1024">
        <f ca="1">IF(C14&lt;B2,"已过期",1120130020)</f>
        <v>1120130020</v>
      </c>
      <c r="C14" s="2349">
        <v>43622</v>
      </c>
      <c r="D14" s="2352"/>
      <c r="E14" s="1024"/>
      <c r="F14" s="1024"/>
    </row>
    <row r="15" spans="1:6" ht="24" customHeight="1">
      <c r="A15" s="1705" t="s">
        <v>1149</v>
      </c>
      <c r="B15" s="1024">
        <v>1120070085</v>
      </c>
      <c r="C15" s="2349">
        <v>43814</v>
      </c>
      <c r="D15" s="2353" t="s">
        <v>1149</v>
      </c>
      <c r="E15" s="1024">
        <v>2004110128</v>
      </c>
      <c r="F15" s="1025">
        <v>47118</v>
      </c>
    </row>
    <row r="16" spans="1:6" ht="24" customHeight="1">
      <c r="A16" s="1704" t="s">
        <v>842</v>
      </c>
      <c r="B16" s="1024">
        <f ca="1">IF(C16&lt;B2,"已过期",1120140022)</f>
        <v>1120140022</v>
      </c>
      <c r="C16" s="2349">
        <v>44029</v>
      </c>
      <c r="D16" s="2352" t="s">
        <v>842</v>
      </c>
      <c r="E16" s="1024">
        <f ca="1">IF(F16&lt;B2,"已过期",2008110059)</f>
        <v>2008110059</v>
      </c>
      <c r="F16" s="1032">
        <v>47177</v>
      </c>
    </row>
    <row r="17" spans="1:7" ht="24" customHeight="1">
      <c r="A17" s="1704"/>
      <c r="B17" s="1024"/>
      <c r="C17" s="2349"/>
      <c r="D17" s="2352"/>
      <c r="E17" s="1024"/>
      <c r="F17" s="1032"/>
    </row>
    <row r="18" spans="1:7" ht="24" customHeight="1">
      <c r="A18" s="1704"/>
      <c r="B18" s="1024"/>
      <c r="C18" s="2349"/>
      <c r="D18" s="2352"/>
      <c r="E18" s="1024"/>
      <c r="F18" s="1032"/>
    </row>
    <row r="19" spans="1:7" ht="24" customHeight="1">
      <c r="A19" s="1704"/>
      <c r="B19" s="1024"/>
      <c r="C19" s="2349"/>
      <c r="D19" s="2352"/>
      <c r="E19" s="1024"/>
      <c r="F19" s="1024"/>
    </row>
    <row r="20" spans="1:7" ht="24" customHeight="1">
      <c r="A20" s="1704"/>
      <c r="B20" s="1024"/>
      <c r="C20" s="2349"/>
      <c r="D20" s="2352"/>
      <c r="E20" s="1024"/>
      <c r="F20" s="1024"/>
    </row>
    <row r="21" spans="1:7" ht="24" customHeight="1">
      <c r="A21" s="1704"/>
      <c r="B21" s="1024"/>
      <c r="C21" s="2349"/>
      <c r="D21" s="2352" t="s">
        <v>843</v>
      </c>
      <c r="E21" s="1024">
        <f ca="1">IF(F21&lt;B2,"已过期",2011110090)</f>
        <v>2011110090</v>
      </c>
      <c r="F21" s="1032">
        <v>48302</v>
      </c>
    </row>
    <row r="22" spans="1:7" ht="24" customHeight="1">
      <c r="A22" s="1704" t="s">
        <v>844</v>
      </c>
      <c r="B22" s="1024">
        <f ca="1">IF(C22&lt;B2,"已过期",1120020033)</f>
        <v>1120020033</v>
      </c>
      <c r="C22" s="2904">
        <v>44339</v>
      </c>
      <c r="D22" s="2352" t="s">
        <v>844</v>
      </c>
      <c r="E22" s="1024">
        <f ca="1">IF(F22&lt;B2,"已过期",2000110137)</f>
        <v>2000110137</v>
      </c>
      <c r="F22" s="1032">
        <v>46387</v>
      </c>
    </row>
    <row r="23" spans="1:7" ht="24" customHeight="1">
      <c r="A23" s="1704" t="s">
        <v>845</v>
      </c>
      <c r="B23" s="1024">
        <f ca="1">IF(C23&lt;B2,"已过期",1120130048)</f>
        <v>1120130048</v>
      </c>
      <c r="C23" s="2349">
        <v>43686</v>
      </c>
      <c r="D23" s="2352"/>
      <c r="E23" s="1024"/>
      <c r="F23" s="1024"/>
    </row>
    <row r="24" spans="1:7" s="1026" customFormat="1" ht="24" customHeight="1">
      <c r="A24" s="1705" t="s">
        <v>1333</v>
      </c>
      <c r="B24" s="1705" t="s">
        <v>1333</v>
      </c>
      <c r="C24" s="2350" t="s">
        <v>1333</v>
      </c>
      <c r="D24" s="2353" t="s">
        <v>1333</v>
      </c>
      <c r="E24" s="1705" t="s">
        <v>1333</v>
      </c>
      <c r="F24" s="1705" t="s">
        <v>1333</v>
      </c>
    </row>
    <row r="25" spans="1:7" ht="24" customHeight="1">
      <c r="A25" s="3145" t="s">
        <v>846</v>
      </c>
      <c r="B25" s="3145"/>
      <c r="C25" s="3145"/>
      <c r="D25" s="3145"/>
      <c r="E25" s="3145"/>
      <c r="F25" s="3145"/>
      <c r="G25" s="3145"/>
    </row>
    <row r="26" spans="1:7" s="1027" customFormat="1" ht="24" customHeight="1">
      <c r="A26" s="3146" t="s">
        <v>847</v>
      </c>
      <c r="B26" s="3146"/>
      <c r="C26" s="3147"/>
      <c r="D26" s="3148" t="s">
        <v>848</v>
      </c>
      <c r="E26" s="3146"/>
      <c r="F26" s="3146"/>
    </row>
    <row r="27" spans="1:7" s="1029" customFormat="1" ht="24" customHeight="1">
      <c r="A27" s="1028" t="s">
        <v>849</v>
      </c>
      <c r="B27" s="1023" t="s">
        <v>850</v>
      </c>
      <c r="C27" s="2348" t="s">
        <v>851</v>
      </c>
      <c r="D27" s="2356" t="s">
        <v>849</v>
      </c>
      <c r="E27" s="1023" t="s">
        <v>850</v>
      </c>
      <c r="F27" s="1023" t="s">
        <v>851</v>
      </c>
    </row>
    <row r="28" spans="1:7" s="1029" customFormat="1" ht="24" customHeight="1">
      <c r="A28" s="1030" t="s">
        <v>852</v>
      </c>
      <c r="B28" s="1031" t="s">
        <v>853</v>
      </c>
      <c r="C28" s="2354">
        <v>43725</v>
      </c>
      <c r="D28" s="2357" t="s">
        <v>854</v>
      </c>
      <c r="E28" s="1030" t="s">
        <v>855</v>
      </c>
      <c r="F28" s="1060">
        <v>44377</v>
      </c>
    </row>
    <row r="29" spans="1:7" s="1029" customFormat="1" ht="24" customHeight="1">
      <c r="A29" s="1030"/>
      <c r="B29" s="1030"/>
      <c r="C29" s="2355"/>
      <c r="D29" s="2357"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5" type="noConversion"/>
  <conditionalFormatting sqref="C28">
    <cfRule type="expression" dxfId="233" priority="66">
      <formula>AND($C28-TODAY()&lt;30,TODAY()&lt;$C28)</formula>
    </cfRule>
  </conditionalFormatting>
  <conditionalFormatting sqref="C28 F4">
    <cfRule type="cellIs" dxfId="232" priority="68" stopIfTrue="1" operator="lessThan">
      <formula>$B$2</formula>
    </cfRule>
  </conditionalFormatting>
  <conditionalFormatting sqref="C5">
    <cfRule type="expression" dxfId="231" priority="63">
      <formula>AND($C5-TODAY()&lt;30,TODAY()&lt;$C5)</formula>
    </cfRule>
  </conditionalFormatting>
  <conditionalFormatting sqref="C5 F5">
    <cfRule type="cellIs" dxfId="230" priority="64" stopIfTrue="1" operator="lessThan">
      <formula>$B$2</formula>
    </cfRule>
  </conditionalFormatting>
  <conditionalFormatting sqref="F6 F8 F10">
    <cfRule type="cellIs" dxfId="229" priority="62" stopIfTrue="1" operator="lessThan">
      <formula>$B$2</formula>
    </cfRule>
  </conditionalFormatting>
  <conditionalFormatting sqref="C4:C11 C13:C21 C23">
    <cfRule type="expression" dxfId="228" priority="60">
      <formula>AND($C4-TODAY()&lt;30,TODAY()&lt;$C4)</formula>
    </cfRule>
  </conditionalFormatting>
  <conditionalFormatting sqref="F7 F9 F11 C4:C11 C13:C21 C23">
    <cfRule type="cellIs" dxfId="227" priority="61" stopIfTrue="1" operator="lessThan">
      <formula>$B$2</formula>
    </cfRule>
  </conditionalFormatting>
  <conditionalFormatting sqref="C14">
    <cfRule type="expression" dxfId="226" priority="54">
      <formula>AND($C14-TODAY()&lt;30,TODAY()&lt;$C14)</formula>
    </cfRule>
  </conditionalFormatting>
  <conditionalFormatting sqref="C14">
    <cfRule type="cellIs" dxfId="225" priority="55" stopIfTrue="1" operator="lessThan">
      <formula>$B$2</formula>
    </cfRule>
  </conditionalFormatting>
  <conditionalFormatting sqref="C16">
    <cfRule type="expression" dxfId="224" priority="52">
      <formula>AND($C16-TODAY()&lt;30,TODAY()&lt;$C16)</formula>
    </cfRule>
  </conditionalFormatting>
  <conditionalFormatting sqref="C16">
    <cfRule type="cellIs" dxfId="223" priority="53" stopIfTrue="1" operator="lessThan">
      <formula>$B$2</formula>
    </cfRule>
  </conditionalFormatting>
  <conditionalFormatting sqref="C18">
    <cfRule type="expression" dxfId="222" priority="50">
      <formula>AND($C18-TODAY()&lt;30,TODAY()&lt;$C18)</formula>
    </cfRule>
  </conditionalFormatting>
  <conditionalFormatting sqref="C18">
    <cfRule type="cellIs" dxfId="221" priority="51" stopIfTrue="1" operator="lessThan">
      <formula>$B$2</formula>
    </cfRule>
  </conditionalFormatting>
  <conditionalFormatting sqref="C20">
    <cfRule type="expression" dxfId="220" priority="48">
      <formula>AND($C20-TODAY()&lt;30,TODAY()&lt;$C20)</formula>
    </cfRule>
  </conditionalFormatting>
  <conditionalFormatting sqref="C20">
    <cfRule type="cellIs" dxfId="219" priority="49" stopIfTrue="1" operator="lessThan">
      <formula>$B$2</formula>
    </cfRule>
  </conditionalFormatting>
  <conditionalFormatting sqref="C15">
    <cfRule type="expression" dxfId="218" priority="44">
      <formula>AND($C15-TODAY()&lt;30,TODAY()&lt;$C15)</formula>
    </cfRule>
  </conditionalFormatting>
  <conditionalFormatting sqref="C15">
    <cfRule type="cellIs" dxfId="217" priority="45" stopIfTrue="1" operator="lessThan">
      <formula>$B$2</formula>
    </cfRule>
  </conditionalFormatting>
  <conditionalFormatting sqref="C17">
    <cfRule type="expression" dxfId="216" priority="42">
      <formula>AND($C17-TODAY()&lt;30,TODAY()&lt;$C17)</formula>
    </cfRule>
  </conditionalFormatting>
  <conditionalFormatting sqref="C17">
    <cfRule type="cellIs" dxfId="215" priority="43" stopIfTrue="1" operator="lessThan">
      <formula>$B$2</formula>
    </cfRule>
  </conditionalFormatting>
  <conditionalFormatting sqref="C19">
    <cfRule type="expression" dxfId="214" priority="40">
      <formula>AND($C19-TODAY()&lt;30,TODAY()&lt;$C19)</formula>
    </cfRule>
  </conditionalFormatting>
  <conditionalFormatting sqref="C19">
    <cfRule type="cellIs" dxfId="213" priority="41" stopIfTrue="1" operator="lessThan">
      <formula>$B$2</formula>
    </cfRule>
  </conditionalFormatting>
  <conditionalFormatting sqref="C21">
    <cfRule type="expression" dxfId="212" priority="38">
      <formula>AND($C21-TODAY()&lt;30,TODAY()&lt;$C21)</formula>
    </cfRule>
  </conditionalFormatting>
  <conditionalFormatting sqref="C21">
    <cfRule type="cellIs" dxfId="211" priority="39" stopIfTrue="1" operator="lessThan">
      <formula>$B$2</formula>
    </cfRule>
  </conditionalFormatting>
  <conditionalFormatting sqref="C23">
    <cfRule type="expression" dxfId="210" priority="36">
      <formula>AND($C23-TODAY()&lt;30,TODAY()&lt;$C23)</formula>
    </cfRule>
  </conditionalFormatting>
  <conditionalFormatting sqref="C23">
    <cfRule type="cellIs" dxfId="209" priority="37" stopIfTrue="1" operator="lessThan">
      <formula>$B$2</formula>
    </cfRule>
  </conditionalFormatting>
  <conditionalFormatting sqref="F16">
    <cfRule type="cellIs" dxfId="208" priority="34" stopIfTrue="1" operator="lessThan">
      <formula>$B$2</formula>
    </cfRule>
  </conditionalFormatting>
  <conditionalFormatting sqref="F18">
    <cfRule type="cellIs" dxfId="207" priority="33" stopIfTrue="1" operator="lessThan">
      <formula>$B$2</formula>
    </cfRule>
  </conditionalFormatting>
  <conditionalFormatting sqref="F22">
    <cfRule type="cellIs" dxfId="206" priority="32" stopIfTrue="1" operator="lessThan">
      <formula>$B$2</formula>
    </cfRule>
  </conditionalFormatting>
  <conditionalFormatting sqref="F21">
    <cfRule type="cellIs" dxfId="205" priority="31" stopIfTrue="1" operator="lessThan">
      <formula>$B$2</formula>
    </cfRule>
  </conditionalFormatting>
  <conditionalFormatting sqref="F17">
    <cfRule type="cellIs" dxfId="204" priority="30" stopIfTrue="1" operator="lessThan">
      <formula>$B$2</formula>
    </cfRule>
  </conditionalFormatting>
  <conditionalFormatting sqref="B4:B11 E4:E11 B16:B23 E16:E23 B13:B14 E13:E14">
    <cfRule type="cellIs" dxfId="203" priority="29" stopIfTrue="1" operator="equal">
      <formula>"已过期"</formula>
    </cfRule>
  </conditionalFormatting>
  <conditionalFormatting sqref="A24:F24">
    <cfRule type="cellIs" dxfId="202" priority="25" stopIfTrue="1" operator="equal">
      <formula>"已过期"</formula>
    </cfRule>
  </conditionalFormatting>
  <conditionalFormatting sqref="F28">
    <cfRule type="expression" dxfId="201" priority="23">
      <formula>AND($E28-TODAY()&lt;30,TODAY()&lt;$E28)</formula>
    </cfRule>
  </conditionalFormatting>
  <conditionalFormatting sqref="F28">
    <cfRule type="cellIs" dxfId="200" priority="24" stopIfTrue="1" operator="lessThan">
      <formula>$B$2</formula>
    </cfRule>
  </conditionalFormatting>
  <conditionalFormatting sqref="F29">
    <cfRule type="expression" dxfId="199" priority="19" stopIfTrue="1">
      <formula>AND($E29-TODAY()&lt;30,TODAY()&lt;$E29)</formula>
    </cfRule>
  </conditionalFormatting>
  <conditionalFormatting sqref="F29">
    <cfRule type="cellIs" dxfId="198" priority="20" stopIfTrue="1" operator="lessThan">
      <formula>$B$2</formula>
    </cfRule>
  </conditionalFormatting>
  <conditionalFormatting sqref="B15">
    <cfRule type="cellIs" dxfId="197" priority="17" stopIfTrue="1" operator="equal">
      <formula>"已过期"</formula>
    </cfRule>
  </conditionalFormatting>
  <conditionalFormatting sqref="A15">
    <cfRule type="cellIs" dxfId="196" priority="16" stopIfTrue="1" operator="equal">
      <formula>"已过期"</formula>
    </cfRule>
  </conditionalFormatting>
  <conditionalFormatting sqref="C15">
    <cfRule type="expression" dxfId="195" priority="15">
      <formula>AND($C15-TODAY()&lt;30,TODAY()&lt;$C15)</formula>
    </cfRule>
  </conditionalFormatting>
  <conditionalFormatting sqref="E15">
    <cfRule type="cellIs" dxfId="194" priority="14" stopIfTrue="1" operator="equal">
      <formula>"已过期"</formula>
    </cfRule>
  </conditionalFormatting>
  <conditionalFormatting sqref="D15">
    <cfRule type="cellIs" dxfId="193" priority="13" stopIfTrue="1" operator="equal">
      <formula>"已过期"</formula>
    </cfRule>
  </conditionalFormatting>
  <conditionalFormatting sqref="F13">
    <cfRule type="cellIs" dxfId="192" priority="12" stopIfTrue="1" operator="lessThan">
      <formula>$B$2</formula>
    </cfRule>
  </conditionalFormatting>
  <conditionalFormatting sqref="C12">
    <cfRule type="expression" dxfId="191" priority="10">
      <formula>AND($C12-TODAY()&lt;30,TODAY()&lt;$C12)</formula>
    </cfRule>
  </conditionalFormatting>
  <conditionalFormatting sqref="C12">
    <cfRule type="cellIs" dxfId="190" priority="11" stopIfTrue="1" operator="lessThan">
      <formula>$B$2</formula>
    </cfRule>
  </conditionalFormatting>
  <conditionalFormatting sqref="C12">
    <cfRule type="expression" dxfId="189" priority="8">
      <formula>AND($C12-TODAY()&lt;30,TODAY()&lt;$C12)</formula>
    </cfRule>
  </conditionalFormatting>
  <conditionalFormatting sqref="C12">
    <cfRule type="cellIs" dxfId="188" priority="9" stopIfTrue="1" operator="lessThan">
      <formula>$B$2</formula>
    </cfRule>
  </conditionalFormatting>
  <conditionalFormatting sqref="B12">
    <cfRule type="cellIs" dxfId="187" priority="7" stopIfTrue="1" operator="equal">
      <formula>"已过期"</formula>
    </cfRule>
  </conditionalFormatting>
  <conditionalFormatting sqref="E12">
    <cfRule type="cellIs" dxfId="186" priority="6" stopIfTrue="1" operator="equal">
      <formula>"已过期"</formula>
    </cfRule>
  </conditionalFormatting>
  <conditionalFormatting sqref="F12">
    <cfRule type="cellIs" dxfId="185" priority="5" stopIfTrue="1" operator="lessThan">
      <formula>$B$2</formula>
    </cfRule>
  </conditionalFormatting>
  <conditionalFormatting sqref="C22">
    <cfRule type="expression" dxfId="184" priority="3">
      <formula>AND($C22-TODAY()&lt;30,TODAY()&lt;$C22)</formula>
    </cfRule>
  </conditionalFormatting>
  <conditionalFormatting sqref="C22">
    <cfRule type="cellIs" dxfId="183" priority="4" stopIfTrue="1" operator="lessThan">
      <formula>$B$2</formula>
    </cfRule>
  </conditionalFormatting>
  <conditionalFormatting sqref="C22">
    <cfRule type="expression" dxfId="182" priority="1">
      <formula>AND($C22-TODAY()&lt;30,TODAY()&lt;$C22)</formula>
    </cfRule>
  </conditionalFormatting>
  <conditionalFormatting sqref="C22">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7" sqref="X27"/>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3255</v>
      </c>
      <c r="C22" s="2017"/>
    </row>
    <row r="23" spans="1:3">
      <c r="A23" s="2016" t="s">
        <v>1772</v>
      </c>
      <c r="B23" s="2016" t="s">
        <v>3257</v>
      </c>
      <c r="C23" s="2017"/>
    </row>
    <row r="24" spans="1:3">
      <c r="A24" s="2016" t="s">
        <v>1773</v>
      </c>
      <c r="B24" s="2016" t="s">
        <v>3259</v>
      </c>
      <c r="C24" s="2017"/>
    </row>
    <row r="25" spans="1:3">
      <c r="A25" s="2016" t="s">
        <v>1774</v>
      </c>
      <c r="B25" s="2016" t="s">
        <v>3376</v>
      </c>
      <c r="C25" s="2017"/>
    </row>
    <row r="26" spans="1:3">
      <c r="A26" s="2016" t="s">
        <v>1775</v>
      </c>
      <c r="B26" s="2016" t="s">
        <v>3378</v>
      </c>
      <c r="C26" s="2017"/>
    </row>
    <row r="27" spans="1:3">
      <c r="A27" s="2016" t="s">
        <v>757</v>
      </c>
      <c r="B27" s="2016" t="s">
        <v>757</v>
      </c>
      <c r="C27" s="2017"/>
    </row>
    <row r="28" spans="1:3">
      <c r="A28" s="2016" t="s">
        <v>3242</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财源国际大厦A、B座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149"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10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9"/>
      <c r="B54" s="2024" t="s">
        <v>864</v>
      </c>
      <c r="C54" s="2021" t="s">
        <v>1281</v>
      </c>
    </row>
    <row r="55" spans="1:4">
      <c r="A55" s="3149"/>
      <c r="B55" s="2024" t="s">
        <v>865</v>
      </c>
      <c r="C55" s="2021" t="s">
        <v>1282</v>
      </c>
    </row>
    <row r="56" spans="1:4">
      <c r="A56" s="3149"/>
      <c r="B56" s="2024" t="s">
        <v>866</v>
      </c>
      <c r="C56" s="2021" t="s">
        <v>1286</v>
      </c>
    </row>
    <row r="57" spans="1:4">
      <c r="A57" s="3149"/>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40" sqref="C40"/>
    </sheetView>
  </sheetViews>
  <sheetFormatPr defaultColWidth="10" defaultRowHeight="18" customHeight="1"/>
  <cols>
    <col min="1" max="1" width="14.875" style="2034" customWidth="1"/>
    <col min="2" max="2" width="12.125" style="2034" customWidth="1"/>
    <col min="3" max="3" width="11.5" style="2034" customWidth="1"/>
    <col min="4" max="4" width="12.25" style="2034" customWidth="1"/>
    <col min="5" max="6" width="10" style="2034" customWidth="1"/>
    <col min="7" max="7" width="10.75" style="2034" customWidth="1"/>
    <col min="8" max="8" width="10" style="2034" customWidth="1"/>
    <col min="9" max="9" width="11.125" style="2161" customWidth="1"/>
    <col min="10" max="10" width="10" style="2034" customWidth="1"/>
    <col min="11" max="11" width="10" style="2162" customWidth="1"/>
    <col min="12" max="13" width="10" style="2163" customWidth="1"/>
    <col min="14" max="14" width="10" style="2034" customWidth="1"/>
    <col min="15" max="15" width="10" style="2161" customWidth="1"/>
    <col min="16" max="17" width="10" style="2034"/>
    <col min="18" max="18" width="10" style="2034" customWidth="1"/>
    <col min="19" max="16384" width="10" style="2034"/>
  </cols>
  <sheetData>
    <row r="1" spans="1:19" ht="38.25" customHeight="1" thickBot="1">
      <c r="A1" s="2027" t="s">
        <v>1776</v>
      </c>
      <c r="B1" s="3158" t="str">
        <f>IF(B10="北京市","北京市",C10)&amp;F10&amp;IF('结果表（办公）'!G1="在建","出让国有建设用地使用权及在建建筑物",IF('结果表（办公）'!G1="土地","出让国有建设用地使用权",))&amp;B9&amp;"预评估"</f>
        <v>北京市财源国际大厦A、B座房地产抵押价值预评估</v>
      </c>
      <c r="C1" s="3159"/>
      <c r="D1" s="3159"/>
      <c r="E1" s="3159"/>
      <c r="F1" s="3159"/>
      <c r="G1" s="3159"/>
      <c r="H1" s="3159"/>
      <c r="I1" s="3160"/>
      <c r="J1" s="2028"/>
      <c r="K1" s="2029"/>
      <c r="L1" s="2030"/>
      <c r="M1" s="2030"/>
      <c r="N1" s="2031"/>
      <c r="O1" s="2032"/>
      <c r="P1" s="2031"/>
      <c r="Q1" s="2031"/>
      <c r="R1" s="2031"/>
      <c r="S1" s="2033" t="str">
        <f>IF(B10="北京市","北京市",C10)&amp;F10&amp;IF('结果表（办公）'!G1="在建","出让国有建设用地使用权及在建建筑物房地产抵押价值",IF('结果表（办公）'!G1="土地","出让国有建设用地使用权抵押价值",B9))</f>
        <v>北京市财源国际大厦A、B座房地产抵押价值</v>
      </c>
    </row>
    <row r="2" spans="1:19" ht="18" customHeight="1">
      <c r="A2" s="2028" t="s">
        <v>1777</v>
      </c>
      <c r="B2" s="1041"/>
      <c r="C2" s="2035"/>
      <c r="D2" s="2028"/>
      <c r="E2" s="2036"/>
      <c r="F2" s="2036"/>
      <c r="G2" s="2028"/>
      <c r="H2" s="2028"/>
      <c r="I2" s="2028"/>
      <c r="J2" s="2028"/>
      <c r="K2" s="2029"/>
      <c r="L2" s="2030"/>
      <c r="M2" s="2030"/>
      <c r="N2" s="2031"/>
      <c r="O2" s="2032"/>
      <c r="P2" s="2031"/>
      <c r="Q2" s="2031"/>
      <c r="R2" s="2031"/>
      <c r="S2" s="2033" t="str">
        <f>IF(B10="北京市","北京市",C10)&amp;F10&amp;IF('结果表（办公）'!G1="在建","出让国有建设用地使用权及在建建筑物房地产",IF('结果表（办公）'!G1="土地","出让国有建设用地使用权","房地产"))</f>
        <v>北京市财源国际大厦A、B座房地产</v>
      </c>
    </row>
    <row r="3" spans="1:19" ht="18" customHeight="1">
      <c r="A3" s="2037" t="s">
        <v>1778</v>
      </c>
      <c r="B3" s="2038">
        <v>43395</v>
      </c>
      <c r="C3" s="2039" t="s">
        <v>1779</v>
      </c>
      <c r="D3" s="2038">
        <f>B3</f>
        <v>43395</v>
      </c>
      <c r="E3" s="2028"/>
      <c r="F3" s="2028"/>
      <c r="G3" s="2028"/>
      <c r="H3" s="2028"/>
      <c r="I3" s="2028"/>
      <c r="J3" s="2028"/>
      <c r="K3" s="2029"/>
      <c r="L3" s="2030"/>
      <c r="M3" s="2030"/>
      <c r="N3" s="2031"/>
      <c r="O3" s="2032"/>
      <c r="P3" s="2031"/>
      <c r="Q3" s="2031"/>
      <c r="R3" s="2031"/>
      <c r="S3" s="2033"/>
    </row>
    <row r="4" spans="1:19" ht="18" customHeight="1" thickBot="1">
      <c r="A4" s="2040" t="s">
        <v>1780</v>
      </c>
      <c r="B4" s="2041"/>
      <c r="C4" s="1039">
        <f>SUMIF(注册房地产估价师,B4,估价师及机构信息!B3:B24)</f>
        <v>0</v>
      </c>
      <c r="D4" s="2041"/>
      <c r="E4" s="1040">
        <f>SUMIF(注册房地产估价师,D4,估价师及机构信息!B3:B24)</f>
        <v>0</v>
      </c>
      <c r="F4" s="2041" t="s">
        <v>70</v>
      </c>
      <c r="G4" s="2042">
        <f>SUMIF(注册房地产估价师,F4,估价师及机构信息!B3:B24)</f>
        <v>0</v>
      </c>
      <c r="H4" s="2041" t="s">
        <v>70</v>
      </c>
      <c r="I4" s="2043">
        <f>SUMIF(注册房地产估价师,H4,估价师及机构信息!B3:B24)</f>
        <v>0</v>
      </c>
      <c r="J4" s="2044"/>
      <c r="K4" s="2045" t="str">
        <f>CONCATENATE(B4,"（注册号：",C4,")、",D4,"（注册号：",E4,")")</f>
        <v>（注册号：0)、（注册号：0)</v>
      </c>
      <c r="L4" s="2030"/>
      <c r="M4" s="2030"/>
      <c r="N4" s="2031"/>
      <c r="O4" s="2032"/>
      <c r="P4" s="2031"/>
      <c r="Q4" s="2031"/>
      <c r="R4" s="2031"/>
      <c r="S4" s="2033"/>
    </row>
    <row r="5" spans="1:19" ht="18" customHeight="1" thickTop="1">
      <c r="A5" s="2046" t="s">
        <v>1781</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1782</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1783</v>
      </c>
      <c r="B7" s="2055"/>
      <c r="C7" s="2052"/>
      <c r="D7" s="2053"/>
      <c r="E7" s="2036"/>
      <c r="F7" s="2044"/>
      <c r="G7" s="2044"/>
      <c r="H7" s="2044"/>
      <c r="I7" s="2044"/>
      <c r="J7" s="2044"/>
      <c r="K7" s="2056"/>
      <c r="L7" s="2030"/>
      <c r="M7" s="2030"/>
      <c r="N7" s="2031"/>
      <c r="O7" s="2032"/>
      <c r="P7" s="2031"/>
      <c r="Q7" s="2031"/>
      <c r="R7" s="2031"/>
    </row>
    <row r="8" spans="1:19" ht="18" customHeight="1">
      <c r="A8" s="2050" t="s">
        <v>1784</v>
      </c>
      <c r="B8" s="2057" t="s">
        <v>3229</v>
      </c>
      <c r="C8" s="2058"/>
      <c r="D8" s="3161" t="s">
        <v>1785</v>
      </c>
      <c r="E8" s="2059"/>
      <c r="F8" s="2060"/>
      <c r="G8" s="2028"/>
      <c r="H8" s="2028"/>
      <c r="I8" s="2028"/>
      <c r="J8" s="2044"/>
      <c r="K8" s="2045"/>
      <c r="L8" s="2030"/>
      <c r="M8" s="2030"/>
      <c r="N8" s="2031"/>
      <c r="O8" s="2032"/>
      <c r="P8" s="2031"/>
      <c r="Q8" s="2031"/>
      <c r="R8" s="2031"/>
    </row>
    <row r="9" spans="1:19" ht="18" customHeight="1" thickBot="1">
      <c r="A9" s="2042" t="s">
        <v>1786</v>
      </c>
      <c r="B9" s="2061" t="s">
        <v>3230</v>
      </c>
      <c r="C9" s="2062"/>
      <c r="D9" s="3162"/>
      <c r="E9" s="2061"/>
      <c r="F9" s="2063"/>
      <c r="G9" s="2064"/>
      <c r="H9" s="2064"/>
      <c r="I9" s="2064"/>
      <c r="J9" s="2044"/>
      <c r="K9" s="2056"/>
      <c r="L9" s="2030"/>
      <c r="M9" s="2030"/>
      <c r="N9" s="2031"/>
      <c r="O9" s="2032"/>
      <c r="P9" s="2031"/>
      <c r="Q9" s="2031"/>
      <c r="R9" s="2031"/>
    </row>
    <row r="10" spans="1:19" ht="18" customHeight="1" thickTop="1">
      <c r="A10" s="2065" t="s">
        <v>1787</v>
      </c>
      <c r="B10" s="2066" t="s">
        <v>3231</v>
      </c>
      <c r="C10" s="2067"/>
      <c r="D10" s="2049"/>
      <c r="E10" s="2068" t="s">
        <v>1788</v>
      </c>
      <c r="F10" s="3095" t="s">
        <v>3324</v>
      </c>
      <c r="G10" s="2069"/>
      <c r="H10" s="2070"/>
      <c r="I10" s="2049"/>
      <c r="J10" s="2044"/>
      <c r="K10" s="2056"/>
      <c r="L10" s="2030"/>
      <c r="M10" s="2030"/>
      <c r="N10" s="2031"/>
      <c r="O10" s="2032"/>
      <c r="P10" s="2031"/>
      <c r="Q10" s="2031"/>
      <c r="R10" s="2031"/>
    </row>
    <row r="11" spans="1:19" ht="18" customHeight="1">
      <c r="A11" s="2071" t="s">
        <v>1789</v>
      </c>
      <c r="B11" s="2072" t="s">
        <v>3232</v>
      </c>
      <c r="C11" s="2073"/>
      <c r="D11" s="2074"/>
      <c r="E11" s="2044"/>
      <c r="F11" s="2044"/>
      <c r="G11" s="2044"/>
      <c r="H11" s="2044"/>
      <c r="I11" s="2044"/>
      <c r="J11" s="2044"/>
      <c r="K11" s="2056"/>
      <c r="L11" s="2030"/>
      <c r="M11" s="2030"/>
      <c r="N11" s="2031"/>
      <c r="O11" s="2032"/>
      <c r="P11" s="2031"/>
      <c r="Q11" s="2031"/>
      <c r="R11" s="2031"/>
    </row>
    <row r="12" spans="1:19" ht="18" customHeight="1">
      <c r="A12" s="2075" t="s">
        <v>1790</v>
      </c>
      <c r="B12" s="2072" t="s">
        <v>3233</v>
      </c>
      <c r="C12" s="2076" t="s">
        <v>1791</v>
      </c>
      <c r="D12" s="2077" t="s">
        <v>1792</v>
      </c>
      <c r="E12" s="2077" t="s">
        <v>1793</v>
      </c>
      <c r="F12" s="2077" t="s">
        <v>1794</v>
      </c>
      <c r="G12" s="2077" t="s">
        <v>1795</v>
      </c>
      <c r="H12" s="2077" t="s">
        <v>1796</v>
      </c>
      <c r="I12" s="2077" t="s">
        <v>1797</v>
      </c>
      <c r="J12" s="2044"/>
      <c r="K12" s="2056"/>
      <c r="L12" s="2030"/>
      <c r="M12" s="2030"/>
      <c r="N12" s="2031"/>
      <c r="O12" s="2032"/>
      <c r="P12" s="2031"/>
      <c r="Q12" s="2031"/>
      <c r="R12" s="2031"/>
    </row>
    <row r="13" spans="1:19" ht="18" customHeight="1">
      <c r="A13" s="2078"/>
      <c r="B13" s="2079"/>
      <c r="C13" s="2080" t="s">
        <v>1798</v>
      </c>
      <c r="D13" s="2081"/>
      <c r="E13" s="2081">
        <v>52484</v>
      </c>
      <c r="F13" s="2081">
        <v>56137</v>
      </c>
      <c r="G13" s="2081">
        <v>56137</v>
      </c>
      <c r="H13" s="2081"/>
      <c r="I13" s="1049"/>
      <c r="J13" s="2044"/>
      <c r="K13" s="2056"/>
      <c r="L13" s="2030"/>
      <c r="M13" s="2030"/>
      <c r="N13" s="2031"/>
      <c r="O13" s="2032"/>
      <c r="P13" s="2031"/>
      <c r="Q13" s="2031"/>
      <c r="R13" s="2031"/>
    </row>
    <row r="14" spans="1:19" ht="18" customHeight="1">
      <c r="A14" s="2078"/>
      <c r="B14" s="2079"/>
      <c r="C14" s="2080" t="s">
        <v>1799</v>
      </c>
      <c r="D14" s="1052"/>
      <c r="E14" s="1052">
        <v>40</v>
      </c>
      <c r="F14" s="1052">
        <v>50</v>
      </c>
      <c r="G14" s="1052">
        <v>50</v>
      </c>
      <c r="H14" s="1052"/>
      <c r="I14" s="1052"/>
      <c r="J14" s="2044"/>
      <c r="K14" s="2082"/>
      <c r="L14" s="2030"/>
      <c r="M14" s="2030"/>
      <c r="N14" s="2031"/>
      <c r="O14" s="2032"/>
      <c r="P14" s="2031"/>
      <c r="Q14" s="2031"/>
      <c r="R14" s="2031"/>
    </row>
    <row r="15" spans="1:19" ht="18" customHeight="1">
      <c r="A15" s="2065"/>
      <c r="B15" s="2083"/>
      <c r="C15" s="2080" t="s">
        <v>1800</v>
      </c>
      <c r="D15" s="1051" t="str">
        <f>IF(B12="出让",IF(D13="","",ROUNDDOWN(MIN((D13-$D$3)/365,D14),2)),D14)</f>
        <v/>
      </c>
      <c r="E15" s="1051">
        <f>IF(B12="出让",IF(E13="","",ROUNDDOWN(MIN((E13-$D$3)/365,E14),2)),E14)</f>
        <v>24.9</v>
      </c>
      <c r="F15" s="1051">
        <f>IF(B12="出让",IF(F13="","",ROUNDDOWN(MIN((F13-$D$3)/365,F14),2)),F14)</f>
        <v>34.9</v>
      </c>
      <c r="G15" s="1051">
        <f>IF(B12="出让",IF(G13="","",ROUNDDOWN(MIN((G13-$D$3)/365,G14),2)),G14)</f>
        <v>34.9</v>
      </c>
      <c r="H15" s="1051" t="str">
        <f>IF(B12="出让",IF(H13="","",ROUNDDOWN(MIN((H13-$D$3)/365,H14),2)),H14)</f>
        <v/>
      </c>
      <c r="I15" s="1051" t="str">
        <f>IF(B12="出让",IF(I13="","",ROUNDDOWN(MIN((I13-$D$3)/365,I14),2)),I14)</f>
        <v/>
      </c>
      <c r="J15" s="2044"/>
      <c r="K15" s="2084"/>
      <c r="L15" s="2085"/>
      <c r="M15" s="2085"/>
      <c r="N15" s="2086"/>
      <c r="O15" s="2085"/>
      <c r="P15" s="2086"/>
      <c r="Q15" s="2031"/>
      <c r="R15" s="2031"/>
    </row>
    <row r="16" spans="1:19" ht="30.75" customHeight="1">
      <c r="A16" s="2068" t="s">
        <v>1801</v>
      </c>
      <c r="B16" s="3168"/>
      <c r="C16" s="3169"/>
      <c r="D16" s="3170"/>
      <c r="E16" s="2087" t="s">
        <v>1802</v>
      </c>
      <c r="F16" s="3171"/>
      <c r="G16" s="3172"/>
      <c r="H16" s="3172"/>
      <c r="I16" s="3173"/>
      <c r="J16" s="2031"/>
      <c r="K16" s="2084"/>
      <c r="L16" s="2085"/>
      <c r="M16" s="2085"/>
      <c r="N16" s="2086"/>
      <c r="O16" s="2085"/>
      <c r="P16" s="2086"/>
      <c r="Q16" s="2031"/>
      <c r="R16" s="2031"/>
    </row>
    <row r="17" spans="1:22" ht="18" customHeight="1">
      <c r="A17" s="2088" t="s">
        <v>1803</v>
      </c>
      <c r="B17" s="2037" t="s">
        <v>1804</v>
      </c>
      <c r="C17" s="1056">
        <f>'数据-汇总表'!E3</f>
        <v>143997.77000000002</v>
      </c>
      <c r="D17" s="2089" t="s">
        <v>1805</v>
      </c>
      <c r="E17" s="3174"/>
      <c r="F17" s="3175"/>
      <c r="G17" s="3175"/>
      <c r="H17" s="3175"/>
      <c r="I17" s="3176"/>
      <c r="J17" s="2031"/>
      <c r="K17" s="2090"/>
      <c r="L17" s="2085"/>
      <c r="M17" s="2085"/>
      <c r="N17" s="2086"/>
      <c r="O17" s="2085"/>
      <c r="P17" s="2086"/>
      <c r="Q17" s="2031"/>
      <c r="R17" s="2031"/>
      <c r="S17" s="2031"/>
      <c r="T17" s="2031"/>
      <c r="U17" s="2031"/>
      <c r="V17" s="2031"/>
    </row>
    <row r="18" spans="1:22" ht="36" customHeight="1" thickBot="1">
      <c r="A18" s="2091" t="s">
        <v>1806</v>
      </c>
      <c r="B18" s="2040" t="s">
        <v>1807</v>
      </c>
      <c r="C18" s="1446">
        <f>'数据-汇总表'!D3</f>
        <v>9387.8799999999992</v>
      </c>
      <c r="D18" s="2092" t="s">
        <v>1805</v>
      </c>
      <c r="E18" s="3177"/>
      <c r="F18" s="3178"/>
      <c r="G18" s="3178"/>
      <c r="H18" s="3178"/>
      <c r="I18" s="3179"/>
      <c r="J18" s="2031"/>
      <c r="K18" s="2090"/>
      <c r="L18" s="2085"/>
      <c r="M18" s="2085"/>
      <c r="N18" s="2086"/>
      <c r="O18" s="2085"/>
      <c r="P18" s="2086"/>
      <c r="Q18" s="2031"/>
      <c r="R18" s="2031"/>
      <c r="S18" s="2031"/>
      <c r="T18" s="2031"/>
      <c r="U18" s="2031"/>
      <c r="V18" s="2031"/>
    </row>
    <row r="19" spans="1:22" ht="37.5" customHeight="1" thickTop="1" thickBot="1">
      <c r="A19" s="372" t="s">
        <v>1808</v>
      </c>
      <c r="B19" s="351" t="s">
        <v>1809</v>
      </c>
      <c r="C19" s="2093"/>
      <c r="D19" s="2094" t="s">
        <v>1810</v>
      </c>
      <c r="E19" s="2095"/>
      <c r="F19" s="2096" t="str">
        <f>IF(AND(C19="是",E19="否"),"是否提供他项权证或相关说明","")</f>
        <v/>
      </c>
      <c r="G19" s="2097"/>
      <c r="H19" s="2044"/>
      <c r="I19" s="2044"/>
      <c r="J19" s="2044"/>
      <c r="K19" s="2056"/>
      <c r="L19" s="2030"/>
      <c r="M19" s="2030"/>
      <c r="N19" s="2086"/>
      <c r="O19" s="2085"/>
      <c r="P19" s="2086"/>
      <c r="Q19" s="2031"/>
      <c r="R19" s="2031"/>
      <c r="S19" s="2031"/>
      <c r="T19" s="2031"/>
      <c r="U19" s="2031"/>
      <c r="V19" s="2031"/>
    </row>
    <row r="20" spans="1:22" ht="18" customHeight="1">
      <c r="A20" s="2098" t="s">
        <v>1811</v>
      </c>
      <c r="B20" s="3164" t="s">
        <v>1812</v>
      </c>
      <c r="C20" s="3165"/>
      <c r="D20" s="3166" t="s">
        <v>1813</v>
      </c>
      <c r="E20" s="3167"/>
      <c r="F20" s="2099" t="s">
        <v>1814</v>
      </c>
      <c r="G20" s="2044"/>
      <c r="H20" s="2044"/>
      <c r="I20" s="2044"/>
      <c r="J20" s="2044"/>
      <c r="K20" s="3163" t="s">
        <v>1815</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6"/>
      <c r="O20" s="2085"/>
      <c r="P20" s="2086"/>
      <c r="Q20" s="2031"/>
      <c r="R20" s="2031"/>
      <c r="S20" s="2031"/>
      <c r="T20" s="2031"/>
      <c r="U20" s="2031"/>
      <c r="V20" s="2031"/>
    </row>
    <row r="21" spans="1:22" ht="24.75" customHeight="1">
      <c r="A21" s="2098"/>
      <c r="B21" s="2100" t="s">
        <v>1816</v>
      </c>
      <c r="C21" s="2101" t="s">
        <v>1817</v>
      </c>
      <c r="D21" s="2102" t="s">
        <v>1818</v>
      </c>
      <c r="E21" s="2103" t="s">
        <v>1817</v>
      </c>
      <c r="F21" s="2104"/>
      <c r="G21" s="2044"/>
      <c r="H21" s="2044"/>
      <c r="I21" s="2044"/>
      <c r="J21" s="2044"/>
      <c r="K21" s="3163"/>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6"/>
      <c r="O21" s="2085"/>
      <c r="P21" s="2086"/>
      <c r="Q21" s="2031"/>
      <c r="R21" s="2031"/>
      <c r="S21" s="2031"/>
      <c r="T21" s="2031"/>
      <c r="U21" s="2031"/>
      <c r="V21" s="2031"/>
    </row>
    <row r="22" spans="1:22" ht="24.75" customHeight="1" thickBot="1">
      <c r="A22" s="2098"/>
      <c r="B22" s="2105" t="s">
        <v>1819</v>
      </c>
      <c r="C22" s="2101" t="s">
        <v>1820</v>
      </c>
      <c r="D22" s="2028"/>
      <c r="E22" s="2028"/>
      <c r="F22" s="2106"/>
      <c r="G22" s="2044"/>
      <c r="H22" s="2044"/>
      <c r="I22" s="2044"/>
      <c r="J22" s="2044"/>
      <c r="K22" s="3163"/>
      <c r="L22" s="747"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6"/>
      <c r="O22" s="2085"/>
      <c r="P22" s="2086"/>
      <c r="Q22" s="2031"/>
      <c r="R22" s="2031"/>
      <c r="S22" s="2031"/>
      <c r="T22" s="2031"/>
      <c r="U22" s="2031"/>
      <c r="V22" s="2031"/>
    </row>
    <row r="23" spans="1:22" ht="18" customHeight="1">
      <c r="A23" s="2107" t="s">
        <v>1821</v>
      </c>
      <c r="B23" s="182" t="s">
        <v>1822</v>
      </c>
      <c r="C23" s="2108"/>
      <c r="D23" s="2109" t="s">
        <v>1822</v>
      </c>
      <c r="E23" s="2110"/>
      <c r="F23" s="2106"/>
      <c r="G23" s="2044"/>
      <c r="H23" s="2044"/>
      <c r="I23" s="2044"/>
      <c r="J23" s="2044"/>
      <c r="K23" s="2111"/>
      <c r="L23" s="747"/>
      <c r="M23" s="2030"/>
      <c r="N23" s="2086"/>
      <c r="O23" s="2085"/>
      <c r="P23" s="2086"/>
      <c r="Q23" s="2031"/>
      <c r="R23" s="2031"/>
      <c r="S23" s="2031"/>
      <c r="T23" s="2031"/>
      <c r="U23" s="2031"/>
      <c r="V23" s="2031"/>
    </row>
    <row r="24" spans="1:22" ht="18" customHeight="1">
      <c r="A24" s="2112"/>
      <c r="B24" s="182" t="s">
        <v>1823</v>
      </c>
      <c r="C24" s="2113"/>
      <c r="D24" s="2107" t="s">
        <v>1823</v>
      </c>
      <c r="E24" s="2114"/>
      <c r="F24" s="2106"/>
      <c r="G24" s="2044"/>
      <c r="H24" s="2044"/>
      <c r="I24" s="2044"/>
      <c r="J24" s="2044"/>
      <c r="K24" s="2111"/>
      <c r="L24" s="747"/>
      <c r="M24" s="2030"/>
      <c r="N24" s="2086"/>
      <c r="O24" s="2085"/>
      <c r="P24" s="2086"/>
      <c r="Q24" s="2031"/>
      <c r="R24" s="2031"/>
      <c r="S24" s="2031"/>
      <c r="T24" s="2031"/>
      <c r="U24" s="2031"/>
      <c r="V24" s="2031"/>
    </row>
    <row r="25" spans="1:22" ht="18" customHeight="1">
      <c r="A25" s="2112"/>
      <c r="B25" s="182" t="s">
        <v>1824</v>
      </c>
      <c r="C25" s="2113"/>
      <c r="D25" s="2107" t="s">
        <v>1824</v>
      </c>
      <c r="E25" s="2114"/>
      <c r="F25" s="2106"/>
      <c r="G25" s="2044"/>
      <c r="H25" s="2044"/>
      <c r="I25" s="2044"/>
      <c r="J25" s="2044"/>
      <c r="K25" s="2056"/>
      <c r="L25" s="2030"/>
      <c r="M25" s="2030"/>
      <c r="N25" s="2086"/>
      <c r="O25" s="2085"/>
      <c r="P25" s="2086"/>
      <c r="Q25" s="2031"/>
      <c r="R25" s="2031"/>
      <c r="S25" s="2031"/>
      <c r="T25" s="2031"/>
      <c r="U25" s="2031"/>
      <c r="V25" s="2031"/>
    </row>
    <row r="26" spans="1:22" ht="18" customHeight="1" thickBot="1">
      <c r="A26" s="2115"/>
      <c r="B26" s="2116" t="s">
        <v>1825</v>
      </c>
      <c r="C26" s="2117"/>
      <c r="D26" s="2118" t="s">
        <v>1826</v>
      </c>
      <c r="E26" s="2119"/>
      <c r="F26" s="2120"/>
      <c r="G26" s="2064"/>
      <c r="H26" s="2064"/>
      <c r="I26" s="2064"/>
      <c r="J26" s="2044"/>
      <c r="K26" s="2056"/>
      <c r="L26" s="2030"/>
      <c r="M26" s="2030"/>
      <c r="N26" s="2086"/>
      <c r="O26" s="2085"/>
      <c r="P26" s="2086"/>
      <c r="Q26" s="2031"/>
      <c r="R26" s="2031"/>
      <c r="S26" s="2031"/>
      <c r="T26" s="2031"/>
      <c r="U26" s="2031"/>
      <c r="V26" s="2031"/>
    </row>
    <row r="27" spans="1:22" ht="18" customHeight="1" thickTop="1">
      <c r="A27" s="3151" t="s">
        <v>1827</v>
      </c>
      <c r="B27" s="2065" t="s">
        <v>1828</v>
      </c>
      <c r="C27" s="2121" t="s">
        <v>3234</v>
      </c>
      <c r="D27" s="2122"/>
      <c r="E27" s="2044"/>
      <c r="F27" s="2044"/>
      <c r="G27" s="2044"/>
      <c r="H27" s="2044"/>
      <c r="I27" s="2044"/>
      <c r="J27" s="2031"/>
      <c r="K27" s="2084"/>
      <c r="L27" s="2085"/>
      <c r="M27" s="2085"/>
      <c r="N27" s="2086"/>
      <c r="O27" s="2085"/>
      <c r="P27" s="2086"/>
      <c r="Q27" s="2031"/>
      <c r="R27" s="2031"/>
      <c r="S27" s="2031"/>
      <c r="T27" s="2031"/>
      <c r="U27" s="2031"/>
      <c r="V27" s="2031"/>
    </row>
    <row r="28" spans="1:22" ht="18" customHeight="1">
      <c r="A28" s="3151"/>
      <c r="B28" s="2037" t="s">
        <v>1829</v>
      </c>
      <c r="C28" s="2123"/>
      <c r="D28" s="2124"/>
      <c r="E28" s="2044"/>
      <c r="F28" s="2044"/>
      <c r="G28" s="2044"/>
      <c r="H28" s="2044"/>
      <c r="I28" s="2044"/>
      <c r="J28" s="2031"/>
      <c r="K28" s="2125"/>
      <c r="L28" s="2030"/>
      <c r="M28" s="2030"/>
      <c r="N28" s="2031"/>
      <c r="O28" s="2032"/>
      <c r="P28" s="2031"/>
      <c r="Q28" s="2031"/>
      <c r="R28" s="2031"/>
      <c r="S28" s="2031"/>
      <c r="T28" s="2031"/>
      <c r="U28" s="2031"/>
      <c r="V28" s="2031"/>
    </row>
    <row r="29" spans="1:22" ht="18" customHeight="1">
      <c r="A29" s="3151"/>
      <c r="B29" s="2037" t="s">
        <v>1830</v>
      </c>
      <c r="C29" s="2126"/>
      <c r="D29" s="2127"/>
      <c r="E29" s="2044"/>
      <c r="F29" s="2044"/>
      <c r="G29" s="2044"/>
      <c r="H29" s="2044"/>
      <c r="I29" s="2044"/>
      <c r="J29" s="2031"/>
      <c r="K29" s="2125"/>
      <c r="L29" s="2030"/>
      <c r="M29" s="2030"/>
      <c r="N29" s="2031"/>
      <c r="O29" s="2032"/>
      <c r="P29" s="2031"/>
      <c r="Q29" s="2031"/>
      <c r="R29" s="2031"/>
      <c r="S29" s="2031"/>
      <c r="T29" s="2031"/>
      <c r="U29" s="2031"/>
      <c r="V29" s="2031"/>
    </row>
    <row r="30" spans="1:22" ht="18" customHeight="1">
      <c r="A30" s="3152"/>
      <c r="B30" s="2037" t="s">
        <v>1831</v>
      </c>
      <c r="C30" s="3153"/>
      <c r="D30" s="3154"/>
      <c r="E30" s="2044"/>
      <c r="F30" s="2044"/>
      <c r="G30" s="2044"/>
      <c r="H30" s="2044"/>
      <c r="I30" s="2044"/>
      <c r="J30" s="2031"/>
      <c r="K30" s="2125"/>
      <c r="L30" s="2030"/>
      <c r="M30" s="2030"/>
      <c r="N30" s="2031"/>
      <c r="O30" s="2032"/>
      <c r="P30" s="2031"/>
      <c r="Q30" s="2031"/>
      <c r="R30" s="2031"/>
      <c r="S30" s="2031"/>
      <c r="T30" s="2031"/>
      <c r="U30" s="2031"/>
      <c r="V30" s="2031"/>
    </row>
    <row r="31" spans="1:22" ht="18" customHeight="1">
      <c r="A31" s="3155" t="s">
        <v>1832</v>
      </c>
      <c r="B31" s="2128" t="s">
        <v>3235</v>
      </c>
      <c r="C31" s="2129" t="str">
        <f>IF(B31="现房","成新及维护状况正常否",IF(B31="在建","工程状态是否正常",IF(B31="土地","是否闲置","-")))</f>
        <v>成新及维护状况正常否</v>
      </c>
      <c r="D31" s="2130"/>
      <c r="E31" s="2131"/>
      <c r="F31" s="2044"/>
      <c r="G31" s="2044"/>
      <c r="H31" s="2044"/>
      <c r="I31" s="2044"/>
      <c r="J31" s="2044"/>
      <c r="K31" s="2054"/>
      <c r="L31" s="2030"/>
      <c r="M31" s="2030"/>
      <c r="N31" s="2031"/>
      <c r="O31" s="2032"/>
      <c r="P31" s="2031"/>
      <c r="Q31" s="2031"/>
      <c r="R31" s="2031"/>
      <c r="S31" s="2031"/>
      <c r="T31" s="2031"/>
      <c r="U31" s="2031"/>
      <c r="V31" s="2031"/>
    </row>
    <row r="32" spans="1:22" ht="18" customHeight="1">
      <c r="A32" s="3156"/>
      <c r="B32" s="2128"/>
      <c r="C32" s="2129" t="str">
        <f>IF(B32="现房","成新及维护状况是否正常",IF(B32="在建","工程状态是否正常",IF(B32="土地","是否闲置","-")))</f>
        <v>-</v>
      </c>
      <c r="D32" s="2130"/>
      <c r="E32" s="2131"/>
      <c r="F32" s="2044"/>
      <c r="G32" s="2044"/>
      <c r="H32" s="2044"/>
      <c r="I32" s="2044"/>
      <c r="J32" s="2044"/>
      <c r="K32" s="2056"/>
      <c r="L32" s="2030"/>
      <c r="M32" s="2030"/>
      <c r="N32" s="2031"/>
      <c r="O32" s="2032"/>
      <c r="P32" s="2031"/>
      <c r="Q32" s="2031"/>
      <c r="R32" s="2031"/>
      <c r="S32" s="2031"/>
      <c r="T32" s="2031"/>
      <c r="U32" s="2031"/>
      <c r="V32" s="2031"/>
    </row>
    <row r="33" spans="1:22" ht="18" customHeight="1">
      <c r="A33" s="3156"/>
      <c r="B33" s="2132"/>
      <c r="C33" s="2071" t="str">
        <f>IF(B33="现房","成新及维护状况是否正常",IF(B33="在建","工程状态是否正常",IF(B33="土地","是否闲置","-")))</f>
        <v>-</v>
      </c>
      <c r="D33" s="2133"/>
      <c r="E33" s="2134"/>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1833</v>
      </c>
      <c r="B34" s="2135" t="s">
        <v>3317</v>
      </c>
      <c r="C34" s="2135" t="s">
        <v>3318</v>
      </c>
      <c r="D34" s="2135" t="s">
        <v>3319</v>
      </c>
      <c r="E34" s="2135" t="s">
        <v>3320</v>
      </c>
      <c r="F34" s="2135" t="s">
        <v>3321</v>
      </c>
      <c r="G34" s="2135" t="s">
        <v>3322</v>
      </c>
      <c r="H34" s="2135" t="s">
        <v>3323</v>
      </c>
      <c r="I34" s="2044"/>
      <c r="J34" s="2044"/>
      <c r="K34" s="1797">
        <f>COUNTIF(B34:H34,"——")</f>
        <v>0</v>
      </c>
      <c r="L34" s="2076" t="s">
        <v>1834</v>
      </c>
      <c r="M34" s="2076" t="s">
        <v>1835</v>
      </c>
      <c r="N34" s="2076" t="s">
        <v>1836</v>
      </c>
      <c r="O34" s="2076" t="s">
        <v>1837</v>
      </c>
      <c r="P34" s="2076" t="s">
        <v>1838</v>
      </c>
      <c r="Q34" s="2076" t="s">
        <v>1839</v>
      </c>
      <c r="R34" s="2076" t="s">
        <v>1840</v>
      </c>
      <c r="S34" s="3150" t="s">
        <v>1841</v>
      </c>
      <c r="T34" s="2136" t="str">
        <f>NUMBERSTRING(7-K34,1)&amp;"通"</f>
        <v>七通</v>
      </c>
      <c r="U34" s="2031"/>
      <c r="V34" s="2031"/>
    </row>
    <row r="35" spans="1:22" ht="18" customHeight="1">
      <c r="A35" s="2137"/>
      <c r="B35" s="3157" t="s">
        <v>1842</v>
      </c>
      <c r="C35" s="3157"/>
      <c r="D35" s="3157"/>
      <c r="E35" s="3157"/>
      <c r="F35" s="2138">
        <f>C10</f>
        <v>0</v>
      </c>
      <c r="G35" s="2044"/>
      <c r="H35" s="2044"/>
      <c r="I35" s="2044"/>
      <c r="J35" s="2044"/>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150"/>
      <c r="T35" s="48" t="str">
        <f>IF(T34="一通",L35,IF(T34="二通",M35,IF(T34="三通",N35,IF(T34="四通",O35,IF(T34="五通",P35,IF(T34="六通",Q35,R35))))))</f>
        <v>通路、通电、通讯、通上水、通下水、通热、燃气</v>
      </c>
      <c r="U35" s="2031"/>
      <c r="V35" s="2031"/>
    </row>
    <row r="36" spans="1:22" ht="18" customHeight="1">
      <c r="A36" s="2139"/>
      <c r="B36" s="2138" t="s">
        <v>1843</v>
      </c>
      <c r="C36" s="2138" t="s">
        <v>1844</v>
      </c>
      <c r="D36" s="2138" t="s">
        <v>1845</v>
      </c>
      <c r="E36" s="2138" t="s">
        <v>1846</v>
      </c>
      <c r="F36" s="2140"/>
      <c r="G36" s="2044"/>
      <c r="H36" s="2044"/>
      <c r="I36" s="2044"/>
      <c r="J36" s="2044"/>
      <c r="K36" s="2056"/>
      <c r="L36" s="2030"/>
      <c r="M36" s="2030"/>
      <c r="N36" s="2031"/>
      <c r="O36" s="2032"/>
      <c r="P36" s="2031"/>
      <c r="Q36" s="2031"/>
      <c r="R36" s="2031"/>
      <c r="S36" s="2031"/>
      <c r="T36" s="2031"/>
      <c r="U36" s="2031"/>
      <c r="V36" s="2031"/>
    </row>
    <row r="37" spans="1:22" ht="18" customHeight="1">
      <c r="A37" s="2141" t="s">
        <v>1847</v>
      </c>
      <c r="B37" s="2142" t="s">
        <v>212</v>
      </c>
      <c r="C37" s="2142" t="s">
        <v>212</v>
      </c>
      <c r="D37" s="2142"/>
      <c r="E37" s="2142"/>
      <c r="F37" s="2140"/>
      <c r="G37" s="2044"/>
      <c r="H37" s="2044"/>
      <c r="I37" s="2044"/>
      <c r="J37" s="2044"/>
      <c r="K37" s="2056"/>
      <c r="L37" s="2030"/>
      <c r="M37" s="2030"/>
      <c r="N37" s="2031"/>
      <c r="O37" s="2032"/>
      <c r="P37" s="2031"/>
      <c r="Q37" s="2031"/>
      <c r="R37" s="2031"/>
      <c r="S37" s="2031"/>
      <c r="T37" s="2031"/>
      <c r="U37" s="2031"/>
      <c r="V37" s="2031"/>
    </row>
    <row r="38" spans="1:22" ht="18" customHeight="1" thickBot="1">
      <c r="A38" s="2143" t="s">
        <v>1848</v>
      </c>
      <c r="B38" s="2144" t="s">
        <v>213</v>
      </c>
      <c r="C38" s="2144" t="s">
        <v>213</v>
      </c>
      <c r="D38" s="2144"/>
      <c r="E38" s="2144"/>
      <c r="F38" s="2145"/>
      <c r="G38" s="2064"/>
      <c r="H38" s="2064"/>
      <c r="I38" s="2064"/>
      <c r="J38" s="2044"/>
      <c r="K38" s="2056"/>
      <c r="L38" s="2030"/>
      <c r="M38" s="2030"/>
      <c r="N38" s="2031"/>
      <c r="O38" s="2032"/>
      <c r="P38" s="2031"/>
      <c r="Q38" s="2031"/>
      <c r="R38" s="2031"/>
      <c r="S38" s="2031"/>
      <c r="T38" s="2031"/>
      <c r="U38" s="2031"/>
      <c r="V38" s="2031"/>
    </row>
    <row r="39" spans="1:22" s="2150" customFormat="1" ht="18" customHeight="1" thickTop="1" thickBot="1">
      <c r="A39" s="2146" t="s">
        <v>1849</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1"/>
      <c r="B40" s="2031"/>
      <c r="C40" s="2031"/>
      <c r="D40" s="2031"/>
      <c r="E40" s="2031"/>
      <c r="F40" s="2031"/>
      <c r="G40" s="2031"/>
      <c r="H40" s="2031"/>
      <c r="I40" s="2151"/>
      <c r="J40" s="2086"/>
      <c r="K40" s="665"/>
      <c r="L40" s="2085"/>
      <c r="M40" s="2085"/>
      <c r="N40" s="2086"/>
      <c r="O40" s="2085"/>
      <c r="P40" s="2031"/>
      <c r="Q40" s="2031"/>
      <c r="R40" s="2031"/>
      <c r="S40" s="2031"/>
      <c r="T40" s="2031"/>
      <c r="U40" s="2031"/>
      <c r="V40" s="2031"/>
    </row>
    <row r="41" spans="1:22" ht="18" customHeight="1">
      <c r="A41" s="8" t="s">
        <v>1850</v>
      </c>
      <c r="B41" s="2152"/>
      <c r="C41" s="2153"/>
      <c r="D41" s="2031"/>
      <c r="E41" s="2031"/>
      <c r="F41" s="2031"/>
      <c r="G41" s="2031"/>
      <c r="H41" s="2031"/>
      <c r="I41" s="2032"/>
      <c r="J41" s="2031"/>
      <c r="K41" s="2125"/>
      <c r="L41" s="2030"/>
      <c r="M41" s="2030"/>
      <c r="N41" s="2031"/>
      <c r="O41" s="2032"/>
      <c r="P41" s="2031"/>
      <c r="Q41" s="2031"/>
      <c r="R41" s="2031"/>
      <c r="S41" s="2031"/>
      <c r="T41" s="2031"/>
      <c r="U41" s="2031"/>
      <c r="V41" s="2031"/>
    </row>
    <row r="42" spans="1:22" ht="18" customHeight="1">
      <c r="A42" s="2076" t="s">
        <v>1851</v>
      </c>
      <c r="B42" s="1797" t="s">
        <v>1852</v>
      </c>
      <c r="C42" s="1797" t="s">
        <v>1853</v>
      </c>
      <c r="D42" s="1797" t="s">
        <v>1854</v>
      </c>
      <c r="E42" s="1797" t="s">
        <v>1855</v>
      </c>
      <c r="F42" s="1797" t="s">
        <v>1856</v>
      </c>
      <c r="G42" s="1797" t="s">
        <v>1857</v>
      </c>
      <c r="H42" s="1797" t="s">
        <v>1858</v>
      </c>
      <c r="I42" s="1797" t="s">
        <v>1859</v>
      </c>
      <c r="J42" s="2154" t="s">
        <v>1860</v>
      </c>
      <c r="K42" s="2077" t="s">
        <v>1861</v>
      </c>
      <c r="L42" s="2077" t="s">
        <v>1862</v>
      </c>
      <c r="M42" s="2077" t="s">
        <v>1863</v>
      </c>
      <c r="N42" s="1797" t="s">
        <v>1864</v>
      </c>
      <c r="O42" s="1797" t="s">
        <v>1865</v>
      </c>
      <c r="P42" s="1797" t="s">
        <v>1866</v>
      </c>
      <c r="Q42" s="2076" t="s">
        <v>1867</v>
      </c>
      <c r="R42" s="2076" t="s">
        <v>1868</v>
      </c>
      <c r="S42" s="2031"/>
      <c r="T42" s="2031"/>
      <c r="U42" s="2031"/>
      <c r="V42" s="2031"/>
    </row>
    <row r="43" spans="1:22" s="2159" customFormat="1" ht="18" customHeight="1">
      <c r="A43" s="2155"/>
      <c r="B43" s="1274"/>
      <c r="C43" s="1274"/>
      <c r="D43" s="1274"/>
      <c r="E43" s="1274"/>
      <c r="F43" s="1274"/>
      <c r="G43" s="1274"/>
      <c r="H43" s="9"/>
      <c r="I43" s="9"/>
      <c r="J43" s="2156"/>
      <c r="K43" s="2157"/>
      <c r="L43" s="2157"/>
      <c r="M43" s="9"/>
      <c r="N43" s="1274"/>
      <c r="O43" s="9"/>
      <c r="P43" s="1274"/>
      <c r="Q43" s="1274"/>
      <c r="R43" s="1274"/>
      <c r="S43" s="2158"/>
      <c r="T43" s="2158"/>
      <c r="U43" s="2158"/>
      <c r="V43" s="2158"/>
    </row>
    <row r="44" spans="1:22" s="2159" customFormat="1" ht="18" customHeight="1">
      <c r="A44" s="2155"/>
      <c r="B44" s="2155"/>
      <c r="C44" s="1274"/>
      <c r="D44" s="1274"/>
      <c r="E44" s="1274"/>
      <c r="F44" s="1274"/>
      <c r="G44" s="1274"/>
      <c r="H44" s="9"/>
      <c r="I44" s="9"/>
      <c r="J44" s="2156"/>
      <c r="K44" s="2157"/>
      <c r="L44" s="2157"/>
      <c r="M44" s="9"/>
      <c r="N44" s="1274"/>
      <c r="O44" s="9"/>
      <c r="P44" s="1274"/>
      <c r="Q44" s="1274"/>
      <c r="R44" s="1274"/>
      <c r="S44" s="2158"/>
      <c r="T44" s="2158"/>
      <c r="U44" s="2158"/>
      <c r="V44" s="2158"/>
    </row>
    <row r="45" spans="1:22" s="2159" customFormat="1" ht="18" customHeight="1">
      <c r="A45" s="2155"/>
      <c r="B45" s="2155"/>
      <c r="C45" s="1274"/>
      <c r="D45" s="1274"/>
      <c r="E45" s="1274"/>
      <c r="F45" s="1274"/>
      <c r="G45" s="1274"/>
      <c r="H45" s="9"/>
      <c r="I45" s="9"/>
      <c r="J45" s="2156"/>
      <c r="K45" s="2157"/>
      <c r="L45" s="2157"/>
      <c r="M45" s="9"/>
      <c r="N45" s="1274"/>
      <c r="O45" s="9"/>
      <c r="P45" s="1274"/>
      <c r="Q45" s="1274"/>
      <c r="R45" s="1274"/>
      <c r="S45" s="2158"/>
      <c r="T45" s="2158"/>
      <c r="U45" s="2158"/>
      <c r="V45" s="2158"/>
    </row>
    <row r="46" spans="1:22" s="2159" customFormat="1" ht="18" customHeight="1">
      <c r="A46" s="2155"/>
      <c r="B46" s="2155"/>
      <c r="C46" s="1274"/>
      <c r="D46" s="1274"/>
      <c r="E46" s="1274"/>
      <c r="F46" s="1274"/>
      <c r="G46" s="1274"/>
      <c r="H46" s="9"/>
      <c r="I46" s="9"/>
      <c r="J46" s="2156"/>
      <c r="K46" s="2157"/>
      <c r="L46" s="2157"/>
      <c r="M46" s="9"/>
      <c r="N46" s="1274"/>
      <c r="O46" s="9"/>
      <c r="P46" s="1274"/>
      <c r="Q46" s="1274"/>
      <c r="R46" s="1274"/>
      <c r="S46" s="2158"/>
      <c r="T46" s="2158"/>
      <c r="U46" s="2158"/>
      <c r="V46" s="2158"/>
    </row>
    <row r="47" spans="1:22" s="2159" customFormat="1" ht="18" customHeight="1">
      <c r="A47" s="2155"/>
      <c r="B47" s="2155"/>
      <c r="C47" s="1274"/>
      <c r="D47" s="1274"/>
      <c r="E47" s="1274"/>
      <c r="F47" s="1274"/>
      <c r="G47" s="1274"/>
      <c r="H47" s="9"/>
      <c r="I47" s="9"/>
      <c r="J47" s="2156"/>
      <c r="K47" s="2157"/>
      <c r="L47" s="2157"/>
      <c r="M47" s="9"/>
      <c r="N47" s="1274"/>
      <c r="O47" s="9"/>
      <c r="P47" s="1274"/>
      <c r="Q47" s="1274"/>
      <c r="R47" s="1274"/>
      <c r="S47" s="2158"/>
      <c r="T47" s="2158"/>
      <c r="U47" s="2158"/>
      <c r="V47" s="2158"/>
    </row>
    <row r="48" spans="1:22" s="2159" customFormat="1" ht="18" customHeight="1">
      <c r="A48" s="2155"/>
      <c r="B48" s="2155"/>
      <c r="C48" s="1274"/>
      <c r="D48" s="1274"/>
      <c r="E48" s="1274"/>
      <c r="F48" s="1274"/>
      <c r="G48" s="1274"/>
      <c r="H48" s="9"/>
      <c r="I48" s="9"/>
      <c r="J48" s="2156"/>
      <c r="K48" s="2157"/>
      <c r="L48" s="2157"/>
      <c r="M48" s="9"/>
      <c r="N48" s="1274"/>
      <c r="O48" s="9"/>
      <c r="P48" s="1274"/>
      <c r="Q48" s="1274"/>
      <c r="R48" s="1274"/>
      <c r="S48" s="2158"/>
      <c r="T48" s="2158"/>
      <c r="U48" s="2158"/>
      <c r="V48" s="2158"/>
    </row>
    <row r="49" spans="1:22" s="2159" customFormat="1" ht="18" customHeight="1">
      <c r="A49" s="2155"/>
      <c r="B49" s="2155"/>
      <c r="C49" s="1274"/>
      <c r="D49" s="1274"/>
      <c r="E49" s="1274"/>
      <c r="F49" s="1274"/>
      <c r="G49" s="1274"/>
      <c r="H49" s="9"/>
      <c r="I49" s="9"/>
      <c r="J49" s="2156"/>
      <c r="K49" s="2157"/>
      <c r="L49" s="2157"/>
      <c r="M49" s="9"/>
      <c r="N49" s="1274"/>
      <c r="O49" s="9"/>
      <c r="P49" s="1274"/>
      <c r="Q49" s="1274"/>
      <c r="R49" s="1274"/>
      <c r="S49" s="2158"/>
      <c r="T49" s="2158"/>
      <c r="U49" s="2158"/>
      <c r="V49" s="2158"/>
    </row>
    <row r="50" spans="1:22" s="2159" customFormat="1" ht="18" customHeight="1">
      <c r="A50" s="2155"/>
      <c r="B50" s="2155"/>
      <c r="C50" s="1274"/>
      <c r="D50" s="1274"/>
      <c r="E50" s="1274"/>
      <c r="F50" s="1274"/>
      <c r="G50" s="1274"/>
      <c r="H50" s="9"/>
      <c r="I50" s="9"/>
      <c r="J50" s="2156"/>
      <c r="K50" s="2157"/>
      <c r="L50" s="2157"/>
      <c r="M50" s="9"/>
      <c r="N50" s="1274"/>
      <c r="O50" s="9"/>
      <c r="P50" s="1274"/>
      <c r="Q50" s="1274"/>
      <c r="R50" s="1274"/>
      <c r="S50" s="2158"/>
      <c r="T50" s="2158"/>
      <c r="U50" s="2158"/>
      <c r="V50" s="2158"/>
    </row>
    <row r="51" spans="1:22" s="2159" customFormat="1" ht="18" customHeight="1">
      <c r="A51" s="2155"/>
      <c r="B51" s="2155"/>
      <c r="C51" s="1274"/>
      <c r="D51" s="1274"/>
      <c r="E51" s="1274"/>
      <c r="F51" s="1274"/>
      <c r="G51" s="1274"/>
      <c r="H51" s="9"/>
      <c r="I51" s="9"/>
      <c r="J51" s="2156"/>
      <c r="K51" s="2157"/>
      <c r="L51" s="2157"/>
      <c r="M51" s="9"/>
      <c r="N51" s="1274"/>
      <c r="O51" s="9"/>
      <c r="P51" s="1274"/>
      <c r="Q51" s="1274"/>
      <c r="R51" s="1274"/>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14" sqref="D14"/>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hidden="1" customWidth="1"/>
    <col min="17" max="17" width="9.375" style="2161" hidden="1" customWidth="1"/>
    <col min="18" max="18" width="9.25" style="2161" hidden="1" customWidth="1"/>
    <col min="19" max="19" width="10.875" style="2161" hidden="1" customWidth="1"/>
    <col min="20" max="21" width="10.75" style="2161" hidden="1" customWidth="1"/>
    <col min="22" max="22" width="10.875" style="2161" hidden="1" customWidth="1"/>
    <col min="23" max="27" width="10.75" style="2161" hidden="1" customWidth="1"/>
    <col min="28" max="28" width="10.875" style="2161" hidden="1" customWidth="1"/>
    <col min="29" max="29" width="11" style="2161" bestFit="1" customWidth="1"/>
    <col min="30" max="30" width="10" style="2161" hidden="1" customWidth="1"/>
    <col min="31" max="31" width="9.75" style="2161" hidden="1" customWidth="1"/>
    <col min="32" max="37" width="9.5" style="2161" hidden="1" customWidth="1"/>
    <col min="38"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1869</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5" t="s">
        <v>1870</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9" customFormat="1" ht="24">
      <c r="A2" s="11" t="s">
        <v>1871</v>
      </c>
      <c r="B2" s="11" t="s">
        <v>1872</v>
      </c>
      <c r="C2" s="11" t="s">
        <v>1873</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1" t="s">
        <v>1874</v>
      </c>
      <c r="AZ2" s="1272" t="s">
        <v>1875</v>
      </c>
      <c r="BA2" s="11" t="s">
        <v>1876</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f>面积A!F9+面积B!G10</f>
        <v>9387.880000000001</v>
      </c>
      <c r="B3" s="14">
        <f>IF(C3="否",G5-AT5,G5)</f>
        <v>143997.77000000002</v>
      </c>
      <c r="C3" s="2170" t="s">
        <v>1877</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3"/>
      <c r="AZ3" s="1274"/>
      <c r="BA3" s="1275"/>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1878</v>
      </c>
      <c r="B5" s="1805"/>
      <c r="C5" s="1805"/>
      <c r="D5" s="1808"/>
      <c r="E5" s="16" t="s">
        <v>1</v>
      </c>
      <c r="F5" s="16">
        <f>SUM(F13:F587)</f>
        <v>0</v>
      </c>
      <c r="G5" s="16">
        <f>SUM(G13:G587)</f>
        <v>143997.77000000002</v>
      </c>
      <c r="H5" s="16">
        <f t="shared" ref="H5:AT5" si="0">SUM(H13:H656)</f>
        <v>141047.6</v>
      </c>
      <c r="I5" s="16">
        <f t="shared" si="0"/>
        <v>4640.1200000000008</v>
      </c>
      <c r="J5" s="16">
        <f t="shared" si="0"/>
        <v>0</v>
      </c>
      <c r="K5" s="16">
        <f t="shared" si="0"/>
        <v>5895.4000000000005</v>
      </c>
      <c r="L5" s="16">
        <f t="shared" si="0"/>
        <v>0</v>
      </c>
      <c r="M5" s="16">
        <f t="shared" si="0"/>
        <v>107191.97</v>
      </c>
      <c r="N5" s="16">
        <f t="shared" si="0"/>
        <v>0</v>
      </c>
      <c r="O5" s="16">
        <f t="shared" si="0"/>
        <v>23320.11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2950.17</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2950.17</v>
      </c>
      <c r="AO5" s="16">
        <f t="shared" si="0"/>
        <v>0</v>
      </c>
      <c r="AP5" s="16">
        <f t="shared" si="0"/>
        <v>0</v>
      </c>
      <c r="AQ5" s="16">
        <f t="shared" si="0"/>
        <v>0</v>
      </c>
      <c r="AR5" s="16">
        <f t="shared" si="0"/>
        <v>0</v>
      </c>
      <c r="AS5" s="16">
        <f t="shared" si="0"/>
        <v>0</v>
      </c>
      <c r="AT5" s="16">
        <f t="shared" si="0"/>
        <v>0</v>
      </c>
      <c r="AU5" s="1804"/>
      <c r="AV5" s="15" t="s">
        <v>1878</v>
      </c>
      <c r="AW5" s="1805"/>
      <c r="AX5" s="1805"/>
      <c r="AY5" s="17" t="s">
        <v>3</v>
      </c>
      <c r="AZ5" s="18">
        <f t="shared" ref="AZ5:BT5" si="1">SUM(AZ13:AZ656)</f>
        <v>143997.77000000002</v>
      </c>
      <c r="BA5" s="18">
        <f t="shared" si="1"/>
        <v>141047.6</v>
      </c>
      <c r="BB5" s="18">
        <f t="shared" si="1"/>
        <v>4640.1200000000008</v>
      </c>
      <c r="BC5" s="18">
        <f t="shared" si="1"/>
        <v>5895.4000000000005</v>
      </c>
      <c r="BD5" s="18">
        <f t="shared" si="1"/>
        <v>107191.97</v>
      </c>
      <c r="BE5" s="18">
        <f t="shared" si="1"/>
        <v>23320.11</v>
      </c>
      <c r="BF5" s="18">
        <f t="shared" si="1"/>
        <v>0</v>
      </c>
      <c r="BG5" s="18">
        <f t="shared" si="1"/>
        <v>0</v>
      </c>
      <c r="BH5" s="18">
        <f t="shared" si="1"/>
        <v>0</v>
      </c>
      <c r="BI5" s="18">
        <f t="shared" si="1"/>
        <v>0</v>
      </c>
      <c r="BJ5" s="18">
        <f t="shared" si="1"/>
        <v>0</v>
      </c>
      <c r="BK5" s="18">
        <f t="shared" si="1"/>
        <v>0</v>
      </c>
      <c r="BL5" s="18">
        <f t="shared" si="1"/>
        <v>2950.17</v>
      </c>
      <c r="BM5" s="18">
        <f t="shared" si="1"/>
        <v>0</v>
      </c>
      <c r="BN5" s="18">
        <f t="shared" si="1"/>
        <v>0</v>
      </c>
      <c r="BO5" s="18">
        <f t="shared" si="1"/>
        <v>0</v>
      </c>
      <c r="BP5" s="18">
        <f t="shared" si="1"/>
        <v>0</v>
      </c>
      <c r="BQ5" s="18">
        <f t="shared" si="1"/>
        <v>0</v>
      </c>
      <c r="BR5" s="18">
        <f t="shared" si="1"/>
        <v>2950.17</v>
      </c>
      <c r="BS5" s="18">
        <f t="shared" si="1"/>
        <v>0</v>
      </c>
      <c r="BT5" s="19">
        <f t="shared" si="1"/>
        <v>0</v>
      </c>
    </row>
    <row r="6" spans="1:72" s="2179" customFormat="1" ht="12.75">
      <c r="A6" s="15" t="s">
        <v>1879</v>
      </c>
      <c r="B6" s="2176"/>
      <c r="C6" s="2176"/>
      <c r="D6" s="2177"/>
      <c r="E6" s="16">
        <f>H6+AC6+AT6</f>
        <v>9387.89</v>
      </c>
      <c r="F6" s="16" t="s">
        <v>1</v>
      </c>
      <c r="G6" s="16" t="s">
        <v>2</v>
      </c>
      <c r="H6" s="20">
        <f>SUMIF(I$12:AB$12,"总值",I6:AB6)</f>
        <v>9195.5499999999993</v>
      </c>
      <c r="I6" s="16">
        <f t="shared" ref="I6:AB6" si="2">ROUND($A$3*I5/$B$3,2)</f>
        <v>302.51</v>
      </c>
      <c r="J6" s="16">
        <f t="shared" si="2"/>
        <v>0</v>
      </c>
      <c r="K6" s="16">
        <f t="shared" si="2"/>
        <v>384.35</v>
      </c>
      <c r="L6" s="16">
        <f t="shared" si="2"/>
        <v>0</v>
      </c>
      <c r="M6" s="16">
        <f t="shared" si="2"/>
        <v>6988.34</v>
      </c>
      <c r="N6" s="16">
        <f t="shared" si="2"/>
        <v>0</v>
      </c>
      <c r="O6" s="16">
        <f t="shared" si="2"/>
        <v>1520.35</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192.34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192.34</v>
      </c>
      <c r="AO6" s="16">
        <f t="shared" si="3"/>
        <v>0</v>
      </c>
      <c r="AP6" s="16">
        <f t="shared" si="3"/>
        <v>0</v>
      </c>
      <c r="AQ6" s="16">
        <f t="shared" si="3"/>
        <v>0</v>
      </c>
      <c r="AR6" s="16">
        <f t="shared" si="3"/>
        <v>0</v>
      </c>
      <c r="AS6" s="16">
        <f t="shared" si="3"/>
        <v>0</v>
      </c>
      <c r="AT6" s="20">
        <f>IF(C3="是",ROUND($A$3*AT5/$B$3,2),0)</f>
        <v>0</v>
      </c>
      <c r="AU6" s="2178"/>
      <c r="AV6" s="15" t="s">
        <v>1879</v>
      </c>
      <c r="AW6" s="2176"/>
      <c r="AX6" s="2176"/>
      <c r="AY6" s="21">
        <f>IF(AY3&gt;0,AY3,ROUND($A$3*AZ5/$B$3,2))</f>
        <v>9387.8799999999992</v>
      </c>
      <c r="AZ6" s="16" t="s">
        <v>3</v>
      </c>
      <c r="BA6" s="16">
        <f>ROUND($AY$6*BA5/$AZ$5,2)</f>
        <v>9195.5400000000009</v>
      </c>
      <c r="BB6" s="16">
        <f>ROUND($AY$6*BB5/$AZ$5,2)</f>
        <v>302.51</v>
      </c>
      <c r="BC6" s="16">
        <f t="shared" ref="BC6:BH6" si="4">ROUND($AY$6*BC5/$AZ$5,2)</f>
        <v>384.35</v>
      </c>
      <c r="BD6" s="16">
        <f t="shared" si="4"/>
        <v>6988.34</v>
      </c>
      <c r="BE6" s="16">
        <f t="shared" si="4"/>
        <v>1520.35</v>
      </c>
      <c r="BF6" s="16">
        <f t="shared" si="4"/>
        <v>0</v>
      </c>
      <c r="BG6" s="16">
        <f t="shared" si="4"/>
        <v>0</v>
      </c>
      <c r="BH6" s="16">
        <f t="shared" si="4"/>
        <v>0</v>
      </c>
      <c r="BI6" s="16">
        <f t="shared" ref="BI6:BT6" si="5">ROUND($AY$6*BI5/$AZ$5,2)</f>
        <v>0</v>
      </c>
      <c r="BJ6" s="16">
        <f t="shared" si="5"/>
        <v>0</v>
      </c>
      <c r="BK6" s="16">
        <f t="shared" si="5"/>
        <v>0</v>
      </c>
      <c r="BL6" s="16">
        <f t="shared" si="5"/>
        <v>192.34</v>
      </c>
      <c r="BM6" s="16">
        <f t="shared" si="5"/>
        <v>0</v>
      </c>
      <c r="BN6" s="16">
        <f t="shared" si="5"/>
        <v>0</v>
      </c>
      <c r="BO6" s="16">
        <f t="shared" si="5"/>
        <v>0</v>
      </c>
      <c r="BP6" s="16">
        <f t="shared" si="5"/>
        <v>0</v>
      </c>
      <c r="BQ6" s="16">
        <f t="shared" si="5"/>
        <v>0</v>
      </c>
      <c r="BR6" s="16">
        <f t="shared" si="5"/>
        <v>192.34</v>
      </c>
      <c r="BS6" s="16">
        <f t="shared" si="5"/>
        <v>0</v>
      </c>
      <c r="BT6" s="22">
        <f t="shared" si="5"/>
        <v>0</v>
      </c>
    </row>
    <row r="7" spans="1:72" s="2169" customFormat="1" ht="24.75">
      <c r="A7" s="2111" t="s">
        <v>1880</v>
      </c>
      <c r="B7" s="2111" t="s">
        <v>1881</v>
      </c>
      <c r="C7" s="2111" t="s">
        <v>1882</v>
      </c>
      <c r="D7" s="2111" t="s">
        <v>1883</v>
      </c>
      <c r="E7" s="2111" t="s">
        <v>1884</v>
      </c>
      <c r="F7" s="2111" t="s">
        <v>1885</v>
      </c>
      <c r="G7" s="2180" t="s">
        <v>1886</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8"/>
      <c r="AU7" s="2181" t="s">
        <v>1887</v>
      </c>
      <c r="AV7" s="23" t="s">
        <v>1888</v>
      </c>
      <c r="AW7" s="2168" t="s">
        <v>1889</v>
      </c>
      <c r="AX7" s="23" t="s">
        <v>1882</v>
      </c>
      <c r="AY7" s="1805" t="s">
        <v>1890</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1891</v>
      </c>
      <c r="H8" s="2186" t="s">
        <v>1892</v>
      </c>
      <c r="I8" s="2187"/>
      <c r="J8" s="1820"/>
      <c r="K8" s="1820"/>
      <c r="L8" s="1820"/>
      <c r="M8" s="1820"/>
      <c r="N8" s="1820"/>
      <c r="O8" s="1820"/>
      <c r="P8" s="1820"/>
      <c r="Q8" s="1820"/>
      <c r="R8" s="1820"/>
      <c r="S8" s="1820"/>
      <c r="T8" s="1820"/>
      <c r="U8" s="1820"/>
      <c r="V8" s="2188"/>
      <c r="W8" s="1820"/>
      <c r="X8" s="1820"/>
      <c r="Y8" s="1820"/>
      <c r="Z8" s="1820"/>
      <c r="AA8" s="2188"/>
      <c r="AB8" s="2189"/>
      <c r="AC8" s="983" t="s">
        <v>1893</v>
      </c>
      <c r="AD8" s="2190"/>
      <c r="AE8" s="2182"/>
      <c r="AF8" s="1820"/>
      <c r="AG8" s="1820"/>
      <c r="AH8" s="1820"/>
      <c r="AI8" s="1820"/>
      <c r="AJ8" s="1820"/>
      <c r="AK8" s="1820"/>
      <c r="AL8" s="1820"/>
      <c r="AM8" s="1820"/>
      <c r="AN8" s="1820"/>
      <c r="AO8" s="1820"/>
      <c r="AP8" s="1820"/>
      <c r="AQ8" s="1820"/>
      <c r="AR8" s="1820"/>
      <c r="AS8" s="1820"/>
      <c r="AT8" s="1294" t="s">
        <v>1894</v>
      </c>
      <c r="AU8" s="2184" t="s">
        <v>1895</v>
      </c>
      <c r="AV8" s="1294"/>
      <c r="AW8" s="2167"/>
      <c r="AX8" s="1294"/>
      <c r="AY8" s="2168" t="s">
        <v>1896</v>
      </c>
      <c r="AZ8" s="1819" t="s">
        <v>1897</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1" customFormat="1" ht="12.75">
      <c r="A9" s="2184"/>
      <c r="B9" s="2184"/>
      <c r="C9" s="2184"/>
      <c r="D9" s="2184"/>
      <c r="E9" s="2184"/>
      <c r="F9" s="2184"/>
      <c r="G9" s="1294"/>
      <c r="H9" s="2192" t="s">
        <v>1898</v>
      </c>
      <c r="I9" s="2193" t="s">
        <v>3238</v>
      </c>
      <c r="J9" s="983"/>
      <c r="K9" s="2193" t="s">
        <v>3240</v>
      </c>
      <c r="L9" s="983"/>
      <c r="M9" s="2193" t="s">
        <v>3238</v>
      </c>
      <c r="N9" s="983"/>
      <c r="O9" s="2193" t="s">
        <v>3240</v>
      </c>
      <c r="P9" s="983"/>
      <c r="Q9" s="2193"/>
      <c r="R9" s="983"/>
      <c r="S9" s="2193"/>
      <c r="T9" s="983"/>
      <c r="U9" s="2193"/>
      <c r="V9" s="983"/>
      <c r="W9" s="2193"/>
      <c r="X9" s="2194"/>
      <c r="Y9" s="2193"/>
      <c r="Z9" s="983"/>
      <c r="AA9" s="2193"/>
      <c r="AB9" s="983"/>
      <c r="AC9" s="2185" t="s">
        <v>1898</v>
      </c>
      <c r="AD9" s="15" t="s">
        <v>1899</v>
      </c>
      <c r="AE9" s="1300"/>
      <c r="AF9" s="15" t="s">
        <v>1900</v>
      </c>
      <c r="AG9" s="1300"/>
      <c r="AH9" s="15" t="s">
        <v>1899</v>
      </c>
      <c r="AI9" s="1300"/>
      <c r="AJ9" s="15" t="s">
        <v>1900</v>
      </c>
      <c r="AK9" s="1300"/>
      <c r="AL9" s="15" t="s">
        <v>1899</v>
      </c>
      <c r="AM9" s="1300"/>
      <c r="AN9" s="15" t="s">
        <v>1900</v>
      </c>
      <c r="AO9" s="1300"/>
      <c r="AP9" s="15" t="s">
        <v>1899</v>
      </c>
      <c r="AQ9" s="1300"/>
      <c r="AR9" s="15" t="s">
        <v>1900</v>
      </c>
      <c r="AS9" s="2195"/>
      <c r="AT9" s="2184"/>
      <c r="AU9" s="2184" t="s">
        <v>1901</v>
      </c>
      <c r="AV9" s="1294"/>
      <c r="AW9" s="2167"/>
      <c r="AX9" s="1294"/>
      <c r="AY9" s="28"/>
      <c r="AZ9" s="28" t="s">
        <v>1891</v>
      </c>
      <c r="BA9" s="2196" t="s">
        <v>1902</v>
      </c>
      <c r="BB9" s="2197"/>
      <c r="BC9" s="1340"/>
      <c r="BD9" s="1340"/>
      <c r="BE9" s="1340"/>
      <c r="BF9" s="1340"/>
      <c r="BG9" s="1340"/>
      <c r="BH9" s="1340"/>
      <c r="BI9" s="1340"/>
      <c r="BJ9" s="1340"/>
      <c r="BK9" s="2198"/>
      <c r="BL9" s="15" t="s">
        <v>1903</v>
      </c>
      <c r="BM9" s="1820"/>
      <c r="BN9" s="2187"/>
      <c r="BO9" s="1820"/>
      <c r="BP9" s="1820"/>
      <c r="BQ9" s="1820"/>
      <c r="BR9" s="1820"/>
      <c r="BS9" s="1820"/>
      <c r="BT9" s="26"/>
    </row>
    <row r="10" spans="1:72" s="2191" customFormat="1" ht="12.75">
      <c r="A10" s="2184"/>
      <c r="B10" s="2184"/>
      <c r="C10" s="2184"/>
      <c r="D10" s="2184"/>
      <c r="E10" s="2184"/>
      <c r="F10" s="2184"/>
      <c r="G10" s="1294"/>
      <c r="H10" s="28"/>
      <c r="I10" s="2193" t="s">
        <v>1377</v>
      </c>
      <c r="J10" s="983"/>
      <c r="K10" s="2199" t="s">
        <v>1377</v>
      </c>
      <c r="L10" s="983"/>
      <c r="M10" s="2199" t="s">
        <v>27</v>
      </c>
      <c r="N10" s="983"/>
      <c r="O10" s="2199" t="s">
        <v>3049</v>
      </c>
      <c r="P10" s="983"/>
      <c r="Q10" s="2199"/>
      <c r="R10" s="983"/>
      <c r="S10" s="2199"/>
      <c r="T10" s="983"/>
      <c r="U10" s="2199"/>
      <c r="V10" s="983"/>
      <c r="W10" s="2199"/>
      <c r="X10" s="983"/>
      <c r="Y10" s="2199"/>
      <c r="Z10" s="983"/>
      <c r="AA10" s="2199"/>
      <c r="AB10" s="983"/>
      <c r="AC10" s="1294"/>
      <c r="AD10" s="15" t="s">
        <v>1904</v>
      </c>
      <c r="AE10" s="2200"/>
      <c r="AF10" s="15" t="s">
        <v>1904</v>
      </c>
      <c r="AG10" s="2200"/>
      <c r="AH10" s="15" t="s">
        <v>1905</v>
      </c>
      <c r="AI10" s="2200"/>
      <c r="AJ10" s="15" t="s">
        <v>1905</v>
      </c>
      <c r="AK10" s="2200"/>
      <c r="AL10" s="15" t="s">
        <v>1906</v>
      </c>
      <c r="AM10" s="1300"/>
      <c r="AN10" s="15" t="s">
        <v>1906</v>
      </c>
      <c r="AO10" s="1300"/>
      <c r="AP10" s="15" t="s">
        <v>1907</v>
      </c>
      <c r="AQ10" s="1300"/>
      <c r="AR10" s="15" t="s">
        <v>1907</v>
      </c>
      <c r="AS10" s="1300"/>
      <c r="AT10" s="2184"/>
      <c r="AU10" s="2184"/>
      <c r="AV10" s="1294"/>
      <c r="AW10" s="2167"/>
      <c r="AX10" s="1294"/>
      <c r="AY10" s="28"/>
      <c r="AZ10" s="28"/>
      <c r="BA10" s="2201" t="s">
        <v>1898</v>
      </c>
      <c r="BB10" s="2202" t="str">
        <f>I9</f>
        <v>地上</v>
      </c>
      <c r="BC10" s="29" t="str">
        <f>K9</f>
        <v>地下</v>
      </c>
      <c r="BD10" s="29" t="str">
        <f>M9</f>
        <v>地上</v>
      </c>
      <c r="BE10" s="29" t="str">
        <f>O9</f>
        <v>地下</v>
      </c>
      <c r="BF10" s="29">
        <f>Q9</f>
        <v>0</v>
      </c>
      <c r="BG10" s="29">
        <f>S9</f>
        <v>0</v>
      </c>
      <c r="BH10" s="29">
        <f>U9</f>
        <v>0</v>
      </c>
      <c r="BI10" s="29">
        <f>W9</f>
        <v>0</v>
      </c>
      <c r="BJ10" s="29">
        <f>Y9</f>
        <v>0</v>
      </c>
      <c r="BK10" s="29">
        <f>AA9</f>
        <v>0</v>
      </c>
      <c r="BL10" s="25" t="s">
        <v>1898</v>
      </c>
      <c r="BM10" s="1819" t="str">
        <f>AD9</f>
        <v>地上</v>
      </c>
      <c r="BN10" s="29" t="str">
        <f>AF9</f>
        <v>地下</v>
      </c>
      <c r="BO10" s="1819" t="str">
        <f>AH9</f>
        <v>地上</v>
      </c>
      <c r="BP10" s="29" t="str">
        <f>AJ9</f>
        <v>地下</v>
      </c>
      <c r="BQ10" s="1819" t="str">
        <f>AL9</f>
        <v>地上</v>
      </c>
      <c r="BR10" s="29" t="str">
        <f>AN9</f>
        <v>地下</v>
      </c>
      <c r="BS10" s="1819" t="str">
        <f>AP9</f>
        <v>地上</v>
      </c>
      <c r="BT10" s="2203" t="str">
        <f>AR9</f>
        <v>地下</v>
      </c>
    </row>
    <row r="11" spans="1:72" s="2191" customFormat="1" ht="12.75">
      <c r="A11" s="2184"/>
      <c r="B11" s="2184"/>
      <c r="C11" s="2184"/>
      <c r="D11" s="2184"/>
      <c r="E11" s="2184"/>
      <c r="F11" s="2184"/>
      <c r="G11" s="1294"/>
      <c r="H11" s="2201"/>
      <c r="I11" s="2204" t="s">
        <v>3239</v>
      </c>
      <c r="J11" s="2205"/>
      <c r="K11" s="2204" t="s">
        <v>3241</v>
      </c>
      <c r="L11" s="2205"/>
      <c r="M11" s="2204" t="s">
        <v>3243</v>
      </c>
      <c r="N11" s="2205"/>
      <c r="O11" s="2204" t="s">
        <v>3049</v>
      </c>
      <c r="P11" s="2205"/>
      <c r="Q11" s="2204"/>
      <c r="R11" s="2205"/>
      <c r="S11" s="2204"/>
      <c r="T11" s="2205"/>
      <c r="U11" s="2204"/>
      <c r="V11" s="2205"/>
      <c r="W11" s="2204"/>
      <c r="X11" s="2205"/>
      <c r="Y11" s="2204"/>
      <c r="Z11" s="2205"/>
      <c r="AA11" s="2204"/>
      <c r="AB11" s="2205"/>
      <c r="AC11" s="1294"/>
      <c r="AD11" s="2206" t="s">
        <v>1908</v>
      </c>
      <c r="AE11" s="1821"/>
      <c r="AF11" s="2206" t="s">
        <v>1908</v>
      </c>
      <c r="AG11" s="1821"/>
      <c r="AH11" s="2206" t="s">
        <v>1909</v>
      </c>
      <c r="AI11" s="2207"/>
      <c r="AJ11" s="2206" t="s">
        <v>1909</v>
      </c>
      <c r="AK11" s="1821"/>
      <c r="AL11" s="1819"/>
      <c r="AM11" s="1821"/>
      <c r="AN11" s="1819"/>
      <c r="AO11" s="1821"/>
      <c r="AP11" s="1819"/>
      <c r="AQ11" s="1821"/>
      <c r="AR11" s="1819"/>
      <c r="AS11" s="1821"/>
      <c r="AT11" s="2167"/>
      <c r="AU11" s="2184"/>
      <c r="AV11" s="1294"/>
      <c r="AW11" s="2167"/>
      <c r="AX11" s="1294"/>
      <c r="AY11" s="28"/>
      <c r="AZ11" s="28"/>
      <c r="BA11" s="28"/>
      <c r="BB11" s="2189" t="str">
        <f>I10</f>
        <v>商业</v>
      </c>
      <c r="BC11" s="2189" t="str">
        <f>K10</f>
        <v>商业</v>
      </c>
      <c r="BD11" s="2189" t="str">
        <f>M10</f>
        <v>办公</v>
      </c>
      <c r="BE11" s="2189" t="str">
        <f>O10</f>
        <v>车库</v>
      </c>
      <c r="BF11" s="2189">
        <f>Q10</f>
        <v>0</v>
      </c>
      <c r="BG11" s="2189">
        <f>S10</f>
        <v>0</v>
      </c>
      <c r="BH11" s="2189">
        <f>U10</f>
        <v>0</v>
      </c>
      <c r="BI11" s="2189">
        <f>W10</f>
        <v>0</v>
      </c>
      <c r="BJ11" s="2189">
        <f>Y10</f>
        <v>0</v>
      </c>
      <c r="BK11" s="2189">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8"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4" t="s">
        <v>1911</v>
      </c>
      <c r="W12" s="11" t="s">
        <v>1910</v>
      </c>
      <c r="X12" s="11" t="s">
        <v>1911</v>
      </c>
      <c r="Y12" s="11" t="s">
        <v>1910</v>
      </c>
      <c r="Z12" s="11" t="s">
        <v>1911</v>
      </c>
      <c r="AA12" s="11" t="s">
        <v>1910</v>
      </c>
      <c r="AB12" s="11" t="s">
        <v>1911</v>
      </c>
      <c r="AC12" s="2211"/>
      <c r="AD12" s="1808"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9" t="s">
        <v>1911</v>
      </c>
      <c r="AT12" s="2212"/>
      <c r="AU12" s="2209"/>
      <c r="AV12" s="31"/>
      <c r="AW12" s="2168"/>
      <c r="AX12" s="31"/>
      <c r="AY12" s="2213"/>
      <c r="AZ12" s="28"/>
      <c r="BA12" s="2201"/>
      <c r="BB12" s="24" t="str">
        <f>I11</f>
        <v>底商</v>
      </c>
      <c r="BC12" s="2214" t="str">
        <f>K11</f>
        <v>地下商业</v>
      </c>
      <c r="BD12" s="2214" t="str">
        <f>M11</f>
        <v>办公楼</v>
      </c>
      <c r="BE12" s="2189" t="str">
        <f>O11</f>
        <v>车库</v>
      </c>
      <c r="BF12" s="2189">
        <f>Q11</f>
        <v>0</v>
      </c>
      <c r="BG12" s="2189">
        <f>S11</f>
        <v>0</v>
      </c>
      <c r="BH12" s="2189">
        <f>U11</f>
        <v>0</v>
      </c>
      <c r="BI12" s="2189">
        <f>W11</f>
        <v>0</v>
      </c>
      <c r="BJ12" s="2189">
        <f>Y11</f>
        <v>0</v>
      </c>
      <c r="BK12" s="2189">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8">
        <f>AR11</f>
        <v>0</v>
      </c>
    </row>
    <row r="13" spans="1:72" s="2169" customFormat="1" ht="12.75">
      <c r="A13" s="1274"/>
      <c r="B13" s="1274"/>
      <c r="C13" s="1274" t="s">
        <v>3236</v>
      </c>
      <c r="D13" s="2215" t="s">
        <v>3237</v>
      </c>
      <c r="E13" s="16">
        <f>IF($C$3="是",ROUND($A$3*G13/$B$3,2),ROUND($A$3*(G13-AT13)/$B$3,2))</f>
        <v>5008.03</v>
      </c>
      <c r="F13" s="32"/>
      <c r="G13" s="33">
        <f>H13+AC13+AT13</f>
        <v>76816.58</v>
      </c>
      <c r="H13" s="20">
        <f>SUMIF(I$12:AB$12,"总值",I13:AB13)</f>
        <v>75209.740000000005</v>
      </c>
      <c r="I13" s="2216">
        <f>面积A!G7</f>
        <v>2295.9700000000003</v>
      </c>
      <c r="J13" s="2216"/>
      <c r="K13" s="2216">
        <f>面积A!H5</f>
        <v>2920.1000000000004</v>
      </c>
      <c r="L13" s="2216"/>
      <c r="M13" s="2216">
        <f>面积A!G8</f>
        <v>58586.810000000005</v>
      </c>
      <c r="N13" s="2216"/>
      <c r="O13" s="2216">
        <f>面积A!H4</f>
        <v>11406.86</v>
      </c>
      <c r="P13" s="2216"/>
      <c r="Q13" s="2216"/>
      <c r="R13" s="2216"/>
      <c r="S13" s="2216"/>
      <c r="T13" s="2216"/>
      <c r="U13" s="2216"/>
      <c r="V13" s="2216"/>
      <c r="W13" s="2216"/>
      <c r="X13" s="2216"/>
      <c r="Y13" s="2216"/>
      <c r="Z13" s="2216"/>
      <c r="AA13" s="2216"/>
      <c r="AB13" s="2216"/>
      <c r="AC13" s="16">
        <f>SUMIF(AD$12:AS$12,"总值",AD13:AS13)</f>
        <v>1606.8400000000001</v>
      </c>
      <c r="AD13" s="2217"/>
      <c r="AE13" s="2217"/>
      <c r="AF13" s="2217"/>
      <c r="AG13" s="2217"/>
      <c r="AH13" s="2217"/>
      <c r="AI13" s="2217"/>
      <c r="AJ13" s="2217"/>
      <c r="AK13" s="2217"/>
      <c r="AL13" s="2217">
        <f>面积A!G6</f>
        <v>0</v>
      </c>
      <c r="AM13" s="2217"/>
      <c r="AN13" s="2217">
        <f>面积A!H6</f>
        <v>1606.8400000000001</v>
      </c>
      <c r="AO13" s="2217"/>
      <c r="AP13" s="2217"/>
      <c r="AQ13" s="2217"/>
      <c r="AR13" s="2217"/>
      <c r="AS13" s="2217"/>
      <c r="AT13" s="2218"/>
      <c r="AU13" s="2219"/>
      <c r="AV13" s="11">
        <f t="shared" ref="AV13:AX17" si="6">A13</f>
        <v>0</v>
      </c>
      <c r="AW13" s="11">
        <f t="shared" si="6"/>
        <v>0</v>
      </c>
      <c r="AX13" s="11" t="str">
        <f t="shared" si="6"/>
        <v>A座</v>
      </c>
      <c r="AY13" s="1808">
        <f>ROUND($AY$6*AZ13/$AZ$5,2)</f>
        <v>5008.03</v>
      </c>
      <c r="AZ13" s="16">
        <f>BA13+BL13</f>
        <v>76816.58</v>
      </c>
      <c r="BA13" s="16">
        <f>SUM(BB13:BK13)</f>
        <v>75209.740000000005</v>
      </c>
      <c r="BB13" s="16">
        <f>IF($D13="是",I13-J13,0)</f>
        <v>2295.9700000000003</v>
      </c>
      <c r="BC13" s="16">
        <f>IF($D13="是",K13-L13,0)</f>
        <v>2920.1000000000004</v>
      </c>
      <c r="BD13" s="16">
        <f>IF($D13="是",M13-N13,0)</f>
        <v>58586.810000000005</v>
      </c>
      <c r="BE13" s="16">
        <f>IF($D13="是",O13-P13,0)</f>
        <v>11406.86</v>
      </c>
      <c r="BF13" s="16">
        <f>IF($D13="是",Q13-R13,0)</f>
        <v>0</v>
      </c>
      <c r="BG13" s="16">
        <f>IF($D13="是",S13-T13,0)</f>
        <v>0</v>
      </c>
      <c r="BH13" s="16">
        <f>IF($D13="是",U13-V13,0)</f>
        <v>0</v>
      </c>
      <c r="BI13" s="16">
        <f>IF($D13="是",W13-X13,0)</f>
        <v>0</v>
      </c>
      <c r="BJ13" s="16">
        <f>IF($D13="是",Y13-Z13,0)</f>
        <v>0</v>
      </c>
      <c r="BK13" s="16">
        <f>IF($D13="是",AA13-AB13,0)</f>
        <v>0</v>
      </c>
      <c r="BL13" s="16">
        <f>SUM(BM13:BT13)</f>
        <v>1606.8400000000001</v>
      </c>
      <c r="BM13" s="16">
        <f>IF($D13="是",AD13-AE13,0)</f>
        <v>0</v>
      </c>
      <c r="BN13" s="16">
        <f>IF($D13="是",AF13-AG13,0)</f>
        <v>0</v>
      </c>
      <c r="BO13" s="16">
        <f>IF($D13="是",AH13-AI13,0)</f>
        <v>0</v>
      </c>
      <c r="BP13" s="16">
        <f>IF($D13="是",AJ13-AK13,0)</f>
        <v>0</v>
      </c>
      <c r="BQ13" s="16">
        <f>IF($D13="是",AL13-AM13,0)</f>
        <v>0</v>
      </c>
      <c r="BR13" s="16">
        <f>IF($D13="是",AN13-AO13,0)</f>
        <v>1606.8400000000001</v>
      </c>
      <c r="BS13" s="16">
        <f>IF($D13="是",AP13-AQ13,0)</f>
        <v>0</v>
      </c>
      <c r="BT13" s="22">
        <f>IF($D13="是",AR13-AS13,0)</f>
        <v>0</v>
      </c>
    </row>
    <row r="14" spans="1:72" s="2169" customFormat="1" ht="12.75">
      <c r="A14" s="1274"/>
      <c r="B14" s="1274"/>
      <c r="C14" s="2155" t="s">
        <v>3260</v>
      </c>
      <c r="D14" s="2215" t="s">
        <v>3237</v>
      </c>
      <c r="E14" s="16">
        <f>IF($C$3="是",ROUND($A$3*G14/$B$3,2),ROUND($A$3*(G14-AT14)/$B$3,2))</f>
        <v>4379.8500000000004</v>
      </c>
      <c r="F14" s="32"/>
      <c r="G14" s="33">
        <f>H14+AC14+AT14</f>
        <v>67181.19</v>
      </c>
      <c r="H14" s="20">
        <f>SUMIF(I$12:AB$12,"总值",I14:AB14)</f>
        <v>65837.86</v>
      </c>
      <c r="I14" s="2216">
        <f>面积B!H8</f>
        <v>2344.15</v>
      </c>
      <c r="J14" s="2216"/>
      <c r="K14" s="2216">
        <f>面积B!I8</f>
        <v>2975.3</v>
      </c>
      <c r="L14" s="2216"/>
      <c r="M14" s="2216">
        <f>面积B!H7</f>
        <v>48605.16</v>
      </c>
      <c r="N14" s="2216"/>
      <c r="O14" s="2216">
        <f>面积B!I6</f>
        <v>11913.25</v>
      </c>
      <c r="P14" s="2216"/>
      <c r="Q14" s="2216"/>
      <c r="R14" s="2216"/>
      <c r="S14" s="2216"/>
      <c r="T14" s="2216"/>
      <c r="U14" s="2216"/>
      <c r="V14" s="2216"/>
      <c r="W14" s="2216"/>
      <c r="X14" s="2216"/>
      <c r="Y14" s="2216"/>
      <c r="Z14" s="2216"/>
      <c r="AA14" s="2216"/>
      <c r="AB14" s="2216"/>
      <c r="AC14" s="16">
        <f>SUMIF(AD$12:AS$12,"总值",AD14:AS14)</f>
        <v>1343.33</v>
      </c>
      <c r="AD14" s="2217"/>
      <c r="AE14" s="2217"/>
      <c r="AF14" s="2217"/>
      <c r="AG14" s="2217"/>
      <c r="AH14" s="2217"/>
      <c r="AI14" s="2217"/>
      <c r="AJ14" s="2217"/>
      <c r="AK14" s="2217"/>
      <c r="AL14" s="2217">
        <v>0</v>
      </c>
      <c r="AM14" s="2217"/>
      <c r="AN14" s="2217">
        <f>面积B!I9</f>
        <v>1343.33</v>
      </c>
      <c r="AO14" s="2217"/>
      <c r="AP14" s="2217"/>
      <c r="AQ14" s="2217"/>
      <c r="AR14" s="2217"/>
      <c r="AS14" s="2217"/>
      <c r="AT14" s="2218"/>
      <c r="AU14" s="2219"/>
      <c r="AV14" s="11">
        <f t="shared" si="6"/>
        <v>0</v>
      </c>
      <c r="AW14" s="11">
        <f t="shared" si="6"/>
        <v>0</v>
      </c>
      <c r="AX14" s="11" t="str">
        <f t="shared" si="6"/>
        <v>B座</v>
      </c>
      <c r="AY14" s="1808">
        <f>ROUND($AY$6*AZ14/$AZ$5,2)</f>
        <v>4379.8500000000004</v>
      </c>
      <c r="AZ14" s="16">
        <f>BA14+BL14</f>
        <v>67181.19</v>
      </c>
      <c r="BA14" s="16">
        <f>SUM(BB14:BK14)</f>
        <v>65837.86</v>
      </c>
      <c r="BB14" s="16">
        <f>IF($D14="是",I14-J14,0)</f>
        <v>2344.15</v>
      </c>
      <c r="BC14" s="16">
        <f>IF($D14="是",K14-L14,0)</f>
        <v>2975.3</v>
      </c>
      <c r="BD14" s="16">
        <f>IF($D14="是",M14-N14,0)</f>
        <v>48605.16</v>
      </c>
      <c r="BE14" s="16">
        <f>IF($D14="是",O14-P14,0)</f>
        <v>11913.25</v>
      </c>
      <c r="BF14" s="16">
        <f>IF($D14="是",Q14-R14,0)</f>
        <v>0</v>
      </c>
      <c r="BG14" s="16">
        <f>IF($D14="是",S14-T14,0)</f>
        <v>0</v>
      </c>
      <c r="BH14" s="16">
        <f>IF($D14="是",U14-V14,0)</f>
        <v>0</v>
      </c>
      <c r="BI14" s="16">
        <f>IF($D14="是",W14-X14,0)</f>
        <v>0</v>
      </c>
      <c r="BJ14" s="16">
        <f>IF($D14="是",Y14-Z14,0)</f>
        <v>0</v>
      </c>
      <c r="BK14" s="16">
        <f>IF($D14="是",AA14-AB14,0)</f>
        <v>0</v>
      </c>
      <c r="BL14" s="16">
        <f>SUM(BM14:BT14)</f>
        <v>1343.33</v>
      </c>
      <c r="BM14" s="16">
        <f>IF($D14="是",AD14-AE14,0)</f>
        <v>0</v>
      </c>
      <c r="BN14" s="16">
        <f>IF($D14="是",AF14-AG14,0)</f>
        <v>0</v>
      </c>
      <c r="BO14" s="16">
        <f>IF($D14="是",AH14-AI14,0)</f>
        <v>0</v>
      </c>
      <c r="BP14" s="16">
        <f>IF($D14="是",AJ14-AK14,0)</f>
        <v>0</v>
      </c>
      <c r="BQ14" s="16">
        <f>IF($D14="是",AL14-AM14,0)</f>
        <v>0</v>
      </c>
      <c r="BR14" s="16">
        <f>IF($D14="是",AN14-AO14,0)</f>
        <v>1343.33</v>
      </c>
      <c r="BS14" s="16">
        <f>IF($D14="是",AP14-AQ14,0)</f>
        <v>0</v>
      </c>
      <c r="BT14" s="22">
        <f>IF($D14="是",AR14-AS14,0)</f>
        <v>0</v>
      </c>
    </row>
    <row r="15" spans="1:72" s="2169" customFormat="1" ht="12.75">
      <c r="A15" s="1274"/>
      <c r="B15" s="1274"/>
      <c r="C15" s="2155"/>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4"/>
      <c r="B16" s="1274"/>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4"/>
      <c r="B17" s="1274"/>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7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80" t="s">
        <v>0</v>
      </c>
      <c r="B1" s="3180" t="s">
        <v>4</v>
      </c>
      <c r="C1" s="3180" t="s">
        <v>5</v>
      </c>
      <c r="D1" s="3181" t="s">
        <v>53</v>
      </c>
      <c r="E1" s="3181" t="s">
        <v>54</v>
      </c>
      <c r="F1" s="3181"/>
      <c r="G1" s="3181"/>
      <c r="H1" s="3181"/>
      <c r="I1" s="3181"/>
      <c r="J1" s="3181"/>
      <c r="K1" s="3181"/>
      <c r="L1" s="3181"/>
      <c r="M1" s="3181"/>
    </row>
    <row r="2" spans="1:13" ht="27" customHeight="1">
      <c r="A2" s="3180"/>
      <c r="B2" s="3180"/>
      <c r="C2" s="3180"/>
      <c r="D2" s="3181"/>
      <c r="E2" s="3181" t="s">
        <v>37</v>
      </c>
      <c r="F2" s="3181" t="s">
        <v>38</v>
      </c>
      <c r="G2" s="3181"/>
      <c r="H2" s="3181"/>
      <c r="I2" s="3181"/>
      <c r="J2" s="3181" t="s">
        <v>39</v>
      </c>
      <c r="K2" s="3181"/>
      <c r="L2" s="3181"/>
      <c r="M2" s="3181"/>
    </row>
    <row r="3" spans="1:13" ht="28.5">
      <c r="A3" s="3180"/>
      <c r="B3" s="3180"/>
      <c r="C3" s="3180"/>
      <c r="D3" s="3181"/>
      <c r="E3" s="318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81" t="s">
        <v>55</v>
      </c>
      <c r="B9" s="3181"/>
      <c r="C9" s="318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view="pageBreakPreview" topLeftCell="A4" zoomScale="90" zoomScaleNormal="100" zoomScaleSheetLayoutView="90" workbookViewId="0">
      <selection activeCell="G23" sqref="G23"/>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1937</v>
      </c>
      <c r="B1" s="1394"/>
      <c r="C1" s="1394"/>
      <c r="D1" s="1394"/>
      <c r="E1" s="1394"/>
      <c r="F1" s="1394"/>
      <c r="G1" s="1394"/>
      <c r="H1" s="1394"/>
      <c r="I1" s="1394"/>
      <c r="J1" s="1394"/>
      <c r="K1" s="1394"/>
      <c r="L1" s="1394"/>
      <c r="M1" s="1394"/>
      <c r="N1" s="1394"/>
      <c r="O1" s="1394"/>
      <c r="P1" s="1394"/>
    </row>
    <row r="2" spans="1:16" ht="15">
      <c r="A2" s="3191" t="s">
        <v>1938</v>
      </c>
      <c r="B2" s="3191"/>
      <c r="C2" s="3191"/>
      <c r="D2" s="969" t="s">
        <v>1914</v>
      </c>
      <c r="E2" s="2229" t="s">
        <v>1915</v>
      </c>
      <c r="F2" s="1394"/>
      <c r="G2" s="2230"/>
      <c r="H2" s="2231"/>
      <c r="I2" s="2232" t="s">
        <v>1939</v>
      </c>
      <c r="J2" s="1394"/>
      <c r="K2" s="1394"/>
      <c r="L2" s="1394"/>
      <c r="M2" s="1394"/>
      <c r="N2" s="1429"/>
      <c r="O2" s="1394"/>
      <c r="P2" s="1394"/>
    </row>
    <row r="3" spans="1:16" ht="15.75" thickBot="1">
      <c r="A3" s="3192" t="s">
        <v>1912</v>
      </c>
      <c r="B3" s="3192"/>
      <c r="C3" s="3192"/>
      <c r="D3" s="46">
        <f>'数据-基础表'!AY6</f>
        <v>9387.8799999999992</v>
      </c>
      <c r="E3" s="46">
        <f>'数据-基础表'!AZ5</f>
        <v>143997.77000000002</v>
      </c>
      <c r="F3" s="1394"/>
      <c r="G3" s="1401"/>
      <c r="H3" s="1249" t="s">
        <v>1913</v>
      </c>
      <c r="I3" s="55">
        <f>ROUND('数据-基础表'!B3/'数据-基础表'!A3,2)</f>
        <v>15.34</v>
      </c>
      <c r="J3" s="1394"/>
      <c r="K3" s="1394"/>
      <c r="L3" s="1394"/>
      <c r="M3" s="1394"/>
      <c r="N3" s="1429"/>
      <c r="O3" s="1394"/>
      <c r="P3" s="1394"/>
    </row>
    <row r="4" spans="1:16" ht="15">
      <c r="A4" s="3193"/>
      <c r="B4" s="3194"/>
      <c r="C4" s="3195"/>
      <c r="D4" s="2233" t="s">
        <v>1914</v>
      </c>
      <c r="E4" s="2234" t="s">
        <v>1915</v>
      </c>
      <c r="F4" s="1394"/>
      <c r="G4" s="2235" t="s">
        <v>1940</v>
      </c>
      <c r="H4" s="1249" t="s">
        <v>1920</v>
      </c>
      <c r="I4" s="55">
        <f>ROUND(SUMIF('数据-基础表'!I9:AS9,"地上",'数据-基础表'!I5:AS5)/'数据-基础表'!A3,2)</f>
        <v>11.91</v>
      </c>
      <c r="J4" s="1394"/>
      <c r="K4" s="1394"/>
      <c r="L4" s="1394"/>
      <c r="M4" s="1394"/>
      <c r="N4" s="1429"/>
      <c r="O4" s="1394"/>
      <c r="P4" s="1394"/>
    </row>
    <row r="5" spans="1:16">
      <c r="A5" s="47" t="s">
        <v>1916</v>
      </c>
      <c r="B5" s="3196" t="s">
        <v>1917</v>
      </c>
      <c r="C5" s="3196"/>
      <c r="D5" s="48">
        <f>ROUND($D$3*E5/$E$3,2)</f>
        <v>0</v>
      </c>
      <c r="E5" s="49">
        <f>SUMIF('数据-基础表'!$11:$11,"住宅",'数据-基础表'!$5:$5)</f>
        <v>0</v>
      </c>
      <c r="F5" s="1394"/>
      <c r="G5" s="1401"/>
      <c r="H5" s="1249" t="s">
        <v>1913</v>
      </c>
      <c r="I5" s="55">
        <f>ROUND(E31/D31,2)</f>
        <v>15.34</v>
      </c>
      <c r="J5" s="1394"/>
      <c r="K5" s="1394"/>
      <c r="L5" s="1394"/>
      <c r="M5" s="1394"/>
      <c r="N5" s="1394"/>
      <c r="O5" s="1394"/>
      <c r="P5" s="1394"/>
    </row>
    <row r="6" spans="1:16" ht="15" thickBot="1">
      <c r="A6" s="2236"/>
      <c r="B6" s="3196" t="s">
        <v>1918</v>
      </c>
      <c r="C6" s="3196"/>
      <c r="D6" s="48">
        <f>ROUND($D$3*E6/$E$3,2)</f>
        <v>9387.8799999999992</v>
      </c>
      <c r="E6" s="49">
        <f>E3-E5</f>
        <v>143997.77000000002</v>
      </c>
      <c r="F6" s="1394"/>
      <c r="G6" s="2237" t="s">
        <v>1919</v>
      </c>
      <c r="H6" s="1401" t="s">
        <v>1920</v>
      </c>
      <c r="I6" s="941">
        <f>ROUND(F31/D31,2)</f>
        <v>11.91</v>
      </c>
      <c r="J6" s="1394"/>
      <c r="K6" s="1394"/>
      <c r="L6" s="1394"/>
      <c r="M6" s="1394"/>
      <c r="N6" s="1394"/>
      <c r="O6" s="1394"/>
      <c r="P6" s="1394"/>
    </row>
    <row r="7" spans="1:16" ht="15">
      <c r="A7" s="3188"/>
      <c r="B7" s="3189"/>
      <c r="C7" s="3190"/>
      <c r="D7" s="2233" t="s">
        <v>1914</v>
      </c>
      <c r="E7" s="2238" t="s">
        <v>1921</v>
      </c>
      <c r="F7" s="1394"/>
      <c r="G7" s="2230" t="s">
        <v>1922</v>
      </c>
      <c r="H7" s="64"/>
      <c r="I7" s="419"/>
      <c r="J7" s="1394"/>
      <c r="K7" s="1394"/>
      <c r="L7" s="1394"/>
      <c r="M7" s="1394"/>
      <c r="N7" s="1394"/>
      <c r="O7" s="1394"/>
      <c r="P7" s="1394"/>
    </row>
    <row r="8" spans="1:16">
      <c r="A8" s="47" t="s">
        <v>1923</v>
      </c>
      <c r="B8" s="50" t="s">
        <v>1924</v>
      </c>
      <c r="C8" s="48" t="s">
        <v>1925</v>
      </c>
      <c r="D8" s="48">
        <f t="shared" ref="D8:D15" si="0">ROUND($D$3*E8/$E$3,2)</f>
        <v>7290.85</v>
      </c>
      <c r="E8" s="51">
        <f>SUMIF('数据-基础表'!BB10:BK10,"地上",'数据-基础表'!BB5:BK5)</f>
        <v>111832.09</v>
      </c>
      <c r="F8" s="1394"/>
      <c r="G8" s="2239"/>
      <c r="H8" s="2239"/>
      <c r="I8" s="1394"/>
      <c r="J8" s="1394"/>
      <c r="K8" s="1394"/>
      <c r="L8" s="1394"/>
      <c r="M8" s="1394"/>
      <c r="N8" s="1394"/>
      <c r="O8" s="1394"/>
      <c r="P8" s="1394"/>
    </row>
    <row r="9" spans="1:16">
      <c r="A9" s="2240"/>
      <c r="B9" s="2241"/>
      <c r="C9" s="48" t="s">
        <v>1926</v>
      </c>
      <c r="D9" s="48">
        <f t="shared" si="0"/>
        <v>0</v>
      </c>
      <c r="E9" s="52">
        <v>0</v>
      </c>
      <c r="F9" s="1394"/>
      <c r="G9" s="2239"/>
      <c r="H9" s="2239"/>
      <c r="I9" s="1394"/>
      <c r="J9" s="1394"/>
      <c r="K9" s="1394"/>
      <c r="L9" s="1394"/>
      <c r="M9" s="1394"/>
      <c r="N9" s="1394"/>
      <c r="O9" s="1394"/>
      <c r="P9" s="1394"/>
    </row>
    <row r="10" spans="1:16">
      <c r="A10" s="2240"/>
      <c r="B10" s="2241"/>
      <c r="C10" s="48" t="s">
        <v>1935</v>
      </c>
      <c r="D10" s="48">
        <f t="shared" si="0"/>
        <v>384.35</v>
      </c>
      <c r="E10" s="51">
        <f>SUMPRODUCT(('数据-基础表'!BB10:BK10="地下")*('数据-基础表'!BB11:BK11="商业")*('数据-基础表'!BB5:BK5))</f>
        <v>5895.4000000000005</v>
      </c>
      <c r="F10" s="1394"/>
      <c r="G10" s="2239"/>
      <c r="H10" s="2239"/>
      <c r="I10" s="1394"/>
      <c r="J10" s="1394"/>
      <c r="K10" s="1394"/>
      <c r="L10" s="1394"/>
      <c r="M10" s="1394"/>
      <c r="N10" s="1394"/>
      <c r="O10" s="1394"/>
      <c r="P10" s="1394"/>
    </row>
    <row r="11" spans="1:16">
      <c r="A11" s="2240"/>
      <c r="B11" s="2241"/>
      <c r="C11" s="48" t="s">
        <v>1927</v>
      </c>
      <c r="D11" s="48">
        <f t="shared" si="0"/>
        <v>0</v>
      </c>
      <c r="E11" s="51">
        <f>SUMPRODUCT(('数据-基础表'!BB10:BK10="地下")*('数据-基础表'!BB11:BK11="办公")*('数据-基础表'!BB5:BK5))+'数据-基础表'!BP5</f>
        <v>0</v>
      </c>
      <c r="F11" s="1394"/>
      <c r="G11" s="2239"/>
      <c r="H11" s="2239"/>
      <c r="I11" s="1394"/>
      <c r="J11" s="1394"/>
      <c r="K11" s="1394"/>
      <c r="L11" s="1394"/>
      <c r="M11" s="1394"/>
      <c r="N11" s="1394"/>
      <c r="O11" s="1394"/>
      <c r="P11" s="1394"/>
    </row>
    <row r="12" spans="1:16">
      <c r="A12" s="2240"/>
      <c r="B12" s="2241"/>
      <c r="C12" s="48" t="s">
        <v>1928</v>
      </c>
      <c r="D12" s="48">
        <f t="shared" si="0"/>
        <v>0</v>
      </c>
      <c r="E12" s="51">
        <f>SUMPRODUCT(('数据-基础表'!BB10:BK10="地下")*('数据-基础表'!BB11:BK11="仓储")*('数据-基础表'!BB5:BK5))</f>
        <v>0</v>
      </c>
      <c r="F12" s="1394"/>
      <c r="G12" s="2239"/>
      <c r="H12" s="2239"/>
      <c r="I12" s="1394"/>
      <c r="J12" s="1394"/>
      <c r="K12" s="1394"/>
      <c r="L12" s="1394"/>
      <c r="M12" s="1394"/>
      <c r="N12" s="1394"/>
      <c r="O12" s="1394"/>
      <c r="P12" s="1394"/>
    </row>
    <row r="13" spans="1:16">
      <c r="A13" s="2240"/>
      <c r="B13" s="2241"/>
      <c r="C13" s="48" t="s">
        <v>1929</v>
      </c>
      <c r="D13" s="48">
        <f t="shared" si="0"/>
        <v>1520.35</v>
      </c>
      <c r="E13" s="51">
        <f>SUMPRODUCT(('数据-基础表'!BB10:BK10="地下")*('数据-基础表'!BB11:BK11="车库")*('数据-基础表'!BB5:BK5))</f>
        <v>23320.11</v>
      </c>
      <c r="F13" s="1394"/>
      <c r="G13" s="2239"/>
      <c r="H13" s="2239"/>
      <c r="I13" s="1394"/>
      <c r="J13" s="1394"/>
      <c r="K13" s="1394"/>
      <c r="L13" s="1394"/>
      <c r="M13" s="1394"/>
      <c r="N13" s="1394"/>
      <c r="O13" s="1394"/>
      <c r="P13" s="1394"/>
    </row>
    <row r="14" spans="1:16">
      <c r="A14" s="2240"/>
      <c r="B14" s="2241"/>
      <c r="C14" s="48" t="s">
        <v>1941</v>
      </c>
      <c r="D14" s="48">
        <f t="shared" si="0"/>
        <v>0</v>
      </c>
      <c r="E14" s="51">
        <f>SUMPRODUCT(('数据-基础表'!BB10:BK10="地下")*('数据-基础表'!BB11:BK11="车库—商业")*('数据-基础表'!BB5:BK5))</f>
        <v>0</v>
      </c>
      <c r="F14" s="1394"/>
      <c r="G14" s="2239"/>
      <c r="H14" s="2239"/>
      <c r="I14" s="1394"/>
      <c r="J14" s="1394"/>
      <c r="K14" s="1394"/>
      <c r="L14" s="1394"/>
      <c r="M14" s="1394"/>
      <c r="N14" s="1394"/>
      <c r="O14" s="1394"/>
      <c r="P14" s="1394"/>
    </row>
    <row r="15" spans="1:16" ht="15" thickBot="1">
      <c r="A15" s="2240"/>
      <c r="B15" s="2241"/>
      <c r="C15" s="48" t="s">
        <v>1936</v>
      </c>
      <c r="D15" s="48">
        <f t="shared" si="0"/>
        <v>0</v>
      </c>
      <c r="E15" s="51">
        <f>SUMPRODUCT(('数据-基础表'!BB10:BK10="地下")*('数据-基础表'!BB11:BK11="车库—办公")*('数据-基础表'!BB5:BK5))</f>
        <v>0</v>
      </c>
      <c r="F15" s="1394"/>
      <c r="G15" s="2239"/>
      <c r="H15" s="2239"/>
      <c r="I15" s="1394"/>
      <c r="J15" s="1394"/>
      <c r="K15" s="1394"/>
      <c r="L15" s="1394"/>
      <c r="M15" s="1394"/>
      <c r="N15" s="1394"/>
      <c r="O15" s="1394"/>
      <c r="P15" s="1394"/>
    </row>
    <row r="16" spans="1:16" ht="15.75" thickBot="1">
      <c r="A16" s="2236"/>
      <c r="B16" s="2241"/>
      <c r="C16" s="50" t="s">
        <v>1930</v>
      </c>
      <c r="D16" s="50">
        <f>SUM(D8:D15)</f>
        <v>9195.5500000000011</v>
      </c>
      <c r="E16" s="53">
        <f>SUM(E8:E15)</f>
        <v>141047.59999999998</v>
      </c>
      <c r="F16" s="1394"/>
      <c r="G16" s="2239"/>
      <c r="H16" s="2242" t="s">
        <v>1942</v>
      </c>
      <c r="I16" s="2243"/>
      <c r="J16" s="1394"/>
      <c r="K16" s="3185" t="s">
        <v>1942</v>
      </c>
      <c r="L16" s="3186"/>
      <c r="M16" s="3186"/>
      <c r="N16" s="3186"/>
      <c r="O16" s="3186"/>
      <c r="P16" s="3187"/>
    </row>
    <row r="17" spans="1:19" ht="15">
      <c r="A17" s="2244" t="s">
        <v>1943</v>
      </c>
      <c r="B17" s="2245" t="s">
        <v>1944</v>
      </c>
      <c r="C17" s="2246" t="s">
        <v>1945</v>
      </c>
      <c r="D17" s="2247" t="s">
        <v>1933</v>
      </c>
      <c r="E17" s="2248" t="s">
        <v>1934</v>
      </c>
      <c r="F17" s="2249"/>
      <c r="G17" s="2250"/>
      <c r="H17" s="2251" t="s">
        <v>1946</v>
      </c>
      <c r="I17" s="2252" t="s">
        <v>1931</v>
      </c>
      <c r="J17" s="1394"/>
      <c r="K17" s="3182" t="s">
        <v>1947</v>
      </c>
      <c r="L17" s="3183"/>
      <c r="M17" s="3184"/>
      <c r="N17" s="3182" t="s">
        <v>1948</v>
      </c>
      <c r="O17" s="3183"/>
      <c r="P17" s="3184"/>
      <c r="R17" s="2230" t="s">
        <v>1949</v>
      </c>
      <c r="S17" s="64"/>
    </row>
    <row r="18" spans="1:19" ht="15">
      <c r="A18" s="2240"/>
      <c r="B18" s="2253"/>
      <c r="C18" s="2254"/>
      <c r="D18" s="2255"/>
      <c r="E18" s="2256" t="s">
        <v>1950</v>
      </c>
      <c r="F18" s="2257" t="s">
        <v>1951</v>
      </c>
      <c r="G18" s="2258" t="s">
        <v>1952</v>
      </c>
      <c r="H18" s="1264" t="s">
        <v>1953</v>
      </c>
      <c r="I18" s="2259" t="s">
        <v>1954</v>
      </c>
      <c r="J18" s="1394"/>
      <c r="K18" s="1264" t="s">
        <v>1955</v>
      </c>
      <c r="L18" s="2260" t="s">
        <v>1956</v>
      </c>
      <c r="M18" s="1048" t="s">
        <v>1957</v>
      </c>
      <c r="N18" s="1264" t="s">
        <v>1955</v>
      </c>
      <c r="O18" s="2260" t="s">
        <v>1956</v>
      </c>
      <c r="P18" s="1048" t="s">
        <v>1957</v>
      </c>
      <c r="R18" s="1249" t="s">
        <v>1958</v>
      </c>
      <c r="S18" s="1249" t="s">
        <v>1959</v>
      </c>
    </row>
    <row r="19" spans="1:19">
      <c r="A19" s="2261"/>
      <c r="B19" s="50" t="s">
        <v>1932</v>
      </c>
      <c r="C19" s="3036" t="s">
        <v>3244</v>
      </c>
      <c r="D19" s="48">
        <f>ROUND($D$3*E19/$E$3,2)</f>
        <v>686.86</v>
      </c>
      <c r="E19" s="56">
        <f t="shared" ref="E19:E26" si="1">SUM(F19:G19)</f>
        <v>10535.52</v>
      </c>
      <c r="F19" s="57">
        <f>'数据-基础表'!I13+'数据-基础表'!I14</f>
        <v>4640.1200000000008</v>
      </c>
      <c r="G19" s="58">
        <f>'数据-基础表'!K13+'数据-基础表'!K14</f>
        <v>5895.4000000000005</v>
      </c>
      <c r="H19" s="722">
        <f>ROUND($D$3*I19/$E$3,2)</f>
        <v>14.37</v>
      </c>
      <c r="I19" s="51">
        <f t="shared" ref="I19:I26" si="2">IF($I$17="自定义",P19,M19)</f>
        <v>220.36</v>
      </c>
      <c r="J19" s="1394"/>
      <c r="K19" s="1393">
        <f t="shared" ref="K19:K26" si="3">ROUND(E$28*E19/E$27,2)</f>
        <v>220.36</v>
      </c>
      <c r="L19" s="1249">
        <f t="shared" ref="L19:L26" si="4">ROUND(IF(COUNTIF(C19,"*住宅*")&gt;0,E$29*E19/E$32,0),2)</f>
        <v>0</v>
      </c>
      <c r="M19" s="1405">
        <f>K19+L19</f>
        <v>220.36</v>
      </c>
      <c r="N19" s="2262"/>
      <c r="O19" s="2263"/>
      <c r="P19" s="1405">
        <f>N19+O19</f>
        <v>0</v>
      </c>
      <c r="R19" s="1249">
        <f t="shared" ref="R19:S26" si="5">D19+H19</f>
        <v>701.23</v>
      </c>
      <c r="S19" s="1250">
        <f t="shared" si="5"/>
        <v>10755.880000000001</v>
      </c>
    </row>
    <row r="20" spans="1:19">
      <c r="A20" s="2264"/>
      <c r="B20" s="50" t="s">
        <v>1960</v>
      </c>
      <c r="C20" s="3036" t="s">
        <v>3245</v>
      </c>
      <c r="D20" s="48">
        <f t="shared" ref="D20:D26" si="6">ROUND($D$3*E20/$E$3,2)</f>
        <v>6988.34</v>
      </c>
      <c r="E20" s="56">
        <f t="shared" si="1"/>
        <v>107191.97</v>
      </c>
      <c r="F20" s="57">
        <f>'数据-基础表'!M13+'数据-基础表'!M14</f>
        <v>107191.97</v>
      </c>
      <c r="G20" s="58"/>
      <c r="H20" s="722">
        <f t="shared" ref="H20:H26" si="7">ROUND($D$3*I20/$E$3,2)</f>
        <v>146.16999999999999</v>
      </c>
      <c r="I20" s="51">
        <f t="shared" si="2"/>
        <v>2242.04</v>
      </c>
      <c r="J20" s="1394"/>
      <c r="K20" s="1393">
        <f t="shared" si="3"/>
        <v>2242.04</v>
      </c>
      <c r="L20" s="1249">
        <f t="shared" si="4"/>
        <v>0</v>
      </c>
      <c r="M20" s="1405">
        <f t="shared" ref="M20:M26" si="8">K20+L20</f>
        <v>2242.04</v>
      </c>
      <c r="N20" s="2262"/>
      <c r="O20" s="2263"/>
      <c r="P20" s="1405">
        <f t="shared" ref="P20:P26" si="9">N20+O20</f>
        <v>0</v>
      </c>
      <c r="R20" s="1249">
        <f t="shared" si="5"/>
        <v>7134.51</v>
      </c>
      <c r="S20" s="1250">
        <f t="shared" si="5"/>
        <v>109434.01</v>
      </c>
    </row>
    <row r="21" spans="1:19">
      <c r="A21" s="2264"/>
      <c r="B21" s="50" t="s">
        <v>1960</v>
      </c>
      <c r="C21" s="3036" t="s">
        <v>3246</v>
      </c>
      <c r="D21" s="48">
        <f t="shared" si="6"/>
        <v>1520.35</v>
      </c>
      <c r="E21" s="56">
        <f t="shared" si="1"/>
        <v>23320.11</v>
      </c>
      <c r="F21" s="57"/>
      <c r="G21" s="58">
        <f>'数据-基础表'!O13+'数据-基础表'!O14</f>
        <v>23320.11</v>
      </c>
      <c r="H21" s="722">
        <f t="shared" si="7"/>
        <v>31.8</v>
      </c>
      <c r="I21" s="51">
        <f t="shared" si="2"/>
        <v>487.77</v>
      </c>
      <c r="J21" s="1394"/>
      <c r="K21" s="1393">
        <f t="shared" si="3"/>
        <v>487.77</v>
      </c>
      <c r="L21" s="1249">
        <f t="shared" si="4"/>
        <v>0</v>
      </c>
      <c r="M21" s="1405">
        <f t="shared" si="8"/>
        <v>487.77</v>
      </c>
      <c r="N21" s="2262"/>
      <c r="O21" s="2263"/>
      <c r="P21" s="1405">
        <f t="shared" si="9"/>
        <v>0</v>
      </c>
      <c r="R21" s="1249">
        <f t="shared" si="5"/>
        <v>1552.1499999999999</v>
      </c>
      <c r="S21" s="1250">
        <f t="shared" si="5"/>
        <v>23807.88</v>
      </c>
    </row>
    <row r="22" spans="1:19">
      <c r="A22" s="2264"/>
      <c r="B22" s="50" t="s">
        <v>1960</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2"/>
      <c r="O22" s="2263"/>
      <c r="P22" s="1405">
        <f t="shared" si="9"/>
        <v>0</v>
      </c>
      <c r="R22" s="1249">
        <f t="shared" si="5"/>
        <v>0</v>
      </c>
      <c r="S22" s="1250">
        <f t="shared" si="5"/>
        <v>0</v>
      </c>
    </row>
    <row r="23" spans="1:19">
      <c r="A23" s="2264"/>
      <c r="B23" s="50" t="s">
        <v>1960</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2"/>
      <c r="O23" s="2263"/>
      <c r="P23" s="1405">
        <f t="shared" si="9"/>
        <v>0</v>
      </c>
      <c r="R23" s="1249">
        <f t="shared" si="5"/>
        <v>0</v>
      </c>
      <c r="S23" s="1250">
        <f t="shared" si="5"/>
        <v>0</v>
      </c>
    </row>
    <row r="24" spans="1:19">
      <c r="A24" s="2264"/>
      <c r="B24" s="50" t="s">
        <v>1960</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2"/>
      <c r="O24" s="2263"/>
      <c r="P24" s="1405">
        <f t="shared" si="9"/>
        <v>0</v>
      </c>
      <c r="R24" s="1249">
        <f t="shared" si="5"/>
        <v>0</v>
      </c>
      <c r="S24" s="1250">
        <f t="shared" si="5"/>
        <v>0</v>
      </c>
    </row>
    <row r="25" spans="1:19">
      <c r="A25" s="2264"/>
      <c r="B25" s="50" t="s">
        <v>1960</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2"/>
      <c r="O25" s="2263"/>
      <c r="P25" s="1405">
        <f t="shared" si="9"/>
        <v>0</v>
      </c>
      <c r="R25" s="1249">
        <f t="shared" si="5"/>
        <v>0</v>
      </c>
      <c r="S25" s="1250">
        <f t="shared" si="5"/>
        <v>0</v>
      </c>
    </row>
    <row r="26" spans="1:19">
      <c r="A26" s="2264"/>
      <c r="B26" s="50" t="s">
        <v>1960</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5"/>
      <c r="O26" s="2266"/>
      <c r="P26" s="67">
        <f t="shared" si="9"/>
        <v>0</v>
      </c>
      <c r="R26" s="1249">
        <f t="shared" si="5"/>
        <v>0</v>
      </c>
      <c r="S26" s="1250">
        <f t="shared" si="5"/>
        <v>0</v>
      </c>
    </row>
    <row r="27" spans="1:19" ht="29.25" thickBot="1">
      <c r="A27" s="2264"/>
      <c r="B27" s="48"/>
      <c r="C27" s="2267" t="s">
        <v>1961</v>
      </c>
      <c r="D27" s="1395">
        <f>SUM(D19:D26)</f>
        <v>9195.5499999999993</v>
      </c>
      <c r="E27" s="1396">
        <f>IF(SUM(E19:E26)='数据-基础表'!BA5,SUM(E19:E26),IF(F27="地上面积有误","面积有误","地下面积有误"))</f>
        <v>141047.6</v>
      </c>
      <c r="F27" s="1395">
        <f>IF(SUM(F19:F26)=E8,SUM(F19:F26),"地上面积有误")</f>
        <v>111832.09</v>
      </c>
      <c r="G27" s="1397">
        <f>SUM(G19:G26)</f>
        <v>29215.510000000002</v>
      </c>
      <c r="H27" s="1398">
        <f>SUM(H19:H26)</f>
        <v>192.34</v>
      </c>
      <c r="I27" s="1399">
        <f>SUM(I19:I26)</f>
        <v>2950.17</v>
      </c>
      <c r="J27" s="1394"/>
      <c r="K27" s="1402">
        <f>SUM(K19:K26)</f>
        <v>2950.17</v>
      </c>
      <c r="L27" s="1403">
        <f>SUM(L19:L26)</f>
        <v>0</v>
      </c>
      <c r="M27" s="1406">
        <f>SUM(M19:M26)</f>
        <v>2950.17</v>
      </c>
      <c r="N27" s="1402">
        <f t="shared" ref="N27:O27" si="10">SUM(N19:N26)</f>
        <v>0</v>
      </c>
      <c r="O27" s="1403">
        <f t="shared" si="10"/>
        <v>0</v>
      </c>
      <c r="P27" s="1404">
        <f>SUM(P19:P26)</f>
        <v>0</v>
      </c>
      <c r="R27" s="1251" t="str">
        <f>IF(SUM(R19:R26)=$D$3,SUM(R19:R26),SUM(R19:R26)&amp;"误差"&amp;ROUND(SUM(R19:R26)-$D$3,2))</f>
        <v>9387.89误差0.01</v>
      </c>
      <c r="S27" s="1249">
        <f>IF(SUM(S19:S26)=$E$3,SUM(S19:S26),SUM(S19:S26)&amp;"误差"&amp;ROUND(SUM(S19:S26)-E3,2))</f>
        <v>143997.76999999999</v>
      </c>
    </row>
    <row r="28" spans="1:19">
      <c r="A28" s="2264"/>
      <c r="B28" s="50" t="s">
        <v>1962</v>
      </c>
      <c r="C28" s="1261" t="s">
        <v>1963</v>
      </c>
      <c r="D28" s="48">
        <f>ROUND($D$3*E28/$E$3,2)</f>
        <v>192.34</v>
      </c>
      <c r="E28" s="56">
        <f>SUM(F28:G28)</f>
        <v>2950.17</v>
      </c>
      <c r="F28" s="64">
        <f>'数据-基础表'!BQ5+'数据-基础表'!BS5</f>
        <v>0</v>
      </c>
      <c r="G28" s="65">
        <f>'数据-基础表'!BR5+'数据-基础表'!BT5</f>
        <v>2950.17</v>
      </c>
      <c r="H28" s="1394"/>
      <c r="I28" s="1394"/>
      <c r="J28" s="1394"/>
      <c r="K28" s="1394"/>
      <c r="L28" s="1394"/>
      <c r="M28" s="1394"/>
      <c r="N28" s="1394"/>
      <c r="O28" s="1394"/>
      <c r="P28" s="1394"/>
    </row>
    <row r="29" spans="1:19">
      <c r="A29" s="2264"/>
      <c r="B29" s="50" t="s">
        <v>1962</v>
      </c>
      <c r="C29" s="2268" t="s">
        <v>1964</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4"/>
      <c r="B30" s="50"/>
      <c r="C30" s="2269" t="s">
        <v>1961</v>
      </c>
      <c r="D30" s="1395">
        <f>SUM(D28:D29)</f>
        <v>192.34</v>
      </c>
      <c r="E30" s="1395">
        <f>SUM(E28:E29)</f>
        <v>2950.17</v>
      </c>
      <c r="F30" s="1395">
        <f>SUM(F28:F29)</f>
        <v>0</v>
      </c>
      <c r="G30" s="1397">
        <f>SUM(G28:G29)</f>
        <v>2950.17</v>
      </c>
      <c r="H30" s="1394"/>
      <c r="I30" s="1394"/>
      <c r="J30" s="1394"/>
      <c r="K30" s="1394"/>
      <c r="L30" s="1394"/>
      <c r="M30" s="1394"/>
      <c r="N30" s="1394"/>
      <c r="O30" s="1394"/>
      <c r="P30" s="1394"/>
    </row>
    <row r="31" spans="1:19" ht="15.75" thickBot="1">
      <c r="A31" s="2270"/>
      <c r="B31" s="2271"/>
      <c r="C31" s="1009" t="s">
        <v>1965</v>
      </c>
      <c r="D31" s="728">
        <f>D27+D30</f>
        <v>9387.89</v>
      </c>
      <c r="E31" s="728">
        <f>E27+E30</f>
        <v>143997.77000000002</v>
      </c>
      <c r="F31" s="729">
        <f>F27+F30</f>
        <v>111832.09</v>
      </c>
      <c r="G31" s="730">
        <f>G27+G30</f>
        <v>32165.68</v>
      </c>
      <c r="H31" s="1394"/>
      <c r="I31" s="1394"/>
      <c r="J31" s="1394"/>
      <c r="K31" s="1394"/>
      <c r="L31" s="1394"/>
      <c r="M31" s="1394"/>
      <c r="N31" s="1394"/>
      <c r="O31" s="1394"/>
      <c r="P31" s="1394"/>
    </row>
    <row r="32" spans="1:19">
      <c r="A32" s="2235"/>
      <c r="B32" s="2235" t="s">
        <v>1966</v>
      </c>
      <c r="C32" s="2235"/>
      <c r="D32" s="2235"/>
      <c r="E32" s="1276">
        <f>SUMIF(C19:C26,"*住宅*",E19:E26)</f>
        <v>0</v>
      </c>
      <c r="F32" s="2235"/>
      <c r="G32" s="2235"/>
      <c r="H32" s="1394"/>
      <c r="I32" s="1394"/>
      <c r="J32" s="1394"/>
      <c r="K32" s="1394"/>
      <c r="L32" s="1394"/>
      <c r="M32" s="1394"/>
      <c r="N32" s="1394"/>
      <c r="O32" s="1394"/>
      <c r="P32" s="1394"/>
    </row>
    <row r="33" spans="4:6">
      <c r="D33" s="2272"/>
    </row>
    <row r="34" spans="4:6">
      <c r="F34" s="2228">
        <f>8*F20+8*(F19+G19)+G21*1.1</f>
        <v>967472.04100000008</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E42" sqref="E42"/>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1"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1967</v>
      </c>
      <c r="B1" s="731"/>
      <c r="C1" s="1583"/>
      <c r="D1" s="2274"/>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7" t="s">
        <v>1968</v>
      </c>
      <c r="B2" s="1268">
        <f>项目基本情况!D3</f>
        <v>43395</v>
      </c>
      <c r="C2" s="2278"/>
      <c r="D2" s="2279"/>
      <c r="E2" s="2278"/>
      <c r="F2" s="2278"/>
      <c r="G2" s="2278"/>
      <c r="H2" s="2278"/>
      <c r="I2" s="2278"/>
      <c r="J2" s="2278"/>
      <c r="K2" s="1429"/>
      <c r="L2" s="1429"/>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3" customFormat="1" ht="15" thickBot="1">
      <c r="A3" s="2031"/>
      <c r="B3" s="2281"/>
      <c r="C3" s="2278"/>
      <c r="D3" s="2279"/>
      <c r="E3" s="2278"/>
      <c r="F3" s="2278"/>
      <c r="G3" s="2278"/>
      <c r="H3" s="2278"/>
      <c r="I3" s="2278"/>
      <c r="J3" s="2278"/>
      <c r="K3" s="1429"/>
      <c r="L3" s="1429"/>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3" customFormat="1" ht="15" thickBot="1">
      <c r="A4" s="68" t="s">
        <v>1969</v>
      </c>
      <c r="B4" s="2282"/>
      <c r="C4" s="2283"/>
      <c r="D4" s="2284"/>
      <c r="E4" s="2283" t="s">
        <v>1970</v>
      </c>
      <c r="F4" s="2283"/>
      <c r="G4" s="2283"/>
      <c r="H4" s="2283"/>
      <c r="I4" s="2283"/>
      <c r="J4" s="2285"/>
      <c r="K4" s="2286"/>
      <c r="L4" s="2287"/>
      <c r="M4" s="2283"/>
      <c r="N4" s="2283" t="s">
        <v>1971</v>
      </c>
      <c r="O4" s="2283"/>
      <c r="P4" s="2283"/>
      <c r="Q4" s="2283"/>
      <c r="R4" s="2283"/>
      <c r="S4" s="2285"/>
      <c r="T4" s="2288" t="str">
        <f>'数据-汇总表'!I17</f>
        <v>按面积比例</v>
      </c>
      <c r="U4" s="2282" t="s">
        <v>1972</v>
      </c>
      <c r="V4" s="2283"/>
      <c r="W4" s="2283"/>
      <c r="X4" s="2283"/>
      <c r="Y4" s="2285"/>
      <c r="Z4" s="2246" t="s">
        <v>1973</v>
      </c>
      <c r="AA4" s="2246"/>
      <c r="AB4" s="2246"/>
      <c r="AC4" s="2246"/>
      <c r="AD4" s="2246"/>
      <c r="AE4" s="2244" t="s">
        <v>1974</v>
      </c>
      <c r="AF4" s="2246"/>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4" customFormat="1" ht="42">
      <c r="A5" s="2290" t="s">
        <v>1975</v>
      </c>
      <c r="B5" s="2291" t="s">
        <v>1976</v>
      </c>
      <c r="C5" s="2292" t="s">
        <v>1977</v>
      </c>
      <c r="D5" s="2293" t="s">
        <v>1978</v>
      </c>
      <c r="E5" s="1270" t="s">
        <v>1979</v>
      </c>
      <c r="F5" s="2294" t="s">
        <v>1980</v>
      </c>
      <c r="G5" s="1270" t="s">
        <v>1981</v>
      </c>
      <c r="H5" s="1270" t="s">
        <v>1982</v>
      </c>
      <c r="I5" s="1270" t="s">
        <v>1983</v>
      </c>
      <c r="J5" s="2295" t="s">
        <v>1984</v>
      </c>
      <c r="K5" s="2296" t="s">
        <v>1985</v>
      </c>
      <c r="L5" s="2297" t="s">
        <v>1986</v>
      </c>
      <c r="M5" s="2298" t="s">
        <v>1987</v>
      </c>
      <c r="N5" s="2299" t="s">
        <v>3247</v>
      </c>
      <c r="O5" s="2297" t="s">
        <v>1988</v>
      </c>
      <c r="P5" s="2300" t="s">
        <v>1989</v>
      </c>
      <c r="Q5" s="69" t="s">
        <v>1990</v>
      </c>
      <c r="R5" s="2301" t="s">
        <v>1991</v>
      </c>
      <c r="S5" s="2302" t="s">
        <v>1992</v>
      </c>
      <c r="T5" s="2303" t="s">
        <v>1993</v>
      </c>
      <c r="U5" s="1269" t="s">
        <v>1994</v>
      </c>
      <c r="V5" s="1270" t="s">
        <v>1995</v>
      </c>
      <c r="W5" s="1270" t="s">
        <v>1996</v>
      </c>
      <c r="X5" s="71"/>
      <c r="Y5" s="70" t="s">
        <v>1997</v>
      </c>
      <c r="Z5" s="2304" t="s">
        <v>1994</v>
      </c>
      <c r="AA5" s="1270" t="s">
        <v>1995</v>
      </c>
      <c r="AB5" s="1270" t="s">
        <v>1996</v>
      </c>
      <c r="AC5" s="71"/>
      <c r="AD5" s="71" t="s">
        <v>1997</v>
      </c>
      <c r="AE5" s="1269" t="s">
        <v>1998</v>
      </c>
      <c r="AF5" s="1270" t="s">
        <v>1999</v>
      </c>
      <c r="AG5" s="70" t="s">
        <v>2000</v>
      </c>
      <c r="AH5" s="1269" t="s">
        <v>2001</v>
      </c>
      <c r="AI5" s="2304" t="s">
        <v>2002</v>
      </c>
      <c r="AJ5" s="2304" t="s">
        <v>2003</v>
      </c>
      <c r="AK5" s="1270" t="s">
        <v>2004</v>
      </c>
      <c r="AL5" s="1270" t="s">
        <v>2005</v>
      </c>
      <c r="AM5" s="70" t="s">
        <v>2006</v>
      </c>
      <c r="AN5" s="2305" t="s">
        <v>2007</v>
      </c>
      <c r="AO5" s="2076" t="s">
        <v>2008</v>
      </c>
      <c r="AP5" s="1251" t="s">
        <v>2009</v>
      </c>
      <c r="AQ5" s="2306" t="s">
        <v>2010</v>
      </c>
      <c r="AR5" s="2306" t="s">
        <v>2011</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3" customFormat="1" ht="14.25">
      <c r="A6" s="2307" t="str">
        <f>'数据-汇总表'!C19</f>
        <v>商业</v>
      </c>
      <c r="B6" s="2308" t="str">
        <f>IF(A6=0,"","经营性")</f>
        <v>经营性</v>
      </c>
      <c r="C6" s="2309" t="s">
        <v>1377</v>
      </c>
      <c r="D6" s="1053">
        <f>SUMIF(项目基本情况!D$12:I$12,C6,项目基本情况!D$14:I$14)</f>
        <v>40</v>
      </c>
      <c r="E6" s="1050">
        <f>IF(B6="","",SUMIF(项目基本情况!D$12:I$12,C6,项目基本情况!D$13:I$13))</f>
        <v>52484</v>
      </c>
      <c r="F6" s="72">
        <f>SUMIF(项目基本情况!D$12:I$12,C6,项目基本情况!D$15:I$15)</f>
        <v>24.9</v>
      </c>
      <c r="G6" s="73">
        <f>IF(ISERROR(ROUND(POWER(1+H6,D6-F6)*(POWER(1+H6,F6)-1)/(POWER(1+H6,D6)-1),3)),0,ROUND(POWER(1+H6,D6-F6)*(POWER(1+H6,F6)-1)/(POWER(1+H6,D6)-1),3))</f>
        <v>0.82</v>
      </c>
      <c r="H6" s="801">
        <v>0.05</v>
      </c>
      <c r="I6" s="801">
        <v>0.05</v>
      </c>
      <c r="J6" s="74">
        <v>8.5000000000000006E-2</v>
      </c>
      <c r="K6" s="1253">
        <f>SUMIF('数据-汇总表'!C$19:C$33,A6,'数据-汇总表'!E$19:E$33)</f>
        <v>10535.52</v>
      </c>
      <c r="L6" s="802">
        <v>5000</v>
      </c>
      <c r="M6" s="75">
        <f t="shared" ref="M6:M14" si="0">ROUND(K6*L6/10000,0)</f>
        <v>5268</v>
      </c>
      <c r="N6" s="800">
        <f>ROUND((88%+95%)/2,2)</f>
        <v>0.92</v>
      </c>
      <c r="O6" s="75" t="str">
        <f>IF($N$5="成新度","——",ROUND(M6*N6,0))</f>
        <v>——</v>
      </c>
      <c r="P6" s="76" t="str">
        <f>IF($N$5="成新度","——",M6-O6)</f>
        <v>——</v>
      </c>
      <c r="Q6" s="803">
        <v>0.25</v>
      </c>
      <c r="R6" s="77">
        <f ca="1">SUMIF('数据-汇总表'!C$19:C$33,A6,'数据-汇总表'!R$19:R$27)</f>
        <v>701.23</v>
      </c>
      <c r="S6" s="54">
        <f>IF('数据-汇总表'!$I$17="按面积比例",SUMIF('数据-汇总表'!C$19:C$33,A6,'数据-汇总表'!K$19:K$33),SUMIF('数据-汇总表'!C$19:C$33,A6,'数据-汇总表'!N$19:N$33))</f>
        <v>220.36</v>
      </c>
      <c r="T6" s="1445">
        <f>ROUND($L$14*S6/10000,0)</f>
        <v>55</v>
      </c>
      <c r="U6" s="78">
        <v>15</v>
      </c>
      <c r="V6" s="79">
        <v>4.4999999999999998E-2</v>
      </c>
      <c r="W6" s="79">
        <v>0.05</v>
      </c>
      <c r="X6" s="1263"/>
      <c r="Y6" s="80">
        <f>N6</f>
        <v>0.92</v>
      </c>
      <c r="Z6" s="81"/>
      <c r="AA6" s="74"/>
      <c r="AB6" s="74"/>
      <c r="AC6" s="1263"/>
      <c r="AD6" s="82"/>
      <c r="AE6" s="1264">
        <f ca="1">IF(AN6="",0,SUMIF(INDIRECT("'"&amp;AN6&amp;"'"&amp;"!E:E"),$AE$5,INDIRECT("'"&amp;AN6&amp;"'"&amp;"!F:F")))</f>
        <v>24.9</v>
      </c>
      <c r="AF6" s="1806"/>
      <c r="AG6" s="146">
        <f>IF(AF6="",0,AE6-AF6)</f>
        <v>0</v>
      </c>
      <c r="AH6" s="83"/>
      <c r="AI6" s="85">
        <v>365</v>
      </c>
      <c r="AJ6" s="86"/>
      <c r="AK6" s="87">
        <v>1.4999999999999999E-2</v>
      </c>
      <c r="AL6" s="88">
        <v>2E-3</v>
      </c>
      <c r="AM6" s="89">
        <v>0.02</v>
      </c>
      <c r="AN6" s="2310" t="s">
        <v>3254</v>
      </c>
      <c r="AO6" s="55">
        <f ca="1">SUMIF(INDIRECT("'"&amp;AN6&amp;"'"&amp;"!A:A"),"总价",INDIRECT("'"&amp;AN6&amp;"'"&amp;"!B:B"))</f>
        <v>95859</v>
      </c>
      <c r="AP6" s="2311">
        <f>IF(C6="住宅",K6*L6,0)</f>
        <v>0</v>
      </c>
      <c r="AQ6" s="55">
        <f>ROUND($L$14*$N$14*S6/10000,0)</f>
        <v>51</v>
      </c>
      <c r="AR6" s="55">
        <f>ROUND($L$14*(1-$N$14)*S6/10000,0)</f>
        <v>4</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3" customFormat="1" ht="14.25">
      <c r="A7" s="2307" t="str">
        <f>'数据-汇总表'!C20</f>
        <v>办公</v>
      </c>
      <c r="B7" s="2308" t="str">
        <f t="shared" ref="B7:B13" si="1">IF(A7=0,"","经营性")</f>
        <v>经营性</v>
      </c>
      <c r="C7" s="2309" t="s">
        <v>27</v>
      </c>
      <c r="D7" s="1053">
        <f>SUMIF(项目基本情况!D$12:I$12,C7,项目基本情况!D$14:I$14)</f>
        <v>50</v>
      </c>
      <c r="E7" s="1050">
        <f>IF(B7="","",SUMIF(项目基本情况!D$12:I$12,C7,项目基本情况!D$13:I$13))</f>
        <v>56137</v>
      </c>
      <c r="F7" s="72">
        <f>SUMIF(项目基本情况!D$12:I$12,C7,项目基本情况!D$15:I$15)</f>
        <v>34.9</v>
      </c>
      <c r="G7" s="73">
        <f t="shared" ref="G7:G11" si="2">IF(ISERROR(ROUND(POWER(1+H7,D7-F7)*(POWER(1+H7,F7)-1)/(POWER(1+H7,D7)-1),3)),0,ROUND(POWER(1+H7,D7-F7)*(POWER(1+H7,F7)-1)/(POWER(1+H7,D7)-1),3))</f>
        <v>0.89600000000000002</v>
      </c>
      <c r="H7" s="801">
        <v>0.05</v>
      </c>
      <c r="I7" s="801">
        <v>0.05</v>
      </c>
      <c r="J7" s="74">
        <v>8.5000000000000006E-2</v>
      </c>
      <c r="K7" s="1253">
        <f>SUMIF('数据-汇总表'!C$19:C$33,A7,'数据-汇总表'!E$19:E$33)</f>
        <v>107191.97</v>
      </c>
      <c r="L7" s="802">
        <v>5000</v>
      </c>
      <c r="M7" s="75">
        <f t="shared" si="0"/>
        <v>53596</v>
      </c>
      <c r="N7" s="800">
        <f>N6</f>
        <v>0.92</v>
      </c>
      <c r="O7" s="75" t="str">
        <f t="shared" ref="O7:O14" si="3">IF($N$5="成新度","——",ROUND(M7*N7,0))</f>
        <v>——</v>
      </c>
      <c r="P7" s="76" t="str">
        <f t="shared" ref="P7:P14" si="4">IF($N$5="成新度","——",M7-O7)</f>
        <v>——</v>
      </c>
      <c r="Q7" s="803">
        <v>0.2</v>
      </c>
      <c r="R7" s="77">
        <f ca="1">SUMIF('数据-汇总表'!C$19:C$33,A7,'数据-汇总表'!R$19:R$27)</f>
        <v>7134.51</v>
      </c>
      <c r="S7" s="54">
        <f>IF('数据-汇总表'!$I$17="按面积比例",SUMIF('数据-汇总表'!C$19:C$33,A7,'数据-汇总表'!K$19:K$33),SUMIF('数据-汇总表'!C$19:C$33,A7,'数据-汇总表'!N$19:N$33))</f>
        <v>2242.04</v>
      </c>
      <c r="T7" s="1445">
        <f t="shared" ref="T7:T13" si="5">ROUND($L$14*S7/10000,0)</f>
        <v>561</v>
      </c>
      <c r="U7" s="78">
        <v>17</v>
      </c>
      <c r="V7" s="79">
        <v>4.4999999999999998E-2</v>
      </c>
      <c r="W7" s="79">
        <v>0.05</v>
      </c>
      <c r="X7" s="1263"/>
      <c r="Y7" s="80">
        <f>Y6</f>
        <v>0.92</v>
      </c>
      <c r="Z7" s="81"/>
      <c r="AA7" s="74"/>
      <c r="AB7" s="74"/>
      <c r="AC7" s="1263"/>
      <c r="AD7" s="82"/>
      <c r="AE7" s="1264">
        <f t="shared" ref="AE7:AE13" ca="1" si="6">IF(AN7="",0,SUMIF(INDIRECT("'"&amp;AN7&amp;"'"&amp;"!E:E"),$AE$5,INDIRECT("'"&amp;AN7&amp;"'"&amp;"!F:F")))</f>
        <v>34.9</v>
      </c>
      <c r="AF7" s="1806"/>
      <c r="AG7" s="146">
        <f t="shared" ref="AG7:AG13" si="7">IF(AF7="",0,AE7-AF7)</f>
        <v>0</v>
      </c>
      <c r="AH7" s="83"/>
      <c r="AI7" s="85">
        <v>365</v>
      </c>
      <c r="AJ7" s="86"/>
      <c r="AK7" s="87">
        <v>1.4999999999999999E-2</v>
      </c>
      <c r="AL7" s="88">
        <v>2E-3</v>
      </c>
      <c r="AM7" s="89">
        <v>0.02</v>
      </c>
      <c r="AN7" s="2310" t="s">
        <v>3256</v>
      </c>
      <c r="AO7" s="55">
        <f t="shared" ref="AO7:AO13" ca="1" si="8">SUMIF(INDIRECT("'"&amp;AN7&amp;"'"&amp;"!A:A"),"总价",INDIRECT("'"&amp;AN7&amp;"'"&amp;"!B:B"))</f>
        <v>1521591</v>
      </c>
      <c r="AP7" s="2311">
        <f t="shared" ref="AP7:AP13" si="9">IF(C7="住宅",K7*L7,0)</f>
        <v>0</v>
      </c>
      <c r="AQ7" s="55">
        <f t="shared" ref="AQ7:AQ13" si="10">ROUND($L$14*$N$14*S7/10000,0)</f>
        <v>516</v>
      </c>
      <c r="AR7" s="55">
        <f t="shared" ref="AR7:AR13" si="11">ROUND($L$14*(1-$N$14)*S7/10000,0)</f>
        <v>45</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3" customFormat="1" ht="14.25">
      <c r="A8" s="2307" t="str">
        <f>'数据-汇总表'!C21</f>
        <v>车库</v>
      </c>
      <c r="B8" s="2308" t="str">
        <f t="shared" si="1"/>
        <v>经营性</v>
      </c>
      <c r="C8" s="2309" t="s">
        <v>3049</v>
      </c>
      <c r="D8" s="1053">
        <f>SUMIF(项目基本情况!D$12:I$12,C8,项目基本情况!D$14:I$14)</f>
        <v>50</v>
      </c>
      <c r="E8" s="1050">
        <f>IF(B8="","",SUMIF(项目基本情况!D$12:I$12,C8,项目基本情况!D$13:I$13))</f>
        <v>56137</v>
      </c>
      <c r="F8" s="72">
        <f>SUMIF(项目基本情况!D$12:I$12,C8,项目基本情况!D$15:I$15)</f>
        <v>34.9</v>
      </c>
      <c r="G8" s="73">
        <f t="shared" si="2"/>
        <v>0.88300000000000001</v>
      </c>
      <c r="H8" s="801">
        <v>4.4999999999999998E-2</v>
      </c>
      <c r="I8" s="801">
        <v>4.4999999999999998E-2</v>
      </c>
      <c r="J8" s="74">
        <v>8.5000000000000006E-2</v>
      </c>
      <c r="K8" s="1253">
        <f>SUMIF('数据-汇总表'!C$19:C$33,A8,'数据-汇总表'!E$19:E$33)</f>
        <v>23320.11</v>
      </c>
      <c r="L8" s="802">
        <v>3000</v>
      </c>
      <c r="M8" s="75">
        <f>ROUND(K8*L8/10000,0)</f>
        <v>6996</v>
      </c>
      <c r="N8" s="800">
        <f>N6</f>
        <v>0.92</v>
      </c>
      <c r="O8" s="75" t="str">
        <f t="shared" si="3"/>
        <v>——</v>
      </c>
      <c r="P8" s="76" t="str">
        <f t="shared" si="4"/>
        <v>——</v>
      </c>
      <c r="Q8" s="803">
        <v>0.1</v>
      </c>
      <c r="R8" s="77">
        <f ca="1">SUMIF('数据-汇总表'!C$19:C$33,A8,'数据-汇总表'!R$19:R$27)</f>
        <v>1552.1499999999999</v>
      </c>
      <c r="S8" s="54">
        <f>IF('数据-汇总表'!$I$17="按面积比例",SUMIF('数据-汇总表'!C$19:C$33,A8,'数据-汇总表'!K$19:K$33),SUMIF('数据-汇总表'!C$19:C$33,A8,'数据-汇总表'!N$19:N$33))</f>
        <v>487.77</v>
      </c>
      <c r="T8" s="1445">
        <f t="shared" si="5"/>
        <v>122</v>
      </c>
      <c r="U8" s="804">
        <v>3</v>
      </c>
      <c r="V8" s="805">
        <v>3.5000000000000003E-2</v>
      </c>
      <c r="W8" s="805">
        <v>0.1</v>
      </c>
      <c r="X8" s="1263"/>
      <c r="Y8" s="806">
        <f>Y6</f>
        <v>0.92</v>
      </c>
      <c r="Z8" s="81"/>
      <c r="AA8" s="74"/>
      <c r="AB8" s="74"/>
      <c r="AC8" s="1263"/>
      <c r="AD8" s="82"/>
      <c r="AE8" s="1264">
        <f t="shared" ca="1" si="6"/>
        <v>34.9</v>
      </c>
      <c r="AF8" s="1806"/>
      <c r="AG8" s="146">
        <f t="shared" si="7"/>
        <v>0</v>
      </c>
      <c r="AH8" s="807"/>
      <c r="AI8" s="85">
        <v>365</v>
      </c>
      <c r="AJ8" s="86"/>
      <c r="AK8" s="808">
        <v>1.4999999999999999E-2</v>
      </c>
      <c r="AL8" s="809">
        <v>1.5E-3</v>
      </c>
      <c r="AM8" s="810">
        <v>0.01</v>
      </c>
      <c r="AN8" s="2310" t="s">
        <v>3258</v>
      </c>
      <c r="AO8" s="55">
        <f t="shared" ca="1" si="8"/>
        <v>48520</v>
      </c>
      <c r="AP8" s="2311">
        <f t="shared" si="9"/>
        <v>0</v>
      </c>
      <c r="AQ8" s="55">
        <f t="shared" si="10"/>
        <v>112</v>
      </c>
      <c r="AR8" s="55">
        <f t="shared" si="11"/>
        <v>10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3" customFormat="1" ht="14.25">
      <c r="A9" s="2307">
        <f>'数据-汇总表'!C22</f>
        <v>0</v>
      </c>
      <c r="B9" s="2308" t="str">
        <f t="shared" si="1"/>
        <v/>
      </c>
      <c r="C9" s="2309"/>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6">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3" customFormat="1" ht="14.25">
      <c r="A10" s="2307">
        <f>'数据-汇总表'!C23</f>
        <v>0</v>
      </c>
      <c r="B10" s="2308" t="str">
        <f t="shared" si="1"/>
        <v/>
      </c>
      <c r="C10" s="2309"/>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6">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3" customFormat="1" ht="14.25">
      <c r="A11" s="2307">
        <f>'数据-汇总表'!C24</f>
        <v>0</v>
      </c>
      <c r="B11" s="2308" t="str">
        <f t="shared" si="1"/>
        <v/>
      </c>
      <c r="C11" s="2309"/>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6">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3" customFormat="1" ht="14.25">
      <c r="A12" s="2307">
        <f>'数据-汇总表'!C25</f>
        <v>0</v>
      </c>
      <c r="B12" s="2308" t="str">
        <f t="shared" si="1"/>
        <v/>
      </c>
      <c r="C12" s="2309"/>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6">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3" customFormat="1" ht="14.25">
      <c r="A13" s="2307">
        <f>'数据-汇总表'!C26</f>
        <v>0</v>
      </c>
      <c r="B13" s="2308" t="str">
        <f t="shared" si="1"/>
        <v/>
      </c>
      <c r="C13" s="2309"/>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6">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3" customFormat="1" ht="14.25">
      <c r="A14" s="2312" t="s">
        <v>2012</v>
      </c>
      <c r="B14" s="2308" t="s">
        <v>2013</v>
      </c>
      <c r="C14" s="2313" t="s">
        <v>2012</v>
      </c>
      <c r="D14" s="1053"/>
      <c r="E14" s="1050"/>
      <c r="F14" s="72"/>
      <c r="G14" s="73"/>
      <c r="H14" s="1252"/>
      <c r="I14" s="1252"/>
      <c r="J14" s="1252"/>
      <c r="K14" s="1253">
        <f>SUMIF('数据-汇总表'!C$19:C$33,A14,'数据-汇总表'!E$19:E$33)</f>
        <v>2950.17</v>
      </c>
      <c r="L14" s="91">
        <v>2500</v>
      </c>
      <c r="M14" s="75">
        <f t="shared" si="0"/>
        <v>738</v>
      </c>
      <c r="N14" s="92">
        <f>N8</f>
        <v>0.92</v>
      </c>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6"/>
      <c r="AH14" s="1264"/>
      <c r="AI14" s="1817"/>
      <c r="AJ14" s="772"/>
      <c r="AK14" s="1265"/>
      <c r="AL14" s="1266"/>
      <c r="AM14" s="1267"/>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3" customFormat="1" ht="27">
      <c r="A15" s="2312" t="s">
        <v>2014</v>
      </c>
      <c r="B15" s="2308" t="s">
        <v>2013</v>
      </c>
      <c r="C15" s="2313" t="s">
        <v>2015</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7"/>
      <c r="AJ15" s="772"/>
      <c r="AK15" s="1265"/>
      <c r="AL15" s="1266"/>
      <c r="AM15" s="1267"/>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3" customFormat="1" ht="15.75" thickBot="1">
      <c r="A16" s="2314" t="s">
        <v>2016</v>
      </c>
      <c r="B16" s="97"/>
      <c r="C16" s="1007"/>
      <c r="D16" s="2315"/>
      <c r="E16" s="97"/>
      <c r="F16" s="97"/>
      <c r="G16" s="98">
        <f>ROUND(SUMPRODUCT(G6:G13,K6:K13)/SUMPRODUCT((G6:G13&gt;0)*(K6:K13)),3)</f>
        <v>0.88800000000000001</v>
      </c>
      <c r="H16" s="99">
        <f>ROUND(SUMPRODUCT(H6:H13,K6:K13)/SUMPRODUCT((H6:H13&gt;0)*(K6:K13)),3)</f>
        <v>4.9000000000000002E-2</v>
      </c>
      <c r="I16" s="100"/>
      <c r="J16" s="100"/>
      <c r="K16" s="101">
        <f>SUM(K6:K15)</f>
        <v>143997.77000000002</v>
      </c>
      <c r="L16" s="102">
        <f>ROUND(M16*10000/SUM(K6:K14),0)</f>
        <v>4625</v>
      </c>
      <c r="M16" s="102">
        <f>SUM(M6:M14)</f>
        <v>66598</v>
      </c>
      <c r="N16" s="103">
        <f>ROUND(SUMPRODUCT(M6:M14,N6:N14)/M16,3)</f>
        <v>0.92</v>
      </c>
      <c r="O16" s="102">
        <f>SUM(O6:O14)</f>
        <v>0</v>
      </c>
      <c r="P16" s="102">
        <f>SUM(P6:P14)</f>
        <v>0</v>
      </c>
      <c r="Q16" s="104">
        <f>ROUND(SUMPRODUCT(Q6:Q13,K6:K13)/SUMPRODUCT((Q6:Q13&gt;0)*(K6:K13)),2)</f>
        <v>0.19</v>
      </c>
      <c r="R16" s="1257">
        <f ca="1">SUM(R6:R13)</f>
        <v>9387.89</v>
      </c>
      <c r="S16" s="105">
        <f>SUM(S6:S13)</f>
        <v>2950.17</v>
      </c>
      <c r="T16" s="106">
        <f>IF(SUMIF(T6:T13,"&lt;9E307")=M14,SUMIF(T6:T13,"&lt;9E307"),"有误，请检查")</f>
        <v>738</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1"/>
      <c r="C17" s="1583"/>
      <c r="D17" s="2274"/>
      <c r="E17" s="2274"/>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2017</v>
      </c>
      <c r="B18" s="2281"/>
      <c r="C18" s="2278"/>
      <c r="D18" s="2279"/>
      <c r="E18" s="2278"/>
      <c r="F18" s="2278"/>
      <c r="G18" s="2278"/>
      <c r="H18" s="2278"/>
      <c r="I18" s="2278"/>
      <c r="J18" s="2278"/>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7" t="s">
        <v>2018</v>
      </c>
      <c r="B19" s="112">
        <v>0</v>
      </c>
      <c r="C19" s="2278" t="s">
        <v>2019</v>
      </c>
      <c r="D19" s="2279"/>
      <c r="E19" s="2278"/>
      <c r="F19" s="2278"/>
      <c r="G19" s="2278"/>
      <c r="H19" s="2278"/>
      <c r="I19" s="2278"/>
      <c r="J19" s="2278"/>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8" t="s">
        <v>2020</v>
      </c>
      <c r="B20" s="113">
        <v>3</v>
      </c>
      <c r="C20" s="2278" t="s">
        <v>2021</v>
      </c>
      <c r="D20" s="2279"/>
      <c r="E20" s="2278"/>
      <c r="F20" s="2278"/>
      <c r="G20" s="2278"/>
      <c r="H20" s="2278"/>
      <c r="I20" s="2278"/>
      <c r="J20" s="2278"/>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9" t="s">
        <v>2022</v>
      </c>
      <c r="B21" s="113">
        <v>3</v>
      </c>
      <c r="C21" s="2278"/>
      <c r="D21" s="2279"/>
      <c r="E21" s="2278"/>
      <c r="F21" s="2278"/>
      <c r="G21" s="2278"/>
      <c r="H21" s="2278"/>
      <c r="I21" s="2278"/>
      <c r="J21" s="2278"/>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8" t="s">
        <v>2023</v>
      </c>
      <c r="B22" s="114">
        <f>B19+B20</f>
        <v>3</v>
      </c>
      <c r="C22" s="2278"/>
      <c r="D22" s="2279"/>
      <c r="E22" s="2278"/>
      <c r="F22" s="2278"/>
      <c r="G22" s="2278"/>
      <c r="H22" s="2278"/>
      <c r="I22" s="2278"/>
      <c r="J22" s="2278"/>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9" t="s">
        <v>2024</v>
      </c>
      <c r="B23" s="114">
        <f>B19+B21</f>
        <v>3</v>
      </c>
      <c r="C23" s="2278"/>
      <c r="D23" s="2279"/>
      <c r="E23" s="2278"/>
      <c r="F23" s="2278"/>
      <c r="G23" s="2278"/>
      <c r="H23" s="2278"/>
      <c r="I23" s="2278"/>
      <c r="J23" s="2278"/>
      <c r="K23" s="167"/>
      <c r="L23" s="167"/>
      <c r="M23" s="1583"/>
      <c r="N23" s="1583"/>
      <c r="O23" s="1583"/>
      <c r="P23" s="1583"/>
      <c r="Q23" s="1583"/>
      <c r="R23" s="1583"/>
      <c r="S23" s="1583"/>
      <c r="T23" s="1583"/>
      <c r="U23" s="1583">
        <f ca="1">系统读取表!B5</f>
        <v>1502345</v>
      </c>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0" t="s">
        <v>2025</v>
      </c>
      <c r="B24" s="115">
        <f>B20-B21</f>
        <v>0</v>
      </c>
      <c r="C24" s="2278"/>
      <c r="D24" s="2279"/>
      <c r="E24" s="2278"/>
      <c r="F24" s="2278"/>
      <c r="G24" s="2278"/>
      <c r="H24" s="2278"/>
      <c r="I24" s="2278"/>
      <c r="J24" s="2278"/>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1"/>
      <c r="C25" s="2278"/>
      <c r="D25" s="2279"/>
      <c r="E25" s="2278"/>
      <c r="F25" s="2278"/>
      <c r="G25" s="2278"/>
      <c r="H25" s="2278"/>
      <c r="I25" s="2278"/>
      <c r="J25" s="2278"/>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7" t="s">
        <v>2026</v>
      </c>
      <c r="B26" s="2321" t="s">
        <v>2027</v>
      </c>
      <c r="C26" s="2322" t="s">
        <v>2028</v>
      </c>
      <c r="D26" s="2279"/>
      <c r="E26" s="2278"/>
      <c r="F26" s="2278"/>
      <c r="G26" s="2278"/>
      <c r="H26" s="2278"/>
      <c r="I26" s="2278"/>
      <c r="J26" s="2278"/>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5" customFormat="1" ht="27.75">
      <c r="A27" s="2323" t="s">
        <v>2029</v>
      </c>
      <c r="B27" s="116">
        <v>160</v>
      </c>
      <c r="C27" s="1766" t="s">
        <v>2030</v>
      </c>
      <c r="D27" s="2324"/>
      <c r="E27" s="1429"/>
      <c r="F27" s="1429"/>
      <c r="G27" s="2278"/>
      <c r="H27" s="2278"/>
      <c r="I27" s="2278"/>
      <c r="J27" s="2278"/>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5" customFormat="1" ht="27.75">
      <c r="A28" s="2326" t="s">
        <v>2031</v>
      </c>
      <c r="B28" s="119">
        <v>200</v>
      </c>
      <c r="C28" s="2327"/>
      <c r="D28" s="2324"/>
      <c r="E28" s="1429"/>
      <c r="F28" s="1429"/>
      <c r="G28" s="2278"/>
      <c r="H28" s="2278"/>
      <c r="I28" s="2278"/>
      <c r="J28" s="2278"/>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5" customFormat="1" ht="28.5" thickBot="1">
      <c r="A29" s="2328" t="s">
        <v>2032</v>
      </c>
      <c r="B29" s="3037">
        <f ca="1">'成本法（车库）'!C10</f>
        <v>476</v>
      </c>
      <c r="C29" s="1766" t="s">
        <v>2033</v>
      </c>
      <c r="D29" s="2324"/>
      <c r="E29" s="1429"/>
      <c r="F29" s="1429"/>
      <c r="G29" s="2278"/>
      <c r="H29" s="2278"/>
      <c r="I29" s="2278"/>
      <c r="J29" s="2278"/>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5" customFormat="1" ht="27">
      <c r="A30" s="2329" t="s">
        <v>2034</v>
      </c>
      <c r="B30" s="723">
        <v>200</v>
      </c>
      <c r="C30" s="2327"/>
      <c r="D30" s="2324"/>
      <c r="E30" s="1429"/>
      <c r="F30" s="1429"/>
      <c r="G30" s="2278"/>
      <c r="H30" s="2278"/>
      <c r="I30" s="2278"/>
      <c r="J30" s="2278"/>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5" customFormat="1" ht="27">
      <c r="A31" s="2326" t="s">
        <v>2035</v>
      </c>
      <c r="B31" s="120">
        <f>B30-B32</f>
        <v>200</v>
      </c>
      <c r="C31" s="1766"/>
      <c r="D31" s="2324"/>
      <c r="E31" s="1429"/>
      <c r="F31" s="1429"/>
      <c r="G31" s="2278"/>
      <c r="H31" s="2278"/>
      <c r="I31" s="2278"/>
      <c r="J31" s="2278"/>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5" customFormat="1" ht="27.75" thickBot="1">
      <c r="A32" s="2330" t="s">
        <v>2036</v>
      </c>
      <c r="B32" s="724">
        <v>0</v>
      </c>
      <c r="C32" s="2327"/>
      <c r="D32" s="2279"/>
      <c r="E32" s="2278"/>
      <c r="F32" s="2278"/>
      <c r="G32" s="2278"/>
      <c r="H32" s="2278"/>
      <c r="I32" s="2278"/>
      <c r="J32" s="2278"/>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5" customFormat="1" ht="14.25">
      <c r="A33" s="2323" t="s">
        <v>2037</v>
      </c>
      <c r="B33" s="725">
        <v>0.05</v>
      </c>
      <c r="C33" s="1765" t="s">
        <v>2038</v>
      </c>
      <c r="D33" s="2279"/>
      <c r="E33" s="2278"/>
      <c r="F33" s="2278"/>
      <c r="G33" s="2278"/>
      <c r="H33" s="2278"/>
      <c r="I33" s="2278"/>
      <c r="J33" s="2278"/>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5" customFormat="1" ht="14.25">
      <c r="A34" s="2326" t="s">
        <v>2039</v>
      </c>
      <c r="B34" s="121">
        <v>0</v>
      </c>
      <c r="C34" s="1765" t="s">
        <v>2040</v>
      </c>
      <c r="D34" s="2279" t="s">
        <v>2041</v>
      </c>
      <c r="E34" s="731"/>
      <c r="F34" s="2278"/>
      <c r="G34" s="2278"/>
      <c r="H34" s="2278"/>
      <c r="I34" s="2278"/>
      <c r="J34" s="2278"/>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5" customFormat="1" ht="14.25">
      <c r="A35" s="2326" t="s">
        <v>2042</v>
      </c>
      <c r="B35" s="119">
        <v>200</v>
      </c>
      <c r="C35" s="1765" t="s">
        <v>2043</v>
      </c>
      <c r="D35" s="2324"/>
      <c r="E35" s="1429"/>
      <c r="F35" s="1429"/>
      <c r="G35" s="2278"/>
      <c r="H35" s="2278"/>
      <c r="I35" s="2278"/>
      <c r="J35" s="2278"/>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8" t="s">
        <v>2044</v>
      </c>
      <c r="B36" s="122">
        <v>1.4999999999999999E-2</v>
      </c>
      <c r="C36" s="1765" t="s">
        <v>2045</v>
      </c>
      <c r="D36" s="2279"/>
      <c r="E36" s="2278"/>
      <c r="F36" s="2278"/>
      <c r="G36" s="2278"/>
      <c r="H36" s="2278"/>
      <c r="I36" s="2278"/>
      <c r="J36" s="2278"/>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9" t="s">
        <v>2046</v>
      </c>
      <c r="B37" s="123">
        <v>0.03</v>
      </c>
      <c r="C37" s="1765" t="s">
        <v>2047</v>
      </c>
      <c r="D37" s="2279"/>
      <c r="E37" s="2278"/>
      <c r="F37" s="2278"/>
      <c r="G37" s="2278"/>
      <c r="H37" s="2278"/>
      <c r="I37" s="2278"/>
      <c r="J37" s="2278"/>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6" t="s">
        <v>2048</v>
      </c>
      <c r="B38" s="121">
        <v>0.02</v>
      </c>
      <c r="C38" s="1765" t="s">
        <v>2047</v>
      </c>
      <c r="D38" s="2279"/>
      <c r="E38" s="2278"/>
      <c r="F38" s="2278"/>
      <c r="G38" s="2278"/>
      <c r="H38" s="2278"/>
      <c r="I38" s="2278"/>
      <c r="J38" s="2278"/>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0" t="s">
        <v>2049</v>
      </c>
      <c r="B39" s="361">
        <f ca="1">存贷款利率!I1</f>
        <v>1.4999999999999999E-2</v>
      </c>
      <c r="C39" s="1765"/>
      <c r="D39" s="2279"/>
      <c r="E39" s="2278"/>
      <c r="F39" s="2278"/>
      <c r="G39" s="2278"/>
      <c r="H39" s="2278"/>
      <c r="I39" s="2278"/>
      <c r="J39" s="2278"/>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0" t="s">
        <v>2050</v>
      </c>
      <c r="B40" s="1302">
        <f ca="1">存贷款利率!G1</f>
        <v>4.7500000000000001E-2</v>
      </c>
      <c r="C40" s="1765" t="s">
        <v>2051</v>
      </c>
      <c r="D40" s="1583"/>
      <c r="E40" s="2279"/>
      <c r="F40" s="2278"/>
      <c r="G40" s="2278"/>
      <c r="H40" s="2278"/>
      <c r="I40" s="2278"/>
      <c r="J40" s="2278"/>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3" t="s">
        <v>2052</v>
      </c>
      <c r="B41" s="124">
        <f>B42+B43</f>
        <v>5.6000000000000001E-2</v>
      </c>
      <c r="C41" s="1766"/>
      <c r="D41" s="1583"/>
      <c r="E41" s="2279"/>
      <c r="F41" s="2278"/>
      <c r="G41" s="2278"/>
      <c r="H41" s="2278"/>
      <c r="I41" s="2278"/>
      <c r="J41" s="2278"/>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1" t="s">
        <v>2053</v>
      </c>
      <c r="B42" s="125">
        <v>0.05</v>
      </c>
      <c r="C42" s="2332">
        <f>IF(B2&lt;DATE(2016,5,1),0,B42)</f>
        <v>0.05</v>
      </c>
      <c r="D42" s="2279"/>
      <c r="E42" s="2278"/>
      <c r="F42" s="2278"/>
      <c r="G42" s="2278"/>
      <c r="H42" s="2278"/>
      <c r="I42" s="2278"/>
      <c r="J42" s="2278"/>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1" t="s">
        <v>2054</v>
      </c>
      <c r="B43" s="126">
        <f>B42*(B44+B45+B46)+B47</f>
        <v>6.000000000000001E-3</v>
      </c>
      <c r="C43" s="1766"/>
      <c r="D43" s="2279"/>
      <c r="E43" s="2278"/>
      <c r="F43" s="2278"/>
      <c r="G43" s="2278"/>
      <c r="H43" s="2278"/>
      <c r="I43" s="2278"/>
      <c r="J43" s="2278"/>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3" t="s">
        <v>2055</v>
      </c>
      <c r="B44" s="127">
        <v>7.0000000000000007E-2</v>
      </c>
      <c r="C44" s="1765" t="s">
        <v>2056</v>
      </c>
      <c r="D44" s="2279"/>
      <c r="E44" s="2278"/>
      <c r="F44" s="2278"/>
      <c r="G44" s="2278"/>
      <c r="H44" s="2278"/>
      <c r="I44" s="2278"/>
      <c r="J44" s="2278"/>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3" t="s">
        <v>2057</v>
      </c>
      <c r="B45" s="125">
        <v>0.03</v>
      </c>
      <c r="C45" s="1766" t="s">
        <v>2058</v>
      </c>
      <c r="D45" s="2279"/>
      <c r="E45" s="2278"/>
      <c r="F45" s="2278"/>
      <c r="G45" s="2278"/>
      <c r="H45" s="2278"/>
      <c r="I45" s="2278"/>
      <c r="J45" s="2278"/>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3" t="s">
        <v>2059</v>
      </c>
      <c r="B46" s="125">
        <v>0.02</v>
      </c>
      <c r="C46" s="1766" t="s">
        <v>2060</v>
      </c>
      <c r="D46" s="2279"/>
      <c r="E46" s="2278"/>
      <c r="F46" s="2278"/>
      <c r="G46" s="2278"/>
      <c r="H46" s="2278"/>
      <c r="I46" s="2278"/>
      <c r="J46" s="2278"/>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4" t="s">
        <v>2061</v>
      </c>
      <c r="B47" s="128"/>
      <c r="C47" s="1766" t="s">
        <v>2062</v>
      </c>
      <c r="D47" s="2279"/>
      <c r="E47" s="2278"/>
      <c r="F47" s="2278"/>
      <c r="G47" s="2278"/>
      <c r="H47" s="2278"/>
      <c r="I47" s="2278"/>
      <c r="J47" s="2278"/>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5" t="s">
        <v>2063</v>
      </c>
      <c r="B48" s="129">
        <v>0.03</v>
      </c>
      <c r="C48" s="1773" t="s">
        <v>2064</v>
      </c>
      <c r="D48" s="2279"/>
      <c r="E48" s="2278"/>
      <c r="F48" s="2278"/>
      <c r="G48" s="2278"/>
      <c r="H48" s="2278"/>
      <c r="I48" s="2278"/>
      <c r="J48" s="2278"/>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0" t="s">
        <v>2065</v>
      </c>
      <c r="B49" s="125">
        <v>5.0000000000000001E-4</v>
      </c>
      <c r="C49" s="1773" t="s">
        <v>2066</v>
      </c>
      <c r="D49" s="2279"/>
      <c r="E49" s="2278"/>
      <c r="F49" s="2278"/>
      <c r="G49" s="2278"/>
      <c r="H49" s="2278"/>
      <c r="I49" s="2278"/>
      <c r="J49" s="2278"/>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6" t="s">
        <v>2067</v>
      </c>
      <c r="B50" s="130">
        <v>1.2E-2</v>
      </c>
      <c r="C50" s="1429"/>
      <c r="D50" s="2279"/>
      <c r="E50" s="2278"/>
      <c r="F50" s="2278"/>
      <c r="G50" s="2278"/>
      <c r="H50" s="2278"/>
      <c r="I50" s="2278"/>
      <c r="J50" s="2278"/>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8" t="s">
        <v>2068</v>
      </c>
      <c r="B51" s="131">
        <v>0.12</v>
      </c>
      <c r="C51" s="1429"/>
      <c r="D51" s="2279"/>
      <c r="E51" s="2278"/>
      <c r="F51" s="2278"/>
      <c r="G51" s="2278"/>
      <c r="H51" s="2278"/>
      <c r="I51" s="2278"/>
      <c r="J51" s="2278"/>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6" t="s">
        <v>2069</v>
      </c>
      <c r="B52" s="132">
        <f>SUMIF(A54:A63,B53,B54:B63)</f>
        <v>30</v>
      </c>
      <c r="C52" s="1429"/>
      <c r="D52" s="2279"/>
      <c r="E52" s="2278"/>
      <c r="F52" s="2278"/>
      <c r="G52" s="2278"/>
      <c r="H52" s="2278"/>
      <c r="I52" s="2278"/>
      <c r="J52" s="2278"/>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6" t="s">
        <v>2070</v>
      </c>
      <c r="B53" s="2337" t="s">
        <v>212</v>
      </c>
      <c r="C53" s="1429" t="s">
        <v>2071</v>
      </c>
      <c r="D53" s="2338" t="s">
        <v>2072</v>
      </c>
      <c r="E53" s="2278"/>
      <c r="F53" s="2278"/>
      <c r="G53" s="2278"/>
      <c r="H53" s="2278"/>
      <c r="I53" s="2278"/>
      <c r="J53" s="2278"/>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9" t="s">
        <v>2073</v>
      </c>
      <c r="B54" s="84">
        <v>30</v>
      </c>
      <c r="C54" s="1429">
        <v>30</v>
      </c>
      <c r="D54" s="2279"/>
      <c r="E54" s="2278"/>
      <c r="F54" s="2278"/>
      <c r="G54" s="2278"/>
      <c r="H54" s="2278"/>
      <c r="I54" s="2278"/>
      <c r="J54" s="2278"/>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9" t="s">
        <v>2074</v>
      </c>
      <c r="B55" s="84"/>
      <c r="C55" s="1429">
        <v>24</v>
      </c>
      <c r="D55" s="2279"/>
      <c r="E55" s="2278"/>
      <c r="F55" s="2278"/>
      <c r="G55" s="2278"/>
      <c r="H55" s="2278"/>
      <c r="I55" s="2340"/>
      <c r="J55" s="2278"/>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9" t="s">
        <v>2075</v>
      </c>
      <c r="B56" s="84"/>
      <c r="C56" s="1429">
        <v>18</v>
      </c>
      <c r="D56" s="2279"/>
      <c r="E56" s="2278"/>
      <c r="F56" s="2278"/>
      <c r="G56" s="2278"/>
      <c r="H56" s="2278"/>
      <c r="I56" s="2278"/>
      <c r="J56" s="2278"/>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9" t="s">
        <v>2076</v>
      </c>
      <c r="B57" s="84"/>
      <c r="C57" s="1429">
        <v>12</v>
      </c>
      <c r="D57" s="2279"/>
      <c r="E57" s="2278"/>
      <c r="F57" s="2278"/>
      <c r="G57" s="2278"/>
      <c r="H57" s="2278"/>
      <c r="I57" s="2278"/>
      <c r="J57" s="2278"/>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9" t="s">
        <v>2077</v>
      </c>
      <c r="B58" s="84"/>
      <c r="C58" s="1429">
        <v>3</v>
      </c>
      <c r="D58" s="2279"/>
      <c r="E58" s="2278"/>
      <c r="F58" s="2278"/>
      <c r="G58" s="2278"/>
      <c r="H58" s="2278"/>
      <c r="I58" s="2278"/>
      <c r="J58" s="2278"/>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9" t="s">
        <v>2078</v>
      </c>
      <c r="B59" s="84"/>
      <c r="C59" s="1429">
        <v>1.5</v>
      </c>
      <c r="D59" s="2279"/>
      <c r="E59" s="2278"/>
      <c r="F59" s="2278"/>
      <c r="G59" s="2278"/>
      <c r="H59" s="2278"/>
      <c r="I59" s="2278"/>
      <c r="J59" s="2278"/>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9" t="s">
        <v>2079</v>
      </c>
      <c r="B60" s="84"/>
      <c r="C60" s="2278"/>
      <c r="D60" s="2279"/>
      <c r="E60" s="2278"/>
      <c r="F60" s="2278"/>
      <c r="G60" s="2278"/>
      <c r="H60" s="2278"/>
      <c r="I60" s="2278"/>
      <c r="J60" s="2278"/>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9" t="s">
        <v>2080</v>
      </c>
      <c r="B61" s="84"/>
      <c r="C61" s="2278"/>
      <c r="D61" s="2279"/>
      <c r="E61" s="2278"/>
      <c r="F61" s="2278"/>
      <c r="G61" s="2278"/>
      <c r="H61" s="2278"/>
      <c r="I61" s="2278"/>
      <c r="J61" s="2278"/>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9" t="s">
        <v>2081</v>
      </c>
      <c r="B62" s="84"/>
      <c r="C62" s="2278"/>
      <c r="D62" s="2279"/>
      <c r="E62" s="2278"/>
      <c r="F62" s="2278"/>
      <c r="G62" s="2278"/>
      <c r="H62" s="2278"/>
      <c r="I62" s="2278"/>
      <c r="J62" s="2278"/>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1" t="s">
        <v>2082</v>
      </c>
      <c r="B63" s="133"/>
      <c r="C63" s="2278"/>
      <c r="D63" s="2279"/>
      <c r="E63" s="2278"/>
      <c r="F63" s="2278"/>
      <c r="G63" s="2278"/>
      <c r="H63" s="2278"/>
      <c r="I63" s="2278"/>
      <c r="J63" s="2278"/>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2"/>
      <c r="D64" s="2343"/>
      <c r="K64" s="797"/>
      <c r="L64" s="797"/>
    </row>
    <row r="65" spans="1:12" s="966" customFormat="1">
      <c r="A65" s="2342"/>
      <c r="D65" s="2343"/>
      <c r="K65" s="797"/>
      <c r="L65" s="797"/>
    </row>
    <row r="66" spans="1:12" s="966" customFormat="1">
      <c r="A66" s="2342"/>
      <c r="D66" s="2343"/>
      <c r="K66" s="797"/>
      <c r="L66" s="797"/>
    </row>
    <row r="67" spans="1:12" s="966" customFormat="1">
      <c r="A67" s="2342"/>
      <c r="D67" s="2343"/>
      <c r="K67" s="797"/>
      <c r="L67" s="797"/>
    </row>
    <row r="68" spans="1:12" s="966" customFormat="1">
      <c r="A68" s="2342"/>
      <c r="D68" s="2343"/>
      <c r="K68" s="797"/>
      <c r="L68" s="797"/>
    </row>
    <row r="69" spans="1:12" s="966" customFormat="1">
      <c r="A69" s="2342"/>
      <c r="D69" s="2343"/>
      <c r="K69" s="797"/>
      <c r="L69" s="797"/>
    </row>
    <row r="70" spans="1:12" s="966" customFormat="1">
      <c r="A70" s="2342"/>
      <c r="D70" s="2343"/>
      <c r="K70" s="797"/>
      <c r="L70" s="797"/>
    </row>
    <row r="71" spans="1:12" s="966" customFormat="1">
      <c r="A71" s="2342"/>
      <c r="D71" s="2343"/>
      <c r="K71" s="797"/>
      <c r="L71" s="797"/>
    </row>
    <row r="72" spans="1:12" s="966" customFormat="1">
      <c r="A72" s="2342"/>
      <c r="D72" s="2343"/>
      <c r="K72" s="797"/>
      <c r="L72" s="797"/>
    </row>
    <row r="73" spans="1:12" s="966" customFormat="1">
      <c r="A73" s="2342"/>
      <c r="D73" s="2343"/>
      <c r="K73" s="797"/>
      <c r="L73" s="797"/>
    </row>
    <row r="74" spans="1:12" s="966" customFormat="1">
      <c r="A74" s="2342"/>
      <c r="D74" s="2343"/>
      <c r="K74" s="797"/>
      <c r="L74" s="797"/>
    </row>
    <row r="75" spans="1:12" s="966" customFormat="1">
      <c r="A75" s="2342"/>
      <c r="D75" s="2343"/>
      <c r="K75" s="797"/>
      <c r="L75" s="797"/>
    </row>
    <row r="76" spans="1:12" s="966" customFormat="1">
      <c r="A76" s="2342"/>
      <c r="D76" s="2343"/>
      <c r="K76" s="797"/>
      <c r="L76" s="797"/>
    </row>
    <row r="77" spans="1:12" s="966" customFormat="1">
      <c r="A77" s="2342"/>
      <c r="D77" s="2343"/>
      <c r="K77" s="797"/>
      <c r="L77" s="797"/>
    </row>
    <row r="78" spans="1:12" s="966" customFormat="1">
      <c r="A78" s="2342"/>
      <c r="D78" s="2343"/>
      <c r="K78" s="797"/>
      <c r="L78" s="797"/>
    </row>
    <row r="79" spans="1:12" s="966" customFormat="1">
      <c r="A79" s="2342"/>
      <c r="D79" s="2343"/>
      <c r="K79" s="797"/>
      <c r="L79" s="797"/>
    </row>
    <row r="80" spans="1:12" s="966" customFormat="1">
      <c r="A80" s="2342"/>
      <c r="D80" s="2343"/>
      <c r="K80" s="797"/>
      <c r="L80" s="797"/>
    </row>
    <row r="81" spans="1:12" s="966" customFormat="1">
      <c r="A81" s="2342"/>
      <c r="D81" s="2343"/>
      <c r="K81" s="797"/>
      <c r="L81" s="797"/>
    </row>
    <row r="82" spans="1:12" s="966" customFormat="1">
      <c r="A82" s="2342"/>
      <c r="D82" s="2343"/>
      <c r="K82" s="797"/>
      <c r="L82" s="797"/>
    </row>
    <row r="83" spans="1:12" s="966" customFormat="1">
      <c r="A83" s="2342"/>
      <c r="D83" s="2343"/>
      <c r="K83" s="797"/>
      <c r="L83" s="797"/>
    </row>
    <row r="84" spans="1:12" s="966" customFormat="1">
      <c r="A84" s="2342"/>
      <c r="D84" s="2343"/>
      <c r="K84" s="797"/>
      <c r="L84" s="797"/>
    </row>
    <row r="85" spans="1:12" s="966" customFormat="1">
      <c r="A85" s="2342"/>
      <c r="D85" s="2343"/>
      <c r="K85" s="797"/>
      <c r="L85" s="797"/>
    </row>
    <row r="86" spans="1:12" s="966" customFormat="1">
      <c r="A86" s="2342"/>
      <c r="D86" s="2343"/>
      <c r="K86" s="797"/>
      <c r="L86" s="797"/>
    </row>
    <row r="87" spans="1:12" s="966" customFormat="1">
      <c r="A87" s="2342"/>
      <c r="D87" s="2343"/>
      <c r="K87" s="797"/>
      <c r="L87" s="797"/>
    </row>
    <row r="88" spans="1:12" s="966" customFormat="1">
      <c r="A88" s="2342"/>
      <c r="D88" s="2343"/>
      <c r="K88" s="797"/>
      <c r="L88" s="797"/>
    </row>
    <row r="89" spans="1:12" s="966" customFormat="1">
      <c r="A89" s="2342"/>
      <c r="D89" s="2343"/>
      <c r="K89" s="797"/>
      <c r="L89" s="797"/>
    </row>
    <row r="90" spans="1:12" s="966" customFormat="1">
      <c r="A90" s="2342"/>
      <c r="D90" s="2343"/>
      <c r="K90" s="797"/>
      <c r="L90" s="797"/>
    </row>
    <row r="91" spans="1:12" s="966" customFormat="1">
      <c r="A91" s="2342"/>
      <c r="D91" s="2343"/>
      <c r="K91" s="797"/>
      <c r="L91" s="797"/>
    </row>
    <row r="92" spans="1:12" s="966" customFormat="1">
      <c r="A92" s="2342"/>
      <c r="D92" s="2343"/>
      <c r="K92" s="797"/>
      <c r="L92" s="797"/>
    </row>
    <row r="93" spans="1:12" s="966" customFormat="1">
      <c r="A93" s="2342"/>
      <c r="D93" s="2343"/>
      <c r="K93" s="797"/>
      <c r="L93" s="797"/>
    </row>
    <row r="94" spans="1:12" s="966" customFormat="1">
      <c r="A94" s="2342"/>
      <c r="D94" s="2343"/>
      <c r="K94" s="797"/>
      <c r="L94" s="797"/>
    </row>
    <row r="95" spans="1:12" s="966" customFormat="1">
      <c r="A95" s="2342"/>
      <c r="D95" s="2343"/>
      <c r="K95" s="797"/>
      <c r="L95" s="797"/>
    </row>
    <row r="96" spans="1:12" s="966" customFormat="1">
      <c r="A96" s="2342"/>
      <c r="D96" s="2343"/>
      <c r="K96" s="797"/>
      <c r="L96" s="797"/>
    </row>
    <row r="97" spans="1:12" s="966" customFormat="1">
      <c r="A97" s="2342"/>
      <c r="D97" s="2343"/>
      <c r="K97" s="797"/>
      <c r="L97" s="797"/>
    </row>
    <row r="98" spans="1:12" s="966" customFormat="1">
      <c r="A98" s="2342"/>
      <c r="D98" s="2343"/>
      <c r="K98" s="797"/>
      <c r="L98" s="797"/>
    </row>
    <row r="99" spans="1:12" s="966" customFormat="1">
      <c r="A99" s="2342"/>
      <c r="D99" s="2343"/>
      <c r="K99" s="797"/>
      <c r="L99" s="797"/>
    </row>
    <row r="100" spans="1:12" s="966" customFormat="1">
      <c r="A100" s="2342"/>
      <c r="D100" s="2343"/>
      <c r="K100" s="797"/>
      <c r="L100" s="797"/>
    </row>
    <row r="101" spans="1:12" s="966" customFormat="1">
      <c r="A101" s="2342"/>
      <c r="D101" s="2343"/>
      <c r="K101" s="797"/>
      <c r="L101" s="797"/>
    </row>
    <row r="102" spans="1:12" s="966" customFormat="1">
      <c r="A102" s="2342"/>
      <c r="D102" s="2343"/>
      <c r="K102" s="797"/>
      <c r="L102" s="797"/>
    </row>
    <row r="103" spans="1:12" s="966" customFormat="1">
      <c r="A103" s="2342"/>
      <c r="D103" s="2343"/>
      <c r="K103" s="797"/>
      <c r="L103" s="797"/>
    </row>
    <row r="104" spans="1:12" s="966" customFormat="1">
      <c r="A104" s="2342"/>
      <c r="D104" s="2343"/>
      <c r="K104" s="797"/>
      <c r="L104" s="797"/>
    </row>
    <row r="105" spans="1:12" s="966" customFormat="1">
      <c r="A105" s="2342"/>
      <c r="D105" s="2343"/>
      <c r="K105" s="797"/>
      <c r="L105" s="797"/>
    </row>
    <row r="106" spans="1:12" s="966" customFormat="1">
      <c r="A106" s="2342"/>
      <c r="D106" s="2343"/>
      <c r="K106" s="797"/>
      <c r="L106" s="797"/>
    </row>
    <row r="107" spans="1:12" s="966" customFormat="1">
      <c r="A107" s="2342"/>
      <c r="D107" s="2343"/>
      <c r="K107" s="797"/>
      <c r="L107" s="797"/>
    </row>
    <row r="108" spans="1:12" s="966" customFormat="1">
      <c r="A108" s="2342"/>
      <c r="D108" s="2343"/>
      <c r="K108" s="797"/>
      <c r="L108" s="797"/>
    </row>
    <row r="109" spans="1:12" s="966" customFormat="1">
      <c r="A109" s="2342"/>
      <c r="D109" s="2343"/>
      <c r="K109" s="797"/>
      <c r="L109" s="797"/>
    </row>
    <row r="110" spans="1:12" s="966" customFormat="1">
      <c r="A110" s="2342"/>
      <c r="D110" s="2343"/>
      <c r="K110" s="797"/>
      <c r="L110" s="797"/>
    </row>
    <row r="111" spans="1:12" s="966" customFormat="1">
      <c r="A111" s="2342"/>
      <c r="D111" s="2343"/>
      <c r="K111" s="797"/>
      <c r="L111" s="797"/>
    </row>
    <row r="112" spans="1:12" s="966" customFormat="1">
      <c r="A112" s="2342"/>
      <c r="D112" s="2343"/>
      <c r="K112" s="797"/>
      <c r="L112" s="797"/>
    </row>
    <row r="113" spans="1:12" s="966" customFormat="1">
      <c r="A113" s="2342"/>
      <c r="D113" s="2343"/>
      <c r="K113" s="797"/>
      <c r="L113" s="797"/>
    </row>
    <row r="114" spans="1:12" s="966" customFormat="1">
      <c r="A114" s="2342"/>
      <c r="D114" s="2343"/>
      <c r="K114" s="797"/>
      <c r="L114" s="797"/>
    </row>
    <row r="115" spans="1:12" s="966" customFormat="1">
      <c r="A115" s="2342"/>
      <c r="D115" s="2343"/>
      <c r="K115" s="797"/>
      <c r="L115" s="797"/>
    </row>
    <row r="116" spans="1:12" s="966" customFormat="1">
      <c r="A116" s="2342"/>
      <c r="D116" s="2343"/>
      <c r="K116" s="797"/>
      <c r="L116" s="797"/>
    </row>
    <row r="117" spans="1:12" s="966" customFormat="1">
      <c r="A117" s="2342"/>
      <c r="D117" s="2343"/>
      <c r="K117" s="797"/>
      <c r="L117" s="797"/>
    </row>
    <row r="118" spans="1:12" s="966" customFormat="1">
      <c r="A118" s="2342"/>
      <c r="D118" s="2343"/>
      <c r="K118" s="797"/>
      <c r="L118" s="797"/>
    </row>
    <row r="119" spans="1:12" s="966" customFormat="1">
      <c r="A119" s="2342"/>
      <c r="D119" s="2343"/>
      <c r="K119" s="797"/>
      <c r="L119" s="797"/>
    </row>
    <row r="120" spans="1:12" s="966" customFormat="1">
      <c r="A120" s="2342"/>
      <c r="D120" s="2343"/>
      <c r="K120" s="797"/>
      <c r="L120" s="797"/>
    </row>
    <row r="121" spans="1:12" s="966" customFormat="1">
      <c r="A121" s="2342"/>
      <c r="D121" s="2343"/>
      <c r="K121" s="797"/>
      <c r="L121" s="797"/>
    </row>
    <row r="122" spans="1:12" s="966" customFormat="1">
      <c r="A122" s="2342"/>
      <c r="D122" s="2343"/>
      <c r="K122" s="797"/>
      <c r="L122" s="797"/>
    </row>
    <row r="123" spans="1:12" s="966" customFormat="1">
      <c r="A123" s="2342"/>
      <c r="D123" s="2343"/>
      <c r="K123" s="797"/>
      <c r="L123" s="797"/>
    </row>
    <row r="124" spans="1:12" s="966" customFormat="1">
      <c r="A124" s="2342"/>
      <c r="D124" s="2343"/>
      <c r="K124" s="797"/>
      <c r="L124" s="797"/>
    </row>
    <row r="125" spans="1:12" s="966" customFormat="1">
      <c r="A125" s="2342"/>
      <c r="D125" s="2343"/>
      <c r="K125" s="797"/>
      <c r="L125" s="797"/>
    </row>
    <row r="126" spans="1:12" s="966" customFormat="1">
      <c r="A126" s="2342"/>
      <c r="D126" s="2343"/>
      <c r="K126" s="797"/>
      <c r="L126" s="797"/>
    </row>
    <row r="127" spans="1:12" s="966" customFormat="1">
      <c r="A127" s="2342"/>
      <c r="D127" s="2343"/>
      <c r="K127" s="797"/>
      <c r="L127" s="797"/>
    </row>
    <row r="128" spans="1:12" s="966" customFormat="1">
      <c r="A128" s="2342"/>
      <c r="D128" s="2343"/>
      <c r="K128" s="797"/>
      <c r="L128" s="797"/>
    </row>
    <row r="129" spans="1:12" s="966" customFormat="1">
      <c r="A129" s="2342"/>
      <c r="D129" s="2343"/>
      <c r="K129" s="797"/>
      <c r="L129" s="797"/>
    </row>
    <row r="130" spans="1:12" s="966" customFormat="1">
      <c r="A130" s="2342"/>
      <c r="D130" s="2343"/>
      <c r="K130" s="797"/>
      <c r="L130" s="797"/>
    </row>
    <row r="131" spans="1:12" s="966" customFormat="1">
      <c r="A131" s="2342"/>
      <c r="D131" s="2343"/>
      <c r="K131" s="797"/>
      <c r="L131" s="797"/>
    </row>
    <row r="132" spans="1:12" s="966" customFormat="1">
      <c r="A132" s="2342"/>
      <c r="D132" s="2343"/>
      <c r="K132" s="797"/>
      <c r="L132" s="797"/>
    </row>
    <row r="133" spans="1:12" s="966" customFormat="1">
      <c r="A133" s="2342"/>
      <c r="D133" s="2343"/>
      <c r="K133" s="797"/>
      <c r="L133" s="797"/>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D28" sqref="D28"/>
    </sheetView>
  </sheetViews>
  <sheetFormatPr defaultRowHeight="14.25"/>
  <cols>
    <col min="1" max="1" width="9.5" style="2365" customWidth="1"/>
    <col min="2" max="2" width="24.5" style="2378" customWidth="1"/>
    <col min="3" max="3" width="24.5" style="2377" customWidth="1"/>
    <col min="4" max="4" width="2.625" style="2377" customWidth="1"/>
    <col min="5" max="5" width="5.875" style="2377" customWidth="1"/>
    <col min="6" max="6" width="27" style="2378" customWidth="1"/>
    <col min="7" max="7" width="27" style="2379" customWidth="1"/>
    <col min="8" max="8" width="11.875" style="2374" customWidth="1"/>
    <col min="9" max="9" width="16.75" style="2375" customWidth="1"/>
    <col min="10" max="10" width="2.625" style="2374" customWidth="1"/>
    <col min="11" max="11" width="11.875" style="2374" customWidth="1"/>
    <col min="12" max="12" width="16.75" style="2375" customWidth="1"/>
    <col min="13" max="13" width="2.625" style="2374" customWidth="1"/>
    <col min="14" max="14" width="11.875" style="2374" customWidth="1"/>
    <col min="15" max="15" width="16.75" style="2375" customWidth="1"/>
    <col min="16" max="16" width="2.625" style="2374" customWidth="1"/>
    <col min="17" max="17" width="11.875" style="2374" customWidth="1"/>
    <col min="18" max="18" width="16.75" style="2376" customWidth="1"/>
    <col min="19" max="29" width="9" style="2364"/>
    <col min="30" max="16384" width="9" style="2365"/>
  </cols>
  <sheetData>
    <row r="1" spans="1:29" s="2363" customFormat="1" ht="19.5" thickBot="1">
      <c r="A1" s="3197" t="s">
        <v>3287</v>
      </c>
      <c r="B1" s="3198"/>
      <c r="C1" s="3198"/>
      <c r="D1" s="3198"/>
      <c r="E1" s="3198"/>
      <c r="F1" s="3198"/>
      <c r="G1" s="3198"/>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3038"/>
      <c r="B2" s="3039"/>
      <c r="C2" s="3040" t="s">
        <v>3288</v>
      </c>
      <c r="D2" s="3041"/>
      <c r="E2" s="3042"/>
      <c r="F2" s="3043"/>
      <c r="G2" s="3040" t="s">
        <v>3266</v>
      </c>
      <c r="H2" s="2364"/>
      <c r="I2" s="2364"/>
      <c r="J2" s="2364"/>
      <c r="K2" s="2364"/>
      <c r="L2" s="2364"/>
      <c r="M2" s="2364"/>
      <c r="N2" s="2364"/>
      <c r="O2" s="2364"/>
      <c r="P2" s="2364"/>
      <c r="Q2" s="2364"/>
      <c r="R2" s="2364"/>
    </row>
    <row r="3" spans="1:29" ht="27">
      <c r="A3" s="439" t="s">
        <v>3267</v>
      </c>
      <c r="B3" s="3004" t="s">
        <v>3268</v>
      </c>
      <c r="C3" s="3044"/>
      <c r="D3" s="3045"/>
      <c r="E3" s="427" t="s">
        <v>3289</v>
      </c>
      <c r="F3" s="3002" t="s">
        <v>3269</v>
      </c>
      <c r="G3" s="3046"/>
      <c r="H3" s="2364"/>
      <c r="I3" s="2364"/>
      <c r="J3" s="2364"/>
      <c r="K3" s="2364"/>
      <c r="L3" s="2364"/>
      <c r="M3" s="2364"/>
      <c r="N3" s="2364"/>
      <c r="O3" s="2364"/>
      <c r="P3" s="2364"/>
      <c r="Q3" s="2364"/>
      <c r="R3" s="2364"/>
    </row>
    <row r="4" spans="1:29" ht="15">
      <c r="A4" s="427"/>
      <c r="B4" s="2998" t="s">
        <v>3290</v>
      </c>
      <c r="C4" s="3047" t="s">
        <v>3261</v>
      </c>
      <c r="D4" s="3045"/>
      <c r="E4" s="3048"/>
      <c r="F4" s="2999" t="s">
        <v>3271</v>
      </c>
      <c r="G4" s="3049"/>
      <c r="H4" s="2364"/>
      <c r="I4" s="2364"/>
      <c r="J4" s="2364"/>
      <c r="K4" s="2364"/>
      <c r="L4" s="2364"/>
      <c r="M4" s="2364"/>
      <c r="N4" s="2364"/>
      <c r="O4" s="2364"/>
      <c r="P4" s="2364"/>
      <c r="Q4" s="2364"/>
      <c r="R4" s="2364"/>
    </row>
    <row r="5" spans="1:29" ht="15">
      <c r="A5" s="427"/>
      <c r="B5" s="2998" t="s">
        <v>3272</v>
      </c>
      <c r="C5" s="3047" t="s">
        <v>3262</v>
      </c>
      <c r="D5" s="3045"/>
      <c r="E5" s="3048"/>
      <c r="F5" s="2998" t="s">
        <v>3273</v>
      </c>
      <c r="G5" s="3049"/>
      <c r="H5" s="2364"/>
      <c r="I5" s="2364"/>
      <c r="J5" s="2364"/>
      <c r="K5" s="2364"/>
      <c r="L5" s="2364"/>
      <c r="M5" s="2364"/>
      <c r="N5" s="2364"/>
      <c r="O5" s="2364"/>
      <c r="P5" s="2364"/>
      <c r="Q5" s="2364"/>
      <c r="R5" s="2364"/>
    </row>
    <row r="6" spans="1:29" ht="15">
      <c r="A6" s="427"/>
      <c r="B6" s="2998" t="s">
        <v>3274</v>
      </c>
      <c r="C6" s="3050" t="s">
        <v>3263</v>
      </c>
      <c r="D6" s="3045"/>
      <c r="E6" s="3048"/>
      <c r="F6" s="2998" t="s">
        <v>3275</v>
      </c>
      <c r="G6" s="3049"/>
      <c r="H6" s="2364"/>
      <c r="I6" s="2364"/>
      <c r="J6" s="2364"/>
      <c r="K6" s="2364"/>
      <c r="L6" s="2364"/>
      <c r="M6" s="2364"/>
      <c r="N6" s="2364"/>
      <c r="O6" s="2364"/>
      <c r="P6" s="2364"/>
      <c r="Q6" s="2364"/>
      <c r="R6" s="2364"/>
    </row>
    <row r="7" spans="1:29" ht="15.75" thickBot="1">
      <c r="A7" s="427"/>
      <c r="B7" s="2998" t="s">
        <v>3291</v>
      </c>
      <c r="C7" s="3050" t="s">
        <v>3263</v>
      </c>
      <c r="D7" s="3051"/>
      <c r="E7" s="3052"/>
      <c r="F7" s="3003" t="s">
        <v>3276</v>
      </c>
      <c r="G7" s="591"/>
      <c r="H7" s="2364"/>
      <c r="I7" s="2364"/>
      <c r="J7" s="2364"/>
      <c r="K7" s="2364"/>
      <c r="L7" s="2364"/>
      <c r="M7" s="2364"/>
      <c r="N7" s="2364"/>
      <c r="O7" s="2364"/>
      <c r="P7" s="2364"/>
      <c r="Q7" s="2364"/>
      <c r="R7" s="2364"/>
    </row>
    <row r="8" spans="1:29" ht="15">
      <c r="A8" s="427"/>
      <c r="B8" s="2998" t="s">
        <v>3275</v>
      </c>
      <c r="C8" s="3050" t="s">
        <v>3264</v>
      </c>
      <c r="D8" s="3051"/>
      <c r="E8" s="3051"/>
      <c r="F8" s="1133"/>
      <c r="G8" s="1133"/>
      <c r="H8" s="2364"/>
      <c r="I8" s="2364"/>
      <c r="J8" s="2364"/>
      <c r="K8" s="2364"/>
      <c r="L8" s="2364"/>
      <c r="M8" s="2364"/>
      <c r="N8" s="2364"/>
      <c r="O8" s="2364"/>
      <c r="P8" s="2364"/>
      <c r="Q8" s="2364"/>
      <c r="R8" s="2364"/>
    </row>
    <row r="9" spans="1:29" ht="15">
      <c r="A9" s="427"/>
      <c r="B9" s="2998" t="s">
        <v>3277</v>
      </c>
      <c r="C9" s="3047" t="s">
        <v>3261</v>
      </c>
      <c r="D9" s="3045"/>
      <c r="E9" s="3051"/>
      <c r="F9" s="1133"/>
      <c r="G9" s="1133"/>
      <c r="H9" s="2364"/>
      <c r="I9" s="2364"/>
      <c r="J9" s="2364"/>
      <c r="K9" s="2364"/>
      <c r="L9" s="2364"/>
      <c r="M9" s="2364"/>
      <c r="N9" s="2364"/>
      <c r="O9" s="2364"/>
      <c r="P9" s="2364"/>
      <c r="Q9" s="2364"/>
      <c r="R9" s="2364"/>
    </row>
    <row r="10" spans="1:29" s="117" customFormat="1" ht="15.75" thickBot="1">
      <c r="A10" s="435"/>
      <c r="B10" s="3053" t="s">
        <v>3278</v>
      </c>
      <c r="C10" s="3054" t="s">
        <v>3265</v>
      </c>
      <c r="D10" s="3045"/>
      <c r="E10" s="3045"/>
      <c r="F10" s="1133"/>
      <c r="G10" s="1133"/>
      <c r="H10" s="2366"/>
      <c r="I10" s="2367"/>
      <c r="J10" s="2368"/>
      <c r="K10" s="2366"/>
      <c r="L10" s="2367"/>
      <c r="M10" s="2368"/>
      <c r="N10" s="2366"/>
      <c r="O10" s="2367"/>
      <c r="P10" s="2368"/>
      <c r="Q10" s="2366"/>
      <c r="R10" s="2367"/>
      <c r="S10" s="2364"/>
      <c r="T10" s="2364"/>
      <c r="U10" s="2364"/>
      <c r="V10" s="2364"/>
      <c r="W10" s="2364"/>
      <c r="X10" s="2364"/>
      <c r="Y10" s="2364"/>
      <c r="Z10" s="2364"/>
      <c r="AA10" s="2364"/>
      <c r="AB10" s="2364"/>
      <c r="AC10" s="2364"/>
    </row>
    <row r="11" spans="1:29" s="117" customFormat="1" ht="15">
      <c r="A11" s="3055"/>
      <c r="B11" s="3051"/>
      <c r="C11" s="3045"/>
      <c r="D11" s="3045"/>
      <c r="E11" s="3045"/>
      <c r="F11" s="3051"/>
      <c r="G11" s="1155"/>
      <c r="H11" s="2366"/>
      <c r="I11" s="2367"/>
      <c r="J11" s="2368"/>
      <c r="K11" s="2366"/>
      <c r="L11" s="2367"/>
      <c r="M11" s="2368"/>
      <c r="N11" s="2366"/>
      <c r="O11" s="2367"/>
      <c r="P11" s="2368"/>
      <c r="Q11" s="2366"/>
      <c r="R11" s="2367"/>
      <c r="S11" s="2364"/>
      <c r="T11" s="2364"/>
      <c r="U11" s="2364"/>
      <c r="V11" s="2364"/>
      <c r="W11" s="2364"/>
      <c r="X11" s="2364"/>
      <c r="Y11" s="2364"/>
      <c r="Z11" s="2364"/>
      <c r="AA11" s="2364"/>
      <c r="AB11" s="2364"/>
      <c r="AC11" s="2364"/>
    </row>
    <row r="12" spans="1:29" s="2363" customFormat="1" ht="18">
      <c r="A12" s="3055"/>
      <c r="B12" s="3051"/>
      <c r="C12" s="3045"/>
      <c r="D12" s="3056"/>
      <c r="E12" s="3045"/>
      <c r="F12" s="3051"/>
      <c r="G12" s="1155"/>
      <c r="H12" s="2369"/>
      <c r="I12" s="2370"/>
      <c r="J12" s="2369"/>
      <c r="K12" s="2369"/>
      <c r="L12" s="2371"/>
      <c r="M12" s="2369"/>
      <c r="N12" s="2372"/>
      <c r="O12" s="2373"/>
      <c r="P12" s="2372"/>
      <c r="Q12" s="2372"/>
      <c r="R12" s="2361"/>
      <c r="S12" s="2362"/>
      <c r="T12" s="2362"/>
      <c r="U12" s="2362"/>
      <c r="V12" s="2362"/>
      <c r="W12" s="2362"/>
      <c r="X12" s="2362"/>
      <c r="Y12" s="2362"/>
      <c r="Z12" s="2362"/>
      <c r="AA12" s="2362"/>
      <c r="AB12" s="2362"/>
      <c r="AC12" s="2362"/>
    </row>
    <row r="13" spans="1:29" ht="19.5" thickBot="1">
      <c r="A13" s="3057" t="s">
        <v>3292</v>
      </c>
      <c r="B13" s="3056"/>
      <c r="C13" s="3056"/>
      <c r="D13" s="3058"/>
      <c r="E13" s="3056"/>
      <c r="F13" s="3056"/>
      <c r="G13" s="3056"/>
    </row>
    <row r="14" spans="1:29" ht="15.75" thickBot="1">
      <c r="A14" s="3059"/>
      <c r="B14" s="3060"/>
      <c r="C14" s="3061" t="s">
        <v>3293</v>
      </c>
      <c r="D14" s="3045"/>
      <c r="E14" s="3062"/>
      <c r="F14" s="3062"/>
      <c r="G14" s="3040" t="s">
        <v>3266</v>
      </c>
    </row>
    <row r="15" spans="1:29" ht="27">
      <c r="A15" s="3063" t="s">
        <v>3279</v>
      </c>
      <c r="B15" s="3001" t="s">
        <v>3268</v>
      </c>
      <c r="C15" s="3064">
        <f>C3</f>
        <v>0</v>
      </c>
      <c r="D15" s="3045"/>
      <c r="E15" s="3065" t="s">
        <v>3267</v>
      </c>
      <c r="F15" s="3001" t="s">
        <v>3280</v>
      </c>
      <c r="G15" s="466">
        <f>G3</f>
        <v>0</v>
      </c>
    </row>
    <row r="16" spans="1:29" ht="15">
      <c r="A16" s="642"/>
      <c r="B16" s="3066" t="s">
        <v>3270</v>
      </c>
      <c r="C16" s="3067" t="str">
        <f>C4</f>
        <v>好</v>
      </c>
      <c r="D16" s="3045"/>
      <c r="E16" s="3068"/>
      <c r="F16" s="3000" t="s">
        <v>3271</v>
      </c>
      <c r="G16" s="434">
        <f>G4</f>
        <v>0</v>
      </c>
    </row>
    <row r="17" spans="1:18" ht="15">
      <c r="A17" s="642"/>
      <c r="B17" s="3066" t="s">
        <v>3294</v>
      </c>
      <c r="C17" s="3067" t="str">
        <f>C5</f>
        <v>好</v>
      </c>
      <c r="D17" s="3051"/>
      <c r="E17" s="3068"/>
      <c r="F17" s="3000" t="s">
        <v>3281</v>
      </c>
      <c r="G17" s="3069"/>
    </row>
    <row r="18" spans="1:18" ht="15">
      <c r="A18" s="642"/>
      <c r="B18" s="3000" t="s">
        <v>3274</v>
      </c>
      <c r="C18" s="434" t="str">
        <f>C6</f>
        <v>好</v>
      </c>
      <c r="D18" s="3051"/>
      <c r="E18" s="3068"/>
      <c r="F18" s="3000" t="s">
        <v>3276</v>
      </c>
      <c r="G18" s="434">
        <f>G7</f>
        <v>0</v>
      </c>
    </row>
    <row r="19" spans="1:18" ht="15">
      <c r="A19" s="642"/>
      <c r="B19" s="3000" t="s">
        <v>3282</v>
      </c>
      <c r="C19" s="3076" t="s">
        <v>3296</v>
      </c>
      <c r="D19" s="3045"/>
      <c r="E19" s="3068"/>
      <c r="F19" s="2998" t="s">
        <v>3273</v>
      </c>
      <c r="G19" s="434">
        <f>G5</f>
        <v>0</v>
      </c>
    </row>
    <row r="20" spans="1:18" ht="15">
      <c r="A20" s="642"/>
      <c r="B20" s="3000" t="s">
        <v>3283</v>
      </c>
      <c r="C20" s="3067" t="str">
        <f>C9</f>
        <v>好</v>
      </c>
      <c r="D20" s="3051"/>
      <c r="E20" s="3068"/>
      <c r="F20" s="2998" t="s">
        <v>3275</v>
      </c>
      <c r="G20" s="434">
        <f>G6</f>
        <v>0</v>
      </c>
    </row>
    <row r="21" spans="1:18" ht="15">
      <c r="A21" s="642"/>
      <c r="B21" s="2998" t="s">
        <v>3273</v>
      </c>
      <c r="C21" s="434" t="str">
        <f>C7</f>
        <v>好</v>
      </c>
      <c r="D21" s="3045"/>
      <c r="E21" s="3068"/>
      <c r="F21" s="3000" t="s">
        <v>3284</v>
      </c>
      <c r="G21" s="3070"/>
    </row>
    <row r="22" spans="1:18" ht="13.5" customHeight="1">
      <c r="A22" s="642"/>
      <c r="B22" s="2998" t="s">
        <v>3295</v>
      </c>
      <c r="C22" s="434" t="str">
        <f>C8</f>
        <v>七通</v>
      </c>
      <c r="D22" s="3045"/>
      <c r="E22" s="3068"/>
      <c r="F22" s="3000" t="s">
        <v>3278</v>
      </c>
      <c r="G22" s="3069"/>
    </row>
    <row r="23" spans="1:18" s="2364" customFormat="1" ht="15.75" thickBot="1">
      <c r="A23" s="642"/>
      <c r="B23" s="3000" t="s">
        <v>3284</v>
      </c>
      <c r="C23" s="3070" t="s">
        <v>3297</v>
      </c>
      <c r="D23" s="3071"/>
      <c r="E23" s="3072"/>
      <c r="F23" s="3073" t="s">
        <v>3285</v>
      </c>
      <c r="G23" s="591"/>
      <c r="H23" s="2374"/>
      <c r="I23" s="2375"/>
      <c r="J23" s="2374"/>
      <c r="K23" s="2374"/>
      <c r="L23" s="2375"/>
      <c r="M23" s="2374"/>
      <c r="N23" s="2374"/>
      <c r="O23" s="2375"/>
      <c r="P23" s="2374"/>
      <c r="Q23" s="2374"/>
      <c r="R23" s="2376"/>
    </row>
    <row r="24" spans="1:18" s="2364" customFormat="1" ht="15.75" thickBot="1">
      <c r="A24" s="645"/>
      <c r="B24" s="3073" t="s">
        <v>3286</v>
      </c>
      <c r="C24" s="437" t="str">
        <f>C10</f>
        <v>主干道</v>
      </c>
      <c r="D24" s="3071"/>
      <c r="E24" s="3074"/>
      <c r="F24" s="3074"/>
      <c r="G24" s="3075"/>
      <c r="H24" s="2374"/>
      <c r="I24" s="2375"/>
      <c r="J24" s="2374"/>
      <c r="K24" s="2374"/>
      <c r="L24" s="2375"/>
      <c r="M24" s="2374"/>
      <c r="N24" s="2374"/>
      <c r="O24" s="2375"/>
      <c r="P24" s="2374"/>
      <c r="Q24" s="2374"/>
      <c r="R24" s="2376"/>
    </row>
    <row r="25" spans="1:18" s="2364" customFormat="1">
      <c r="B25" s="2374"/>
      <c r="C25" s="2374"/>
      <c r="D25" s="2374"/>
      <c r="H25" s="2374"/>
      <c r="I25" s="2375"/>
      <c r="J25" s="2374"/>
      <c r="K25" s="2374"/>
      <c r="L25" s="2375"/>
      <c r="M25" s="2374"/>
      <c r="N25" s="2374"/>
      <c r="O25" s="2375"/>
      <c r="P25" s="2374"/>
      <c r="Q25" s="2374"/>
      <c r="R25" s="2376"/>
    </row>
    <row r="26" spans="1:18" s="2364" customFormat="1">
      <c r="B26" s="2374"/>
      <c r="C26" s="2374"/>
      <c r="D26" s="2374"/>
      <c r="H26" s="2374"/>
      <c r="I26" s="2375"/>
      <c r="J26" s="2374"/>
      <c r="K26" s="2374"/>
      <c r="L26" s="2375"/>
      <c r="M26" s="2374"/>
      <c r="N26" s="2374"/>
      <c r="O26" s="2375"/>
      <c r="P26" s="2374"/>
      <c r="Q26" s="2374"/>
      <c r="R26" s="2376"/>
    </row>
    <row r="27" spans="1:18" s="2364" customFormat="1">
      <c r="B27" s="2374"/>
      <c r="C27" s="2374"/>
      <c r="D27" s="2374"/>
      <c r="H27" s="2374"/>
      <c r="I27" s="2375"/>
      <c r="J27" s="2374"/>
      <c r="K27" s="2374"/>
      <c r="L27" s="2375"/>
      <c r="M27" s="2374"/>
      <c r="N27" s="2374"/>
      <c r="O27" s="2375"/>
      <c r="P27" s="2374"/>
      <c r="Q27" s="2374"/>
      <c r="R27" s="2376"/>
    </row>
    <row r="28" spans="1:18" s="2364" customFormat="1">
      <c r="B28" s="2374"/>
      <c r="C28" s="2374"/>
      <c r="D28" s="2374"/>
      <c r="H28" s="2374"/>
      <c r="I28" s="2375"/>
      <c r="J28" s="2374"/>
      <c r="K28" s="2374"/>
      <c r="L28" s="2375"/>
      <c r="M28" s="2374"/>
      <c r="N28" s="2374"/>
      <c r="O28" s="2375"/>
      <c r="P28" s="2374"/>
      <c r="Q28" s="2374"/>
      <c r="R28" s="2376"/>
    </row>
    <row r="29" spans="1:18" s="2364" customFormat="1">
      <c r="B29" s="2374"/>
      <c r="C29" s="2374"/>
      <c r="D29" s="2374"/>
      <c r="H29" s="2374"/>
      <c r="I29" s="2375"/>
      <c r="J29" s="2374"/>
      <c r="K29" s="2374"/>
      <c r="L29" s="2375"/>
      <c r="M29" s="2374"/>
      <c r="N29" s="2374"/>
      <c r="O29" s="2375"/>
      <c r="P29" s="2374"/>
      <c r="Q29" s="2374"/>
      <c r="R29" s="2376"/>
    </row>
    <row r="30" spans="1:18" s="2364" customFormat="1">
      <c r="B30" s="2374"/>
      <c r="C30" s="2374"/>
      <c r="D30" s="2374"/>
      <c r="H30" s="2374"/>
      <c r="I30" s="2375"/>
      <c r="J30" s="2374"/>
      <c r="K30" s="2374"/>
      <c r="L30" s="2375"/>
      <c r="M30" s="2374"/>
      <c r="N30" s="2374"/>
      <c r="O30" s="2375"/>
      <c r="P30" s="2374"/>
      <c r="Q30" s="2374"/>
      <c r="R30" s="2376"/>
    </row>
    <row r="31" spans="1:18" s="2364" customFormat="1">
      <c r="B31" s="2374"/>
      <c r="C31" s="2374"/>
      <c r="D31" s="2374"/>
      <c r="H31" s="2374"/>
      <c r="I31" s="2375"/>
      <c r="J31" s="2374"/>
      <c r="K31" s="2374"/>
      <c r="L31" s="2375"/>
      <c r="M31" s="2374"/>
      <c r="N31" s="2374"/>
      <c r="O31" s="2375"/>
      <c r="P31" s="2374"/>
      <c r="Q31" s="2374"/>
      <c r="R31" s="2376"/>
    </row>
    <row r="32" spans="1:18" s="2364" customFormat="1">
      <c r="B32" s="2374"/>
      <c r="C32" s="2374"/>
      <c r="D32" s="2374"/>
      <c r="H32" s="2374"/>
      <c r="I32" s="2375"/>
      <c r="J32" s="2374"/>
      <c r="K32" s="2374"/>
      <c r="L32" s="2375"/>
      <c r="M32" s="2374"/>
      <c r="N32" s="2374"/>
      <c r="O32" s="2375"/>
      <c r="P32" s="2374"/>
      <c r="Q32" s="2374"/>
      <c r="R32" s="2376"/>
    </row>
    <row r="33" spans="2:18" s="2364" customFormat="1">
      <c r="B33" s="2374"/>
      <c r="C33" s="2374"/>
      <c r="D33" s="2374"/>
      <c r="H33" s="2374"/>
      <c r="I33" s="2375"/>
      <c r="J33" s="2374"/>
      <c r="K33" s="2374"/>
      <c r="L33" s="2375"/>
      <c r="M33" s="2374"/>
      <c r="N33" s="2374"/>
      <c r="O33" s="2375"/>
      <c r="P33" s="2374"/>
      <c r="Q33" s="2374"/>
      <c r="R33" s="2376"/>
    </row>
    <row r="34" spans="2:18" s="2364" customFormat="1">
      <c r="B34" s="2374"/>
      <c r="C34" s="2374"/>
      <c r="D34" s="2374"/>
      <c r="H34" s="2374"/>
      <c r="I34" s="2375"/>
      <c r="J34" s="2374"/>
      <c r="K34" s="2374"/>
      <c r="L34" s="2375"/>
      <c r="M34" s="2374"/>
      <c r="N34" s="2374"/>
      <c r="O34" s="2375"/>
      <c r="P34" s="2374"/>
      <c r="Q34" s="2374"/>
      <c r="R34" s="2376"/>
    </row>
    <row r="35" spans="2:18" s="2364" customFormat="1">
      <c r="B35" s="2374"/>
      <c r="C35" s="2374"/>
      <c r="D35" s="2374"/>
      <c r="H35" s="2374"/>
      <c r="I35" s="2375"/>
      <c r="J35" s="2374"/>
      <c r="K35" s="2374"/>
      <c r="L35" s="2375"/>
      <c r="M35" s="2374"/>
      <c r="N35" s="2374"/>
      <c r="O35" s="2375"/>
      <c r="P35" s="2374"/>
      <c r="Q35" s="2374"/>
      <c r="R35" s="2376"/>
    </row>
    <row r="36" spans="2:18" s="2364" customFormat="1">
      <c r="B36" s="2374"/>
      <c r="C36" s="2374"/>
      <c r="D36" s="2374"/>
      <c r="H36" s="2374"/>
      <c r="I36" s="2375"/>
      <c r="J36" s="2374"/>
      <c r="K36" s="2374"/>
      <c r="L36" s="2375"/>
      <c r="M36" s="2374"/>
      <c r="N36" s="2374"/>
      <c r="O36" s="2375"/>
      <c r="P36" s="2374"/>
      <c r="Q36" s="2374"/>
      <c r="R36" s="2376"/>
    </row>
    <row r="37" spans="2:18" s="2364" customFormat="1">
      <c r="B37" s="2374"/>
      <c r="C37" s="2374"/>
      <c r="D37" s="2374"/>
      <c r="H37" s="2374"/>
      <c r="I37" s="2375"/>
      <c r="J37" s="2374"/>
      <c r="K37" s="2374"/>
      <c r="L37" s="2375"/>
      <c r="M37" s="2374"/>
      <c r="N37" s="2374"/>
      <c r="O37" s="2375"/>
      <c r="P37" s="2374"/>
      <c r="Q37" s="2374"/>
      <c r="R37" s="2376"/>
    </row>
    <row r="38" spans="2:18" s="2364" customFormat="1">
      <c r="B38" s="2374"/>
      <c r="C38" s="2374"/>
      <c r="D38" s="2374"/>
      <c r="E38" s="2374"/>
      <c r="F38" s="2374"/>
      <c r="G38" s="2375"/>
      <c r="H38" s="2374"/>
      <c r="I38" s="2375"/>
      <c r="J38" s="2374"/>
      <c r="K38" s="2374"/>
      <c r="L38" s="2375"/>
      <c r="M38" s="2374"/>
      <c r="N38" s="2374"/>
      <c r="O38" s="2375"/>
      <c r="P38" s="2374"/>
      <c r="Q38" s="2374"/>
      <c r="R38" s="2376"/>
    </row>
    <row r="39" spans="2:18" s="2364" customFormat="1">
      <c r="B39" s="2374"/>
      <c r="C39" s="2374"/>
      <c r="D39" s="2374"/>
      <c r="E39" s="2374"/>
      <c r="F39" s="2374"/>
      <c r="G39" s="2375"/>
      <c r="H39" s="2374"/>
      <c r="I39" s="2375"/>
      <c r="J39" s="2374"/>
      <c r="K39" s="2374"/>
      <c r="L39" s="2375"/>
      <c r="M39" s="2374"/>
      <c r="N39" s="2374"/>
      <c r="O39" s="2375"/>
      <c r="P39" s="2374"/>
      <c r="Q39" s="2374"/>
      <c r="R39" s="2376"/>
    </row>
    <row r="40" spans="2:18" s="2364" customFormat="1">
      <c r="B40" s="2374"/>
      <c r="C40" s="2374"/>
      <c r="D40" s="2374"/>
      <c r="E40" s="2374"/>
      <c r="F40" s="2374"/>
      <c r="G40" s="2375"/>
      <c r="H40" s="2374"/>
      <c r="I40" s="2375"/>
      <c r="J40" s="2374"/>
      <c r="K40" s="2374"/>
      <c r="L40" s="2375"/>
      <c r="M40" s="2374"/>
      <c r="N40" s="2374"/>
      <c r="O40" s="2375"/>
      <c r="P40" s="2374"/>
      <c r="Q40" s="2374"/>
      <c r="R40" s="2376"/>
    </row>
    <row r="41" spans="2:18" s="2364" customFormat="1">
      <c r="B41" s="2374"/>
      <c r="C41" s="2374"/>
      <c r="D41" s="2374"/>
      <c r="E41" s="2374"/>
      <c r="F41" s="2374"/>
      <c r="G41" s="2375"/>
      <c r="H41" s="2374"/>
      <c r="I41" s="2375"/>
      <c r="J41" s="2374"/>
      <c r="K41" s="2374"/>
      <c r="L41" s="2375"/>
      <c r="M41" s="2374"/>
      <c r="N41" s="2374"/>
      <c r="O41" s="2375"/>
      <c r="P41" s="2374"/>
      <c r="Q41" s="2374"/>
      <c r="R41" s="2376"/>
    </row>
    <row r="42" spans="2:18" s="2364" customFormat="1">
      <c r="B42" s="2374"/>
      <c r="C42" s="2374"/>
      <c r="D42" s="2374"/>
      <c r="E42" s="2374"/>
      <c r="F42" s="2374"/>
      <c r="G42" s="2375"/>
      <c r="H42" s="2374"/>
      <c r="I42" s="2375"/>
      <c r="J42" s="2374"/>
      <c r="K42" s="2374"/>
      <c r="L42" s="2375"/>
      <c r="M42" s="2374"/>
      <c r="N42" s="2374"/>
      <c r="O42" s="2375"/>
      <c r="P42" s="2374"/>
      <c r="Q42" s="2374"/>
      <c r="R42" s="2376"/>
    </row>
    <row r="43" spans="2:18" s="2364" customFormat="1">
      <c r="B43" s="2374"/>
      <c r="C43" s="2374"/>
      <c r="D43" s="2374"/>
      <c r="E43" s="2374"/>
      <c r="F43" s="2374"/>
      <c r="G43" s="2375"/>
      <c r="H43" s="2374"/>
      <c r="I43" s="2375"/>
      <c r="J43" s="2374"/>
      <c r="K43" s="2374"/>
      <c r="L43" s="2375"/>
      <c r="M43" s="2374"/>
      <c r="N43" s="2374"/>
      <c r="O43" s="2375"/>
      <c r="P43" s="2374"/>
      <c r="Q43" s="2374"/>
      <c r="R43" s="2376"/>
    </row>
    <row r="44" spans="2:18" s="2364" customFormat="1">
      <c r="B44" s="2374"/>
      <c r="C44" s="2374"/>
      <c r="D44" s="2374"/>
      <c r="E44" s="2374"/>
      <c r="F44" s="2374"/>
      <c r="G44" s="2375"/>
      <c r="H44" s="2374"/>
      <c r="I44" s="2375"/>
      <c r="J44" s="2374"/>
      <c r="K44" s="2374"/>
      <c r="L44" s="2375"/>
      <c r="M44" s="2374"/>
      <c r="N44" s="2374"/>
      <c r="O44" s="2375"/>
      <c r="P44" s="2374"/>
      <c r="Q44" s="2374"/>
      <c r="R44" s="2376"/>
    </row>
    <row r="45" spans="2:18" s="2364" customFormat="1">
      <c r="B45" s="2374"/>
      <c r="C45" s="2374"/>
      <c r="D45" s="2374"/>
      <c r="E45" s="2374"/>
      <c r="F45" s="2374"/>
      <c r="G45" s="2375"/>
      <c r="H45" s="2374"/>
      <c r="I45" s="2375"/>
      <c r="J45" s="2374"/>
      <c r="K45" s="2374"/>
      <c r="L45" s="2375"/>
      <c r="M45" s="2374"/>
      <c r="N45" s="2374"/>
      <c r="O45" s="2375"/>
      <c r="P45" s="2374"/>
      <c r="Q45" s="2374"/>
      <c r="R45" s="2376"/>
    </row>
    <row r="46" spans="2:18" s="2364" customFormat="1">
      <c r="B46" s="2374"/>
      <c r="C46" s="2374"/>
      <c r="D46" s="2374"/>
      <c r="E46" s="2374"/>
      <c r="F46" s="2374"/>
      <c r="G46" s="2375"/>
      <c r="H46" s="2374"/>
      <c r="I46" s="2375"/>
      <c r="J46" s="2374"/>
      <c r="K46" s="2374"/>
      <c r="L46" s="2375"/>
      <c r="M46" s="2374"/>
      <c r="N46" s="2374"/>
      <c r="O46" s="2375"/>
      <c r="P46" s="2374"/>
      <c r="Q46" s="2374"/>
      <c r="R46" s="2376"/>
    </row>
    <row r="47" spans="2:18" s="2364" customFormat="1">
      <c r="B47" s="2374"/>
      <c r="C47" s="2374"/>
      <c r="D47" s="2374"/>
      <c r="E47" s="2374"/>
      <c r="F47" s="2374"/>
      <c r="G47" s="2375"/>
      <c r="H47" s="2374"/>
      <c r="I47" s="2375"/>
      <c r="J47" s="2374"/>
      <c r="K47" s="2374"/>
      <c r="L47" s="2375"/>
      <c r="M47" s="2374"/>
      <c r="N47" s="2374"/>
      <c r="O47" s="2375"/>
      <c r="P47" s="2374"/>
      <c r="Q47" s="2374"/>
      <c r="R47" s="2376"/>
    </row>
    <row r="48" spans="2:18" s="2364" customFormat="1">
      <c r="B48" s="2374"/>
      <c r="C48" s="2374"/>
      <c r="D48" s="2374"/>
      <c r="E48" s="2374"/>
      <c r="F48" s="2374"/>
      <c r="G48" s="2375"/>
      <c r="H48" s="2374"/>
      <c r="I48" s="2375"/>
      <c r="J48" s="2374"/>
      <c r="K48" s="2374"/>
      <c r="L48" s="2375"/>
      <c r="M48" s="2374"/>
      <c r="N48" s="2374"/>
      <c r="O48" s="2375"/>
      <c r="P48" s="2374"/>
      <c r="Q48" s="2374"/>
      <c r="R48" s="2376"/>
    </row>
    <row r="49" spans="2:18" s="2364" customFormat="1">
      <c r="B49" s="2374"/>
      <c r="C49" s="2374"/>
      <c r="D49" s="2374"/>
      <c r="E49" s="2374"/>
      <c r="F49" s="2374"/>
      <c r="G49" s="2375"/>
      <c r="H49" s="2374"/>
      <c r="I49" s="2375"/>
      <c r="J49" s="2374"/>
      <c r="K49" s="2374"/>
      <c r="L49" s="2375"/>
      <c r="M49" s="2374"/>
      <c r="N49" s="2374"/>
      <c r="O49" s="2375"/>
      <c r="P49" s="2374"/>
      <c r="Q49" s="2374"/>
      <c r="R49" s="2376"/>
    </row>
    <row r="50" spans="2:18" s="2364" customFormat="1">
      <c r="B50" s="2374"/>
      <c r="C50" s="2374"/>
      <c r="D50" s="2374"/>
      <c r="E50" s="2374"/>
      <c r="F50" s="2374"/>
      <c r="G50" s="2375"/>
      <c r="H50" s="2374"/>
      <c r="I50" s="2375"/>
      <c r="J50" s="2374"/>
      <c r="K50" s="2374"/>
      <c r="L50" s="2375"/>
      <c r="M50" s="2374"/>
      <c r="N50" s="2374"/>
      <c r="O50" s="2375"/>
      <c r="P50" s="2374"/>
      <c r="Q50" s="2374"/>
      <c r="R50" s="2376"/>
    </row>
    <row r="51" spans="2:18" s="2364" customFormat="1">
      <c r="B51" s="2374"/>
      <c r="C51" s="2374"/>
      <c r="D51" s="2374"/>
      <c r="E51" s="2374"/>
      <c r="F51" s="2374"/>
      <c r="G51" s="2375"/>
      <c r="H51" s="2374"/>
      <c r="I51" s="2375"/>
      <c r="J51" s="2374"/>
      <c r="K51" s="2374"/>
      <c r="L51" s="2375"/>
      <c r="M51" s="2374"/>
      <c r="N51" s="2374"/>
      <c r="O51" s="2375"/>
      <c r="P51" s="2374"/>
      <c r="Q51" s="2374"/>
      <c r="R51" s="2376"/>
    </row>
    <row r="52" spans="2:18" s="2364" customFormat="1">
      <c r="B52" s="2374"/>
      <c r="C52" s="2374"/>
      <c r="D52" s="2374"/>
      <c r="E52" s="2374"/>
      <c r="F52" s="2374"/>
      <c r="G52" s="2375"/>
      <c r="H52" s="2374"/>
      <c r="I52" s="2375"/>
      <c r="J52" s="2374"/>
      <c r="K52" s="2374"/>
      <c r="L52" s="2375"/>
      <c r="M52" s="2374"/>
      <c r="N52" s="2374"/>
      <c r="O52" s="2375"/>
      <c r="P52" s="2374"/>
      <c r="Q52" s="2374"/>
      <c r="R52" s="2376"/>
    </row>
    <row r="53" spans="2:18" s="2364" customFormat="1">
      <c r="B53" s="2374"/>
      <c r="C53" s="2374"/>
      <c r="D53" s="2374"/>
      <c r="E53" s="2374"/>
      <c r="F53" s="2374"/>
      <c r="G53" s="2375"/>
      <c r="H53" s="2374"/>
      <c r="I53" s="2375"/>
      <c r="J53" s="2374"/>
      <c r="K53" s="2374"/>
      <c r="L53" s="2375"/>
      <c r="M53" s="2374"/>
      <c r="N53" s="2374"/>
      <c r="O53" s="2375"/>
      <c r="P53" s="2374"/>
      <c r="Q53" s="2374"/>
      <c r="R53" s="2376"/>
    </row>
    <row r="54" spans="2:18" s="2364" customFormat="1">
      <c r="B54" s="2374"/>
      <c r="C54" s="2374"/>
      <c r="D54" s="2374"/>
      <c r="E54" s="2374"/>
      <c r="F54" s="2374"/>
      <c r="G54" s="2375"/>
      <c r="H54" s="2374"/>
      <c r="I54" s="2375"/>
      <c r="J54" s="2374"/>
      <c r="K54" s="2374"/>
      <c r="L54" s="2375"/>
      <c r="M54" s="2374"/>
      <c r="N54" s="2374"/>
      <c r="O54" s="2375"/>
      <c r="P54" s="2374"/>
      <c r="Q54" s="2374"/>
      <c r="R54" s="2376"/>
    </row>
    <row r="55" spans="2:18" s="2364" customFormat="1">
      <c r="B55" s="2374"/>
      <c r="C55" s="2374"/>
      <c r="D55" s="2374"/>
      <c r="E55" s="2374"/>
      <c r="F55" s="2374"/>
      <c r="G55" s="2375"/>
      <c r="H55" s="2374"/>
      <c r="I55" s="2375"/>
      <c r="J55" s="2374"/>
      <c r="K55" s="2374"/>
      <c r="L55" s="2375"/>
      <c r="M55" s="2374"/>
      <c r="N55" s="2374"/>
      <c r="O55" s="2375"/>
      <c r="P55" s="2374"/>
      <c r="Q55" s="2374"/>
      <c r="R55" s="2376"/>
    </row>
    <row r="56" spans="2:18" s="2364" customFormat="1">
      <c r="B56" s="2374"/>
      <c r="C56" s="2374"/>
      <c r="D56" s="2374"/>
      <c r="E56" s="2374"/>
      <c r="F56" s="2374"/>
      <c r="G56" s="2375"/>
      <c r="H56" s="2374"/>
      <c r="I56" s="2375"/>
      <c r="J56" s="2374"/>
      <c r="K56" s="2374"/>
      <c r="L56" s="2375"/>
      <c r="M56" s="2374"/>
      <c r="N56" s="2374"/>
      <c r="O56" s="2375"/>
      <c r="P56" s="2374"/>
      <c r="Q56" s="2374"/>
      <c r="R56" s="2376"/>
    </row>
    <row r="57" spans="2:18" s="2364" customFormat="1">
      <c r="B57" s="2374"/>
      <c r="C57" s="2374"/>
      <c r="D57" s="2374"/>
      <c r="E57" s="2374"/>
      <c r="F57" s="2374"/>
      <c r="G57" s="2375"/>
      <c r="H57" s="2374"/>
      <c r="I57" s="2375"/>
      <c r="J57" s="2374"/>
      <c r="K57" s="2374"/>
      <c r="L57" s="2375"/>
      <c r="M57" s="2374"/>
      <c r="N57" s="2374"/>
      <c r="O57" s="2375"/>
      <c r="P57" s="2374"/>
      <c r="Q57" s="2374"/>
      <c r="R57" s="2376"/>
    </row>
    <row r="58" spans="2:18" s="2364" customFormat="1">
      <c r="B58" s="2374"/>
      <c r="C58" s="2374"/>
      <c r="D58" s="2374"/>
      <c r="E58" s="2374"/>
      <c r="F58" s="2374"/>
      <c r="G58" s="2375"/>
      <c r="H58" s="2374"/>
      <c r="I58" s="2375"/>
      <c r="J58" s="2374"/>
      <c r="K58" s="2374"/>
      <c r="L58" s="2375"/>
      <c r="M58" s="2374"/>
      <c r="N58" s="2374"/>
      <c r="O58" s="2375"/>
      <c r="P58" s="2374"/>
      <c r="Q58" s="2374"/>
      <c r="R58" s="2376"/>
    </row>
    <row r="59" spans="2:18" s="2364" customFormat="1">
      <c r="B59" s="2374"/>
      <c r="C59" s="2374"/>
      <c r="D59" s="2374"/>
      <c r="E59" s="2374"/>
      <c r="F59" s="2374"/>
      <c r="G59" s="2375"/>
      <c r="H59" s="2374"/>
      <c r="I59" s="2375"/>
      <c r="J59" s="2374"/>
      <c r="K59" s="2374"/>
      <c r="L59" s="2375"/>
      <c r="M59" s="2374"/>
      <c r="N59" s="2374"/>
      <c r="O59" s="2375"/>
      <c r="P59" s="2374"/>
      <c r="Q59" s="2374"/>
      <c r="R59" s="2376"/>
    </row>
    <row r="60" spans="2:18" s="2364" customFormat="1">
      <c r="B60" s="2374"/>
      <c r="C60" s="2374"/>
      <c r="D60" s="2374"/>
      <c r="E60" s="2374"/>
      <c r="F60" s="2374"/>
      <c r="G60" s="2375"/>
      <c r="H60" s="2374"/>
      <c r="I60" s="2375"/>
      <c r="J60" s="2374"/>
      <c r="K60" s="2374"/>
      <c r="L60" s="2375"/>
      <c r="M60" s="2374"/>
      <c r="N60" s="2374"/>
      <c r="O60" s="2375"/>
      <c r="P60" s="2374"/>
      <c r="Q60" s="2374"/>
      <c r="R60" s="2376"/>
    </row>
    <row r="61" spans="2:18" s="2364" customFormat="1">
      <c r="B61" s="2374"/>
      <c r="C61" s="2374"/>
      <c r="D61" s="2374"/>
      <c r="E61" s="2374"/>
      <c r="F61" s="2374"/>
      <c r="G61" s="2375"/>
      <c r="H61" s="2374"/>
      <c r="I61" s="2375"/>
      <c r="J61" s="2374"/>
      <c r="K61" s="2374"/>
      <c r="L61" s="2375"/>
      <c r="M61" s="2374"/>
      <c r="N61" s="2374"/>
      <c r="O61" s="2375"/>
      <c r="P61" s="2374"/>
      <c r="Q61" s="2374"/>
      <c r="R61" s="2376"/>
    </row>
    <row r="62" spans="2:18" s="2364" customFormat="1">
      <c r="B62" s="2374"/>
      <c r="C62" s="2374"/>
      <c r="D62" s="2374"/>
      <c r="E62" s="2374"/>
      <c r="F62" s="2374"/>
      <c r="G62" s="2375"/>
      <c r="H62" s="2374"/>
      <c r="I62" s="2375"/>
      <c r="J62" s="2374"/>
      <c r="K62" s="2374"/>
      <c r="L62" s="2375"/>
      <c r="M62" s="2374"/>
      <c r="N62" s="2374"/>
      <c r="O62" s="2375"/>
      <c r="P62" s="2374"/>
      <c r="Q62" s="2374"/>
      <c r="R62" s="2376"/>
    </row>
    <row r="63" spans="2:18" s="2364" customFormat="1">
      <c r="B63" s="2374"/>
      <c r="C63" s="2374"/>
      <c r="D63" s="2374"/>
      <c r="E63" s="2374"/>
      <c r="F63" s="2374"/>
      <c r="G63" s="2375"/>
      <c r="H63" s="2374"/>
      <c r="I63" s="2375"/>
      <c r="J63" s="2374"/>
      <c r="K63" s="2374"/>
      <c r="L63" s="2375"/>
      <c r="M63" s="2374"/>
      <c r="N63" s="2374"/>
      <c r="O63" s="2375"/>
      <c r="P63" s="2374"/>
      <c r="Q63" s="2374"/>
      <c r="R63" s="2376"/>
    </row>
    <row r="64" spans="2:18" s="2364" customFormat="1">
      <c r="B64" s="2374"/>
      <c r="C64" s="2374"/>
      <c r="D64" s="2374"/>
      <c r="E64" s="2374"/>
      <c r="F64" s="2374"/>
      <c r="G64" s="2375"/>
      <c r="H64" s="2374"/>
      <c r="I64" s="2375"/>
      <c r="J64" s="2374"/>
      <c r="K64" s="2374"/>
      <c r="L64" s="2375"/>
      <c r="M64" s="2374"/>
      <c r="N64" s="2374"/>
      <c r="O64" s="2375"/>
      <c r="P64" s="2374"/>
      <c r="Q64" s="2374"/>
      <c r="R64" s="2376"/>
    </row>
    <row r="65" spans="2:18" s="2364" customFormat="1">
      <c r="B65" s="2374"/>
      <c r="C65" s="2374"/>
      <c r="D65" s="2374"/>
      <c r="E65" s="2374"/>
      <c r="F65" s="2374"/>
      <c r="G65" s="2375"/>
      <c r="H65" s="2374"/>
      <c r="I65" s="2375"/>
      <c r="J65" s="2374"/>
      <c r="K65" s="2374"/>
      <c r="L65" s="2375"/>
      <c r="M65" s="2374"/>
      <c r="N65" s="2374"/>
      <c r="O65" s="2375"/>
      <c r="P65" s="2374"/>
      <c r="Q65" s="2374"/>
      <c r="R65" s="2376"/>
    </row>
    <row r="66" spans="2:18" s="2364" customFormat="1">
      <c r="B66" s="2374"/>
      <c r="C66" s="2374"/>
      <c r="D66" s="2374"/>
      <c r="E66" s="2374"/>
      <c r="F66" s="2374"/>
      <c r="G66" s="2375"/>
      <c r="H66" s="2374"/>
      <c r="I66" s="2375"/>
      <c r="J66" s="2374"/>
      <c r="K66" s="2374"/>
      <c r="L66" s="2375"/>
      <c r="M66" s="2374"/>
      <c r="N66" s="2374"/>
      <c r="O66" s="2375"/>
      <c r="P66" s="2374"/>
      <c r="Q66" s="2374"/>
      <c r="R66" s="2376"/>
    </row>
    <row r="67" spans="2:18" s="2364" customFormat="1">
      <c r="B67" s="2374"/>
      <c r="C67" s="2374"/>
      <c r="D67" s="2374"/>
      <c r="E67" s="2374"/>
      <c r="F67" s="2374"/>
      <c r="G67" s="2375"/>
      <c r="H67" s="2374"/>
      <c r="I67" s="2375"/>
      <c r="J67" s="2374"/>
      <c r="K67" s="2374"/>
      <c r="L67" s="2375"/>
      <c r="M67" s="2374"/>
      <c r="N67" s="2374"/>
      <c r="O67" s="2375"/>
      <c r="P67" s="2374"/>
      <c r="Q67" s="2374"/>
      <c r="R67" s="2376"/>
    </row>
    <row r="68" spans="2:18" s="2364" customFormat="1">
      <c r="B68" s="2374"/>
      <c r="C68" s="2374"/>
      <c r="D68" s="2374"/>
      <c r="E68" s="2374"/>
      <c r="F68" s="2374"/>
      <c r="G68" s="2375"/>
      <c r="H68" s="2374"/>
      <c r="I68" s="2375"/>
      <c r="J68" s="2374"/>
      <c r="K68" s="2374"/>
      <c r="L68" s="2375"/>
      <c r="M68" s="2374"/>
      <c r="N68" s="2374"/>
      <c r="O68" s="2375"/>
      <c r="P68" s="2374"/>
      <c r="Q68" s="2374"/>
      <c r="R68" s="2376"/>
    </row>
    <row r="69" spans="2:18" s="2364" customFormat="1">
      <c r="B69" s="2374"/>
      <c r="C69" s="2374"/>
      <c r="D69" s="2374"/>
      <c r="E69" s="2374"/>
      <c r="F69" s="2374"/>
      <c r="G69" s="2375"/>
      <c r="H69" s="2374"/>
      <c r="I69" s="2375"/>
      <c r="J69" s="2374"/>
      <c r="K69" s="2374"/>
      <c r="L69" s="2375"/>
      <c r="M69" s="2374"/>
      <c r="N69" s="2374"/>
      <c r="O69" s="2375"/>
      <c r="P69" s="2374"/>
      <c r="Q69" s="2374"/>
      <c r="R69" s="2376"/>
    </row>
    <row r="70" spans="2:18" s="2364" customFormat="1">
      <c r="B70" s="2374"/>
      <c r="C70" s="2374"/>
      <c r="D70" s="2374"/>
      <c r="E70" s="2374"/>
      <c r="F70" s="2374"/>
      <c r="G70" s="2375"/>
      <c r="H70" s="2374"/>
      <c r="I70" s="2375"/>
      <c r="J70" s="2374"/>
      <c r="K70" s="2374"/>
      <c r="L70" s="2375"/>
      <c r="M70" s="2374"/>
      <c r="N70" s="2374"/>
      <c r="O70" s="2375"/>
      <c r="P70" s="2374"/>
      <c r="Q70" s="2374"/>
      <c r="R70" s="2376"/>
    </row>
    <row r="71" spans="2:18" s="2364" customFormat="1">
      <c r="B71" s="2374"/>
      <c r="C71" s="2374"/>
      <c r="D71" s="2374"/>
      <c r="E71" s="2374"/>
      <c r="F71" s="2374"/>
      <c r="G71" s="2375"/>
      <c r="H71" s="2374"/>
      <c r="I71" s="2375"/>
      <c r="J71" s="2374"/>
      <c r="K71" s="2374"/>
      <c r="L71" s="2375"/>
      <c r="M71" s="2374"/>
      <c r="N71" s="2374"/>
      <c r="O71" s="2375"/>
      <c r="P71" s="2374"/>
      <c r="Q71" s="2374"/>
      <c r="R71" s="2376"/>
    </row>
    <row r="72" spans="2:18" s="2364" customFormat="1">
      <c r="B72" s="2374"/>
      <c r="C72" s="2374"/>
      <c r="D72" s="2374"/>
      <c r="E72" s="2374"/>
      <c r="F72" s="2374"/>
      <c r="G72" s="2375"/>
      <c r="H72" s="2374"/>
      <c r="I72" s="2375"/>
      <c r="J72" s="2374"/>
      <c r="K72" s="2374"/>
      <c r="L72" s="2375"/>
      <c r="M72" s="2374"/>
      <c r="N72" s="2374"/>
      <c r="O72" s="2375"/>
      <c r="P72" s="2374"/>
      <c r="Q72" s="2374"/>
      <c r="R72" s="2376"/>
    </row>
    <row r="73" spans="2:18" s="2364" customFormat="1">
      <c r="B73" s="2374"/>
      <c r="C73" s="2374"/>
      <c r="D73" s="2374"/>
      <c r="E73" s="2374"/>
      <c r="F73" s="2374"/>
      <c r="G73" s="2375"/>
      <c r="H73" s="2374"/>
      <c r="I73" s="2375"/>
      <c r="J73" s="2374"/>
      <c r="K73" s="2374"/>
      <c r="L73" s="2375"/>
      <c r="M73" s="2374"/>
      <c r="N73" s="2374"/>
      <c r="O73" s="2375"/>
      <c r="P73" s="2374"/>
      <c r="Q73" s="2374"/>
      <c r="R73" s="2376"/>
    </row>
    <row r="74" spans="2:18" s="2364" customFormat="1">
      <c r="B74" s="2374"/>
      <c r="C74" s="2374"/>
      <c r="D74" s="2374"/>
      <c r="E74" s="2374"/>
      <c r="F74" s="2374"/>
      <c r="G74" s="2375"/>
      <c r="H74" s="2374"/>
      <c r="I74" s="2375"/>
      <c r="J74" s="2374"/>
      <c r="K74" s="2374"/>
      <c r="L74" s="2375"/>
      <c r="M74" s="2374"/>
      <c r="N74" s="2374"/>
      <c r="O74" s="2375"/>
      <c r="P74" s="2374"/>
      <c r="Q74" s="2374"/>
      <c r="R74" s="2376"/>
    </row>
    <row r="75" spans="2:18" s="2364" customFormat="1">
      <c r="B75" s="2374"/>
      <c r="C75" s="2374"/>
      <c r="D75" s="2374"/>
      <c r="E75" s="2374"/>
      <c r="F75" s="2374"/>
      <c r="G75" s="2375"/>
      <c r="H75" s="2374"/>
      <c r="I75" s="2375"/>
      <c r="J75" s="2374"/>
      <c r="K75" s="2374"/>
      <c r="L75" s="2375"/>
      <c r="M75" s="2374"/>
      <c r="N75" s="2374"/>
      <c r="O75" s="2375"/>
      <c r="P75" s="2374"/>
      <c r="Q75" s="2374"/>
      <c r="R75" s="2376"/>
    </row>
    <row r="76" spans="2:18" s="2364" customFormat="1">
      <c r="B76" s="2374"/>
      <c r="C76" s="2374"/>
      <c r="D76" s="2374"/>
      <c r="E76" s="2374"/>
      <c r="F76" s="2374"/>
      <c r="G76" s="2375"/>
      <c r="H76" s="2374"/>
      <c r="I76" s="2375"/>
      <c r="J76" s="2374"/>
      <c r="K76" s="2374"/>
      <c r="L76" s="2375"/>
      <c r="M76" s="2374"/>
      <c r="N76" s="2374"/>
      <c r="O76" s="2375"/>
      <c r="P76" s="2374"/>
      <c r="Q76" s="2374"/>
      <c r="R76" s="2376"/>
    </row>
    <row r="77" spans="2:18" s="2364" customFormat="1">
      <c r="B77" s="2374"/>
      <c r="C77" s="2374"/>
      <c r="D77" s="2374"/>
      <c r="E77" s="2374"/>
      <c r="F77" s="2374"/>
      <c r="G77" s="2375"/>
      <c r="H77" s="2374"/>
      <c r="I77" s="2375"/>
      <c r="J77" s="2374"/>
      <c r="K77" s="2374"/>
      <c r="L77" s="2375"/>
      <c r="M77" s="2374"/>
      <c r="N77" s="2374"/>
      <c r="O77" s="2375"/>
      <c r="P77" s="2374"/>
      <c r="Q77" s="2374"/>
      <c r="R77" s="2376"/>
    </row>
    <row r="78" spans="2:18" s="2364" customFormat="1">
      <c r="B78" s="2374"/>
      <c r="C78" s="2374"/>
      <c r="D78" s="2374"/>
      <c r="E78" s="2374"/>
      <c r="F78" s="2374"/>
      <c r="G78" s="2375"/>
      <c r="H78" s="2374"/>
      <c r="I78" s="2375"/>
      <c r="J78" s="2374"/>
      <c r="K78" s="2374"/>
      <c r="L78" s="2375"/>
      <c r="M78" s="2374"/>
      <c r="N78" s="2374"/>
      <c r="O78" s="2375"/>
      <c r="P78" s="2374"/>
      <c r="Q78" s="2374"/>
      <c r="R78" s="2376"/>
    </row>
    <row r="79" spans="2:18" s="2364" customFormat="1">
      <c r="B79" s="2374"/>
      <c r="C79" s="2374"/>
      <c r="D79" s="2374"/>
      <c r="E79" s="2374"/>
      <c r="F79" s="2374"/>
      <c r="G79" s="2375"/>
      <c r="H79" s="2374"/>
      <c r="I79" s="2375"/>
      <c r="J79" s="2374"/>
      <c r="K79" s="2374"/>
      <c r="L79" s="2375"/>
      <c r="M79" s="2374"/>
      <c r="N79" s="2374"/>
      <c r="O79" s="2375"/>
      <c r="P79" s="2374"/>
      <c r="Q79" s="2374"/>
      <c r="R79" s="2376"/>
    </row>
    <row r="80" spans="2:18" s="2364" customFormat="1">
      <c r="B80" s="2374"/>
      <c r="C80" s="2374"/>
      <c r="D80" s="2374"/>
      <c r="E80" s="2374"/>
      <c r="F80" s="2374"/>
      <c r="G80" s="2375"/>
      <c r="H80" s="2374"/>
      <c r="I80" s="2375"/>
      <c r="J80" s="2374"/>
      <c r="K80" s="2374"/>
      <c r="L80" s="2375"/>
      <c r="M80" s="2374"/>
      <c r="N80" s="2374"/>
      <c r="O80" s="2375"/>
      <c r="P80" s="2374"/>
      <c r="Q80" s="2374"/>
      <c r="R80" s="2376"/>
    </row>
    <row r="81" spans="2:18" s="2364" customFormat="1">
      <c r="B81" s="2374"/>
      <c r="C81" s="2374"/>
      <c r="D81" s="2374"/>
      <c r="E81" s="2374"/>
      <c r="F81" s="2374"/>
      <c r="G81" s="2375"/>
      <c r="H81" s="2374"/>
      <c r="I81" s="2375"/>
      <c r="J81" s="2374"/>
      <c r="K81" s="2374"/>
      <c r="L81" s="2375"/>
      <c r="M81" s="2374"/>
      <c r="N81" s="2374"/>
      <c r="O81" s="2375"/>
      <c r="P81" s="2374"/>
      <c r="Q81" s="2374"/>
      <c r="R81" s="2376"/>
    </row>
    <row r="82" spans="2:18" s="2364" customFormat="1">
      <c r="B82" s="2374"/>
      <c r="C82" s="2374"/>
      <c r="D82" s="2374"/>
      <c r="E82" s="2374"/>
      <c r="F82" s="2374"/>
      <c r="G82" s="2375"/>
      <c r="H82" s="2374"/>
      <c r="I82" s="2375"/>
      <c r="J82" s="2374"/>
      <c r="K82" s="2374"/>
      <c r="L82" s="2375"/>
      <c r="M82" s="2374"/>
      <c r="N82" s="2374"/>
      <c r="O82" s="2375"/>
      <c r="P82" s="2374"/>
      <c r="Q82" s="2374"/>
      <c r="R82" s="2376"/>
    </row>
    <row r="83" spans="2:18" s="2364" customFormat="1">
      <c r="B83" s="2374"/>
      <c r="C83" s="2374"/>
      <c r="D83" s="2374"/>
      <c r="E83" s="2374"/>
      <c r="F83" s="2374"/>
      <c r="G83" s="2375"/>
      <c r="H83" s="2374"/>
      <c r="I83" s="2375"/>
      <c r="J83" s="2374"/>
      <c r="K83" s="2374"/>
      <c r="L83" s="2375"/>
      <c r="M83" s="2374"/>
      <c r="N83" s="2374"/>
      <c r="O83" s="2375"/>
      <c r="P83" s="2374"/>
      <c r="Q83" s="2374"/>
      <c r="R83" s="2376"/>
    </row>
    <row r="84" spans="2:18" s="2364" customFormat="1">
      <c r="B84" s="2374"/>
      <c r="C84" s="2374"/>
      <c r="D84" s="2374"/>
      <c r="E84" s="2374"/>
      <c r="F84" s="2374"/>
      <c r="G84" s="2375"/>
      <c r="H84" s="2374"/>
      <c r="I84" s="2375"/>
      <c r="J84" s="2374"/>
      <c r="K84" s="2374"/>
      <c r="L84" s="2375"/>
      <c r="M84" s="2374"/>
      <c r="N84" s="2374"/>
      <c r="O84" s="2375"/>
      <c r="P84" s="2374"/>
      <c r="Q84" s="2374"/>
      <c r="R84" s="2376"/>
    </row>
    <row r="85" spans="2:18" s="2364" customFormat="1">
      <c r="B85" s="2374"/>
      <c r="C85" s="2374"/>
      <c r="D85" s="2374"/>
      <c r="E85" s="2374"/>
      <c r="F85" s="2374"/>
      <c r="G85" s="2375"/>
      <c r="H85" s="2374"/>
      <c r="I85" s="2375"/>
      <c r="J85" s="2374"/>
      <c r="K85" s="2374"/>
      <c r="L85" s="2375"/>
      <c r="M85" s="2374"/>
      <c r="N85" s="2374"/>
      <c r="O85" s="2375"/>
      <c r="P85" s="2374"/>
      <c r="Q85" s="2374"/>
      <c r="R85" s="2376"/>
    </row>
    <row r="86" spans="2:18" s="2364" customFormat="1">
      <c r="B86" s="2374"/>
      <c r="C86" s="2374"/>
      <c r="D86" s="2374"/>
      <c r="E86" s="2374"/>
      <c r="F86" s="2374"/>
      <c r="G86" s="2375"/>
      <c r="H86" s="2374"/>
      <c r="I86" s="2375"/>
      <c r="J86" s="2374"/>
      <c r="K86" s="2374"/>
      <c r="L86" s="2375"/>
      <c r="M86" s="2374"/>
      <c r="N86" s="2374"/>
      <c r="O86" s="2375"/>
      <c r="P86" s="2374"/>
      <c r="Q86" s="2374"/>
      <c r="R86" s="2376"/>
    </row>
    <row r="87" spans="2:18" s="2364" customFormat="1">
      <c r="B87" s="2374"/>
      <c r="C87" s="2374"/>
      <c r="D87" s="2374"/>
      <c r="E87" s="2374"/>
      <c r="F87" s="2374"/>
      <c r="G87" s="2375"/>
      <c r="H87" s="2374"/>
      <c r="I87" s="2375"/>
      <c r="J87" s="2374"/>
      <c r="K87" s="2374"/>
      <c r="L87" s="2375"/>
      <c r="M87" s="2374"/>
      <c r="N87" s="2374"/>
      <c r="O87" s="2375"/>
      <c r="P87" s="2374"/>
      <c r="Q87" s="2374"/>
      <c r="R87" s="2376"/>
    </row>
    <row r="88" spans="2:18" s="2364" customFormat="1">
      <c r="B88" s="2374"/>
      <c r="C88" s="2374"/>
      <c r="D88" s="2374"/>
      <c r="E88" s="2374"/>
      <c r="F88" s="2374"/>
      <c r="G88" s="2375"/>
      <c r="H88" s="2374"/>
      <c r="I88" s="2375"/>
      <c r="J88" s="2374"/>
      <c r="K88" s="2374"/>
      <c r="L88" s="2375"/>
      <c r="M88" s="2374"/>
      <c r="N88" s="2374"/>
      <c r="O88" s="2375"/>
      <c r="P88" s="2374"/>
      <c r="Q88" s="2374"/>
      <c r="R88" s="2376"/>
    </row>
    <row r="89" spans="2:18" s="2364" customFormat="1">
      <c r="B89" s="2374"/>
      <c r="C89" s="2374"/>
      <c r="D89" s="2374"/>
      <c r="E89" s="2374"/>
      <c r="F89" s="2374"/>
      <c r="G89" s="2375"/>
      <c r="H89" s="2374"/>
      <c r="I89" s="2375"/>
      <c r="J89" s="2374"/>
      <c r="K89" s="2374"/>
      <c r="L89" s="2375"/>
      <c r="M89" s="2374"/>
      <c r="N89" s="2374"/>
      <c r="O89" s="2375"/>
      <c r="P89" s="2374"/>
      <c r="Q89" s="2374"/>
      <c r="R89" s="2376"/>
    </row>
    <row r="90" spans="2:18" s="2364" customFormat="1">
      <c r="B90" s="2374"/>
      <c r="C90" s="2374"/>
      <c r="D90" s="2374"/>
      <c r="E90" s="2374"/>
      <c r="F90" s="2374"/>
      <c r="G90" s="2375"/>
      <c r="H90" s="2374"/>
      <c r="I90" s="2375"/>
      <c r="J90" s="2374"/>
      <c r="K90" s="2374"/>
      <c r="L90" s="2375"/>
      <c r="M90" s="2374"/>
      <c r="N90" s="2374"/>
      <c r="O90" s="2375"/>
      <c r="P90" s="2374"/>
      <c r="Q90" s="2374"/>
      <c r="R90" s="2376"/>
    </row>
    <row r="91" spans="2:18" s="2364" customFormat="1">
      <c r="B91" s="2374"/>
      <c r="C91" s="2374"/>
      <c r="D91" s="2374"/>
      <c r="E91" s="2374"/>
      <c r="F91" s="2374"/>
      <c r="G91" s="2375"/>
      <c r="H91" s="2374"/>
      <c r="I91" s="2375"/>
      <c r="J91" s="2374"/>
      <c r="K91" s="2374"/>
      <c r="L91" s="2375"/>
      <c r="M91" s="2374"/>
      <c r="N91" s="2374"/>
      <c r="O91" s="2375"/>
      <c r="P91" s="2374"/>
      <c r="Q91" s="2374"/>
      <c r="R91" s="2376"/>
    </row>
    <row r="92" spans="2:18" s="2364" customFormat="1">
      <c r="B92" s="2374"/>
      <c r="C92" s="2374"/>
      <c r="D92" s="2374"/>
      <c r="E92" s="2374"/>
      <c r="F92" s="2374"/>
      <c r="G92" s="2375"/>
      <c r="H92" s="2374"/>
      <c r="I92" s="2375"/>
      <c r="J92" s="2374"/>
      <c r="K92" s="2374"/>
      <c r="L92" s="2375"/>
      <c r="M92" s="2374"/>
      <c r="N92" s="2374"/>
      <c r="O92" s="2375"/>
      <c r="P92" s="2374"/>
      <c r="Q92" s="2374"/>
      <c r="R92" s="2376"/>
    </row>
    <row r="93" spans="2:18" s="2364" customFormat="1">
      <c r="B93" s="2374"/>
      <c r="C93" s="2374"/>
      <c r="D93" s="2374"/>
      <c r="E93" s="2374"/>
      <c r="F93" s="2374"/>
      <c r="G93" s="2375"/>
      <c r="H93" s="2374"/>
      <c r="I93" s="2375"/>
      <c r="J93" s="2374"/>
      <c r="K93" s="2374"/>
      <c r="L93" s="2375"/>
      <c r="M93" s="2374"/>
      <c r="N93" s="2374"/>
      <c r="O93" s="2375"/>
      <c r="P93" s="2374"/>
      <c r="Q93" s="2374"/>
      <c r="R93" s="2376"/>
    </row>
    <row r="94" spans="2:18" s="2364" customFormat="1">
      <c r="B94" s="2374"/>
      <c r="C94" s="2374"/>
      <c r="D94" s="2374"/>
      <c r="E94" s="2374"/>
      <c r="F94" s="2374"/>
      <c r="G94" s="2375"/>
      <c r="H94" s="2374"/>
      <c r="I94" s="2375"/>
      <c r="J94" s="2374"/>
      <c r="K94" s="2374"/>
      <c r="L94" s="2375"/>
      <c r="M94" s="2374"/>
      <c r="N94" s="2374"/>
      <c r="O94" s="2375"/>
      <c r="P94" s="2374"/>
      <c r="Q94" s="2374"/>
      <c r="R94" s="2376"/>
    </row>
    <row r="95" spans="2:18" s="2364" customFormat="1">
      <c r="B95" s="2374"/>
      <c r="C95" s="2374"/>
      <c r="D95" s="2374"/>
      <c r="E95" s="2374"/>
      <c r="F95" s="2374"/>
      <c r="G95" s="2375"/>
      <c r="H95" s="2374"/>
      <c r="I95" s="2375"/>
      <c r="J95" s="2374"/>
      <c r="K95" s="2374"/>
      <c r="L95" s="2375"/>
      <c r="M95" s="2374"/>
      <c r="N95" s="2374"/>
      <c r="O95" s="2375"/>
      <c r="P95" s="2374"/>
      <c r="Q95" s="2374"/>
      <c r="R95" s="2376"/>
    </row>
    <row r="96" spans="2:18" s="2364" customFormat="1">
      <c r="B96" s="2374"/>
      <c r="C96" s="2374"/>
      <c r="D96" s="2374"/>
      <c r="E96" s="2374"/>
      <c r="F96" s="2374"/>
      <c r="G96" s="2375"/>
      <c r="H96" s="2374"/>
      <c r="I96" s="2375"/>
      <c r="J96" s="2374"/>
      <c r="K96" s="2374"/>
      <c r="L96" s="2375"/>
      <c r="M96" s="2374"/>
      <c r="N96" s="2374"/>
      <c r="O96" s="2375"/>
      <c r="P96" s="2374"/>
      <c r="Q96" s="2374"/>
      <c r="R96" s="2376"/>
    </row>
    <row r="97" spans="2:18" s="2364" customFormat="1">
      <c r="B97" s="2374"/>
      <c r="C97" s="2374"/>
      <c r="D97" s="2374"/>
      <c r="E97" s="2374"/>
      <c r="F97" s="2374"/>
      <c r="G97" s="2375"/>
      <c r="H97" s="2374"/>
      <c r="I97" s="2375"/>
      <c r="J97" s="2374"/>
      <c r="K97" s="2374"/>
      <c r="L97" s="2375"/>
      <c r="M97" s="2374"/>
      <c r="N97" s="2374"/>
      <c r="O97" s="2375"/>
      <c r="P97" s="2374"/>
      <c r="Q97" s="2374"/>
      <c r="R97" s="2376"/>
    </row>
    <row r="98" spans="2:18" s="2364" customFormat="1">
      <c r="B98" s="2374"/>
      <c r="C98" s="2374"/>
      <c r="D98" s="2374"/>
      <c r="E98" s="2374"/>
      <c r="F98" s="2374"/>
      <c r="G98" s="2375"/>
      <c r="H98" s="2374"/>
      <c r="I98" s="2375"/>
      <c r="J98" s="2374"/>
      <c r="K98" s="2374"/>
      <c r="L98" s="2375"/>
      <c r="M98" s="2374"/>
      <c r="N98" s="2374"/>
      <c r="O98" s="2375"/>
      <c r="P98" s="2374"/>
      <c r="Q98" s="2374"/>
      <c r="R98" s="2376"/>
    </row>
    <row r="99" spans="2:18" s="2364" customFormat="1">
      <c r="B99" s="2374"/>
      <c r="C99" s="2374"/>
      <c r="D99" s="2374"/>
      <c r="E99" s="2374"/>
      <c r="F99" s="2374"/>
      <c r="G99" s="2375"/>
      <c r="H99" s="2374"/>
      <c r="I99" s="2375"/>
      <c r="J99" s="2374"/>
      <c r="K99" s="2374"/>
      <c r="L99" s="2375"/>
      <c r="M99" s="2374"/>
      <c r="N99" s="2374"/>
      <c r="O99" s="2375"/>
      <c r="P99" s="2374"/>
      <c r="Q99" s="2374"/>
      <c r="R99" s="2376"/>
    </row>
    <row r="100" spans="2:18" s="2364" customFormat="1">
      <c r="B100" s="2374"/>
      <c r="C100" s="2374"/>
      <c r="D100" s="2374"/>
      <c r="E100" s="2374"/>
      <c r="F100" s="2374"/>
      <c r="G100" s="2375"/>
      <c r="H100" s="2374"/>
      <c r="I100" s="2375"/>
      <c r="J100" s="2374"/>
      <c r="K100" s="2374"/>
      <c r="L100" s="2375"/>
      <c r="M100" s="2374"/>
      <c r="N100" s="2374"/>
      <c r="O100" s="2375"/>
      <c r="P100" s="2374"/>
      <c r="Q100" s="2374"/>
      <c r="R100" s="2376"/>
    </row>
    <row r="101" spans="2:18" s="2364" customFormat="1">
      <c r="B101" s="2374"/>
      <c r="C101" s="2374"/>
      <c r="D101" s="2374"/>
      <c r="E101" s="2374"/>
      <c r="F101" s="2374"/>
      <c r="G101" s="2375"/>
      <c r="H101" s="2374"/>
      <c r="I101" s="2375"/>
      <c r="J101" s="2374"/>
      <c r="K101" s="2374"/>
      <c r="L101" s="2375"/>
      <c r="M101" s="2374"/>
      <c r="N101" s="2374"/>
      <c r="O101" s="2375"/>
      <c r="P101" s="2374"/>
      <c r="Q101" s="2374"/>
      <c r="R101" s="2376"/>
    </row>
    <row r="102" spans="2:18" s="2364" customFormat="1">
      <c r="B102" s="2374"/>
      <c r="C102" s="2374"/>
      <c r="D102" s="2374"/>
      <c r="E102" s="2374"/>
      <c r="F102" s="2374"/>
      <c r="G102" s="2375"/>
      <c r="H102" s="2374"/>
      <c r="I102" s="2375"/>
      <c r="J102" s="2374"/>
      <c r="K102" s="2374"/>
      <c r="L102" s="2375"/>
      <c r="M102" s="2374"/>
      <c r="N102" s="2374"/>
      <c r="O102" s="2375"/>
      <c r="P102" s="2374"/>
      <c r="Q102" s="2374"/>
      <c r="R102" s="2376"/>
    </row>
    <row r="103" spans="2:18" s="2364" customFormat="1">
      <c r="B103" s="2374"/>
      <c r="C103" s="2374"/>
      <c r="D103" s="2374"/>
      <c r="E103" s="2374"/>
      <c r="F103" s="2374"/>
      <c r="G103" s="2375"/>
      <c r="H103" s="2374"/>
      <c r="I103" s="2375"/>
      <c r="J103" s="2374"/>
      <c r="K103" s="2374"/>
      <c r="L103" s="2375"/>
      <c r="M103" s="2374"/>
      <c r="N103" s="2374"/>
      <c r="O103" s="2375"/>
      <c r="P103" s="2374"/>
      <c r="Q103" s="2374"/>
      <c r="R103" s="2376"/>
    </row>
    <row r="104" spans="2:18" s="2364" customFormat="1">
      <c r="B104" s="2374"/>
      <c r="C104" s="2374"/>
      <c r="D104" s="2374"/>
      <c r="E104" s="2374"/>
      <c r="F104" s="2374"/>
      <c r="G104" s="2375"/>
      <c r="H104" s="2374"/>
      <c r="I104" s="2375"/>
      <c r="J104" s="2374"/>
      <c r="K104" s="2374"/>
      <c r="L104" s="2375"/>
      <c r="M104" s="2374"/>
      <c r="N104" s="2374"/>
      <c r="O104" s="2375"/>
      <c r="P104" s="2374"/>
      <c r="Q104" s="2374"/>
      <c r="R104" s="2376"/>
    </row>
    <row r="105" spans="2:18" s="2364" customFormat="1">
      <c r="B105" s="2374"/>
      <c r="C105" s="2374"/>
      <c r="D105" s="2374"/>
      <c r="E105" s="2374"/>
      <c r="F105" s="2374"/>
      <c r="G105" s="2375"/>
      <c r="H105" s="2374"/>
      <c r="I105" s="2375"/>
      <c r="J105" s="2374"/>
      <c r="K105" s="2374"/>
      <c r="L105" s="2375"/>
      <c r="M105" s="2374"/>
      <c r="N105" s="2374"/>
      <c r="O105" s="2375"/>
      <c r="P105" s="2374"/>
      <c r="Q105" s="2374"/>
      <c r="R105" s="2376"/>
    </row>
    <row r="106" spans="2:18" s="2364" customFormat="1">
      <c r="B106" s="2374"/>
      <c r="C106" s="2374"/>
      <c r="D106" s="2374"/>
      <c r="E106" s="2374"/>
      <c r="F106" s="2374"/>
      <c r="G106" s="2375"/>
      <c r="H106" s="2374"/>
      <c r="I106" s="2375"/>
      <c r="J106" s="2374"/>
      <c r="K106" s="2374"/>
      <c r="L106" s="2375"/>
      <c r="M106" s="2374"/>
      <c r="N106" s="2374"/>
      <c r="O106" s="2375"/>
      <c r="P106" s="2374"/>
      <c r="Q106" s="2374"/>
      <c r="R106" s="2376"/>
    </row>
    <row r="107" spans="2:18" s="2364" customFormat="1">
      <c r="B107" s="2374"/>
      <c r="C107" s="2374"/>
      <c r="D107" s="2374"/>
      <c r="E107" s="2374"/>
      <c r="F107" s="2374"/>
      <c r="G107" s="2375"/>
      <c r="H107" s="2374"/>
      <c r="I107" s="2375"/>
      <c r="J107" s="2374"/>
      <c r="K107" s="2374"/>
      <c r="L107" s="2375"/>
      <c r="M107" s="2374"/>
      <c r="N107" s="2374"/>
      <c r="O107" s="2375"/>
      <c r="P107" s="2374"/>
      <c r="Q107" s="2374"/>
      <c r="R107" s="2376"/>
    </row>
    <row r="108" spans="2:18" s="2364" customFormat="1">
      <c r="B108" s="2374"/>
      <c r="C108" s="2374"/>
      <c r="D108" s="2374"/>
      <c r="E108" s="2374"/>
      <c r="F108" s="2374"/>
      <c r="G108" s="2375"/>
      <c r="H108" s="2374"/>
      <c r="I108" s="2375"/>
      <c r="J108" s="2374"/>
      <c r="K108" s="2374"/>
      <c r="L108" s="2375"/>
      <c r="M108" s="2374"/>
      <c r="N108" s="2374"/>
      <c r="O108" s="2375"/>
      <c r="P108" s="2374"/>
      <c r="Q108" s="2374"/>
      <c r="R108" s="2376"/>
    </row>
    <row r="109" spans="2:18" s="2364" customFormat="1">
      <c r="B109" s="2374"/>
      <c r="C109" s="2374"/>
      <c r="D109" s="2374"/>
      <c r="E109" s="2374"/>
      <c r="F109" s="2374"/>
      <c r="G109" s="2375"/>
      <c r="H109" s="2374"/>
      <c r="I109" s="2375"/>
      <c r="J109" s="2374"/>
      <c r="K109" s="2374"/>
      <c r="L109" s="2375"/>
      <c r="M109" s="2374"/>
      <c r="N109" s="2374"/>
      <c r="O109" s="2375"/>
      <c r="P109" s="2374"/>
      <c r="Q109" s="2374"/>
      <c r="R109" s="2376"/>
    </row>
    <row r="110" spans="2:18" s="2364" customFormat="1">
      <c r="B110" s="2374"/>
      <c r="C110" s="2374"/>
      <c r="D110" s="2374"/>
      <c r="E110" s="2374"/>
      <c r="F110" s="2374"/>
      <c r="G110" s="2375"/>
      <c r="H110" s="2374"/>
      <c r="I110" s="2375"/>
      <c r="J110" s="2374"/>
      <c r="K110" s="2374"/>
      <c r="L110" s="2375"/>
      <c r="M110" s="2374"/>
      <c r="N110" s="2374"/>
      <c r="O110" s="2375"/>
      <c r="P110" s="2374"/>
      <c r="Q110" s="2374"/>
      <c r="R110" s="2376"/>
    </row>
    <row r="111" spans="2:18" s="2364" customFormat="1">
      <c r="B111" s="2374"/>
      <c r="C111" s="2374"/>
      <c r="D111" s="2374"/>
      <c r="E111" s="2374"/>
      <c r="F111" s="2374"/>
      <c r="G111" s="2375"/>
      <c r="H111" s="2374"/>
      <c r="I111" s="2375"/>
      <c r="J111" s="2374"/>
      <c r="K111" s="2374"/>
      <c r="L111" s="2375"/>
      <c r="M111" s="2374"/>
      <c r="N111" s="2374"/>
      <c r="O111" s="2375"/>
      <c r="P111" s="2374"/>
      <c r="Q111" s="2374"/>
      <c r="R111" s="2376"/>
    </row>
    <row r="112" spans="2:18" s="2364" customFormat="1">
      <c r="B112" s="2374"/>
      <c r="C112" s="2374"/>
      <c r="D112" s="2374"/>
      <c r="E112" s="2374"/>
      <c r="F112" s="2374"/>
      <c r="G112" s="2375"/>
      <c r="H112" s="2374"/>
      <c r="I112" s="2375"/>
      <c r="J112" s="2374"/>
      <c r="K112" s="2374"/>
      <c r="L112" s="2375"/>
      <c r="M112" s="2374"/>
      <c r="N112" s="2374"/>
      <c r="O112" s="2375"/>
      <c r="P112" s="2374"/>
      <c r="Q112" s="2374"/>
      <c r="R112" s="2376"/>
    </row>
    <row r="113" spans="2:18" s="2364" customFormat="1">
      <c r="B113" s="2374"/>
      <c r="C113" s="2374"/>
      <c r="D113" s="2374"/>
      <c r="E113" s="2374"/>
      <c r="F113" s="2374"/>
      <c r="G113" s="2375"/>
      <c r="H113" s="2374"/>
      <c r="I113" s="2375"/>
      <c r="J113" s="2374"/>
      <c r="K113" s="2374"/>
      <c r="L113" s="2375"/>
      <c r="M113" s="2374"/>
      <c r="N113" s="2374"/>
      <c r="O113" s="2375"/>
      <c r="P113" s="2374"/>
      <c r="Q113" s="2374"/>
      <c r="R113" s="2376"/>
    </row>
    <row r="114" spans="2:18" s="2364" customFormat="1">
      <c r="B114" s="2374"/>
      <c r="C114" s="2374"/>
      <c r="D114" s="2374"/>
      <c r="E114" s="2374"/>
      <c r="F114" s="2374"/>
      <c r="G114" s="2375"/>
      <c r="H114" s="2374"/>
      <c r="I114" s="2375"/>
      <c r="J114" s="2374"/>
      <c r="K114" s="2374"/>
      <c r="L114" s="2375"/>
      <c r="M114" s="2374"/>
      <c r="N114" s="2374"/>
      <c r="O114" s="2375"/>
      <c r="P114" s="2374"/>
      <c r="Q114" s="2374"/>
      <c r="R114" s="2376"/>
    </row>
    <row r="115" spans="2:18" s="2364" customFormat="1">
      <c r="B115" s="2374"/>
      <c r="C115" s="2374"/>
      <c r="D115" s="2374"/>
      <c r="E115" s="2374"/>
      <c r="F115" s="2374"/>
      <c r="G115" s="2375"/>
      <c r="H115" s="2374"/>
      <c r="I115" s="2375"/>
      <c r="J115" s="2374"/>
      <c r="K115" s="2374"/>
      <c r="L115" s="2375"/>
      <c r="M115" s="2374"/>
      <c r="N115" s="2374"/>
      <c r="O115" s="2375"/>
      <c r="P115" s="2374"/>
      <c r="Q115" s="2374"/>
      <c r="R115" s="2376"/>
    </row>
    <row r="116" spans="2:18" s="2364" customFormat="1">
      <c r="B116" s="2374"/>
      <c r="C116" s="2374"/>
      <c r="D116" s="2374"/>
      <c r="E116" s="2374"/>
      <c r="F116" s="2374"/>
      <c r="G116" s="2375"/>
      <c r="H116" s="2374"/>
      <c r="I116" s="2375"/>
      <c r="J116" s="2374"/>
      <c r="K116" s="2374"/>
      <c r="L116" s="2375"/>
      <c r="M116" s="2374"/>
      <c r="N116" s="2374"/>
      <c r="O116" s="2375"/>
      <c r="P116" s="2374"/>
      <c r="Q116" s="2374"/>
      <c r="R116" s="2376"/>
    </row>
    <row r="117" spans="2:18" s="2364" customFormat="1">
      <c r="B117" s="2374"/>
      <c r="C117" s="2374"/>
      <c r="D117" s="2374"/>
      <c r="E117" s="2374"/>
      <c r="F117" s="2374"/>
      <c r="G117" s="2375"/>
      <c r="H117" s="2374"/>
      <c r="I117" s="2375"/>
      <c r="J117" s="2374"/>
      <c r="K117" s="2374"/>
      <c r="L117" s="2375"/>
      <c r="M117" s="2374"/>
      <c r="N117" s="2374"/>
      <c r="O117" s="2375"/>
      <c r="P117" s="2374"/>
      <c r="Q117" s="2374"/>
      <c r="R117" s="2376"/>
    </row>
    <row r="118" spans="2:18" s="2364" customFormat="1">
      <c r="B118" s="2374"/>
      <c r="C118" s="2374"/>
      <c r="D118" s="2374"/>
      <c r="E118" s="2374"/>
      <c r="F118" s="2374"/>
      <c r="G118" s="2375"/>
      <c r="H118" s="2374"/>
      <c r="I118" s="2375"/>
      <c r="J118" s="2374"/>
      <c r="K118" s="2374"/>
      <c r="L118" s="2375"/>
      <c r="M118" s="2374"/>
      <c r="N118" s="2374"/>
      <c r="O118" s="2375"/>
      <c r="P118" s="2374"/>
      <c r="Q118" s="2374"/>
      <c r="R118" s="2376"/>
    </row>
    <row r="119" spans="2:18" s="2364" customFormat="1">
      <c r="B119" s="2374"/>
      <c r="C119" s="2374"/>
      <c r="D119" s="2374"/>
      <c r="E119" s="2374"/>
      <c r="F119" s="2374"/>
      <c r="G119" s="2375"/>
      <c r="H119" s="2374"/>
      <c r="I119" s="2375"/>
      <c r="J119" s="2374"/>
      <c r="K119" s="2374"/>
      <c r="L119" s="2375"/>
      <c r="M119" s="2374"/>
      <c r="N119" s="2374"/>
      <c r="O119" s="2375"/>
      <c r="P119" s="2374"/>
      <c r="Q119" s="2374"/>
      <c r="R119" s="2376"/>
    </row>
    <row r="120" spans="2:18" s="2364" customFormat="1">
      <c r="B120" s="2374"/>
      <c r="C120" s="2374"/>
      <c r="D120" s="2374"/>
      <c r="E120" s="2374"/>
      <c r="F120" s="2374"/>
      <c r="G120" s="2375"/>
      <c r="H120" s="2374"/>
      <c r="I120" s="2375"/>
      <c r="J120" s="2374"/>
      <c r="K120" s="2374"/>
      <c r="L120" s="2375"/>
      <c r="M120" s="2374"/>
      <c r="N120" s="2374"/>
      <c r="O120" s="2375"/>
      <c r="P120" s="2374"/>
      <c r="Q120" s="2374"/>
      <c r="R120" s="2376"/>
    </row>
    <row r="121" spans="2:18" s="2364" customFormat="1">
      <c r="B121" s="2374"/>
      <c r="C121" s="2374"/>
      <c r="D121" s="2374"/>
      <c r="E121" s="2374"/>
      <c r="F121" s="2374"/>
      <c r="G121" s="2375"/>
      <c r="H121" s="2374"/>
      <c r="I121" s="2375"/>
      <c r="J121" s="2374"/>
      <c r="K121" s="2374"/>
      <c r="L121" s="2375"/>
      <c r="M121" s="2374"/>
      <c r="N121" s="2374"/>
      <c r="O121" s="2375"/>
      <c r="P121" s="2374"/>
      <c r="Q121" s="2374"/>
      <c r="R121" s="2376"/>
    </row>
    <row r="122" spans="2:18" s="2364" customFormat="1">
      <c r="B122" s="2374"/>
      <c r="C122" s="2374"/>
      <c r="D122" s="2374"/>
      <c r="E122" s="2374"/>
      <c r="F122" s="2374"/>
      <c r="G122" s="2375"/>
      <c r="H122" s="2374"/>
      <c r="I122" s="2375"/>
      <c r="J122" s="2374"/>
      <c r="K122" s="2374"/>
      <c r="L122" s="2375"/>
      <c r="M122" s="2374"/>
      <c r="N122" s="2374"/>
      <c r="O122" s="2375"/>
      <c r="P122" s="2374"/>
      <c r="Q122" s="2374"/>
      <c r="R122" s="2376"/>
    </row>
    <row r="123" spans="2:18" s="2364" customFormat="1">
      <c r="B123" s="2374"/>
      <c r="C123" s="2374"/>
      <c r="D123" s="2374"/>
      <c r="E123" s="2374"/>
      <c r="F123" s="2374"/>
      <c r="G123" s="2375"/>
      <c r="H123" s="2374"/>
      <c r="I123" s="2375"/>
      <c r="J123" s="2374"/>
      <c r="K123" s="2374"/>
      <c r="L123" s="2375"/>
      <c r="M123" s="2374"/>
      <c r="N123" s="2374"/>
      <c r="O123" s="2375"/>
      <c r="P123" s="2374"/>
      <c r="Q123" s="2374"/>
      <c r="R123" s="2376"/>
    </row>
    <row r="124" spans="2:18" s="2364" customFormat="1">
      <c r="B124" s="2374"/>
      <c r="C124" s="2374"/>
      <c r="D124" s="2374"/>
      <c r="E124" s="2374"/>
      <c r="F124" s="2374"/>
      <c r="G124" s="2375"/>
      <c r="H124" s="2374"/>
      <c r="I124" s="2375"/>
      <c r="J124" s="2374"/>
      <c r="K124" s="2374"/>
      <c r="L124" s="2375"/>
      <c r="M124" s="2374"/>
      <c r="N124" s="2374"/>
      <c r="O124" s="2375"/>
      <c r="P124" s="2374"/>
      <c r="Q124" s="2374"/>
      <c r="R124" s="2376"/>
    </row>
    <row r="125" spans="2:18" s="2364" customFormat="1">
      <c r="B125" s="2374"/>
      <c r="C125" s="2374"/>
      <c r="D125" s="2374"/>
      <c r="E125" s="2374"/>
      <c r="F125" s="2374"/>
      <c r="G125" s="2375"/>
      <c r="H125" s="2374"/>
      <c r="I125" s="2375"/>
      <c r="J125" s="2374"/>
      <c r="K125" s="2374"/>
      <c r="L125" s="2375"/>
      <c r="M125" s="2374"/>
      <c r="N125" s="2374"/>
      <c r="O125" s="2375"/>
      <c r="P125" s="2374"/>
      <c r="Q125" s="2374"/>
      <c r="R125" s="2376"/>
    </row>
    <row r="126" spans="2:18" s="2364" customFormat="1">
      <c r="B126" s="2374"/>
      <c r="C126" s="2374"/>
      <c r="D126" s="2374"/>
      <c r="E126" s="2374"/>
      <c r="F126" s="2374"/>
      <c r="G126" s="2375"/>
      <c r="H126" s="2374"/>
      <c r="I126" s="2375"/>
      <c r="J126" s="2374"/>
      <c r="K126" s="2374"/>
      <c r="L126" s="2375"/>
      <c r="M126" s="2374"/>
      <c r="N126" s="2374"/>
      <c r="O126" s="2375"/>
      <c r="P126" s="2374"/>
      <c r="Q126" s="2374"/>
      <c r="R126" s="2376"/>
    </row>
    <row r="127" spans="2:18" s="2364" customFormat="1">
      <c r="B127" s="2374"/>
      <c r="C127" s="2374"/>
      <c r="D127" s="2374"/>
      <c r="E127" s="2374"/>
      <c r="F127" s="2374"/>
      <c r="G127" s="2375"/>
      <c r="H127" s="2374"/>
      <c r="I127" s="2375"/>
      <c r="J127" s="2374"/>
      <c r="K127" s="2374"/>
      <c r="L127" s="2375"/>
      <c r="M127" s="2374"/>
      <c r="N127" s="2374"/>
      <c r="O127" s="2375"/>
      <c r="P127" s="2374"/>
      <c r="Q127" s="2374"/>
      <c r="R127" s="2376"/>
    </row>
    <row r="128" spans="2:18" s="2364" customFormat="1">
      <c r="B128" s="2374"/>
      <c r="C128" s="2374"/>
      <c r="D128" s="2374"/>
      <c r="E128" s="2374"/>
      <c r="F128" s="2374"/>
      <c r="G128" s="2375"/>
      <c r="H128" s="2374"/>
      <c r="I128" s="2375"/>
      <c r="J128" s="2374"/>
      <c r="K128" s="2374"/>
      <c r="L128" s="2375"/>
      <c r="M128" s="2374"/>
      <c r="N128" s="2374"/>
      <c r="O128" s="2375"/>
      <c r="P128" s="2374"/>
      <c r="Q128" s="2374"/>
      <c r="R128" s="2376"/>
    </row>
    <row r="129" spans="2:18" s="2364" customFormat="1">
      <c r="B129" s="2374"/>
      <c r="C129" s="2374"/>
      <c r="D129" s="2374"/>
      <c r="E129" s="2374"/>
      <c r="F129" s="2374"/>
      <c r="G129" s="2375"/>
      <c r="H129" s="2374"/>
      <c r="I129" s="2375"/>
      <c r="J129" s="2374"/>
      <c r="K129" s="2374"/>
      <c r="L129" s="2375"/>
      <c r="M129" s="2374"/>
      <c r="N129" s="2374"/>
      <c r="O129" s="2375"/>
      <c r="P129" s="2374"/>
      <c r="Q129" s="2374"/>
      <c r="R129" s="2376"/>
    </row>
    <row r="130" spans="2:18" s="2364" customFormat="1">
      <c r="B130" s="2374"/>
      <c r="C130" s="2374"/>
      <c r="D130" s="2374"/>
      <c r="E130" s="2374"/>
      <c r="F130" s="2374"/>
      <c r="G130" s="2375"/>
      <c r="H130" s="2374"/>
      <c r="I130" s="2375"/>
      <c r="J130" s="2374"/>
      <c r="K130" s="2374"/>
      <c r="L130" s="2375"/>
      <c r="M130" s="2374"/>
      <c r="N130" s="2374"/>
      <c r="O130" s="2375"/>
      <c r="P130" s="2374"/>
      <c r="Q130" s="2374"/>
      <c r="R130" s="2376"/>
    </row>
    <row r="131" spans="2:18" s="2364" customFormat="1">
      <c r="B131" s="2374"/>
      <c r="C131" s="2374"/>
      <c r="D131" s="2374"/>
      <c r="E131" s="2374"/>
      <c r="F131" s="2374"/>
      <c r="G131" s="2375"/>
      <c r="H131" s="2374"/>
      <c r="I131" s="2375"/>
      <c r="J131" s="2374"/>
      <c r="K131" s="2374"/>
      <c r="L131" s="2375"/>
      <c r="M131" s="2374"/>
      <c r="N131" s="2374"/>
      <c r="O131" s="2375"/>
      <c r="P131" s="2374"/>
      <c r="Q131" s="2374"/>
      <c r="R131" s="2376"/>
    </row>
    <row r="132" spans="2:18" s="2364" customFormat="1">
      <c r="B132" s="2374"/>
      <c r="C132" s="2374"/>
      <c r="D132" s="2374"/>
      <c r="E132" s="2374"/>
      <c r="F132" s="2374"/>
      <c r="G132" s="2375"/>
      <c r="H132" s="2374"/>
      <c r="I132" s="2375"/>
      <c r="J132" s="2374"/>
      <c r="K132" s="2374"/>
      <c r="L132" s="2375"/>
      <c r="M132" s="2374"/>
      <c r="N132" s="2374"/>
      <c r="O132" s="2375"/>
      <c r="P132" s="2374"/>
      <c r="Q132" s="2374"/>
      <c r="R132" s="2376"/>
    </row>
    <row r="133" spans="2:18" s="2364" customFormat="1">
      <c r="B133" s="2374"/>
      <c r="C133" s="2374"/>
      <c r="D133" s="2374"/>
      <c r="E133" s="2374"/>
      <c r="F133" s="2374"/>
      <c r="G133" s="2375"/>
      <c r="H133" s="2374"/>
      <c r="I133" s="2375"/>
      <c r="J133" s="2374"/>
      <c r="K133" s="2374"/>
      <c r="L133" s="2375"/>
      <c r="M133" s="2374"/>
      <c r="N133" s="2374"/>
      <c r="O133" s="2375"/>
      <c r="P133" s="2374"/>
      <c r="Q133" s="2374"/>
      <c r="R133" s="2376"/>
    </row>
    <row r="134" spans="2:18" s="2364" customFormat="1">
      <c r="B134" s="2374"/>
      <c r="C134" s="2374"/>
      <c r="D134" s="2374"/>
      <c r="E134" s="2374"/>
      <c r="F134" s="2374"/>
      <c r="G134" s="2375"/>
      <c r="H134" s="2374"/>
      <c r="I134" s="2375"/>
      <c r="J134" s="2374"/>
      <c r="K134" s="2374"/>
      <c r="L134" s="2375"/>
      <c r="M134" s="2374"/>
      <c r="N134" s="2374"/>
      <c r="O134" s="2375"/>
      <c r="P134" s="2374"/>
      <c r="Q134" s="2374"/>
      <c r="R134" s="2376"/>
    </row>
    <row r="135" spans="2:18" s="2364" customFormat="1">
      <c r="B135" s="2374"/>
      <c r="C135" s="2374"/>
      <c r="D135" s="2374"/>
      <c r="E135" s="2374"/>
      <c r="F135" s="2374"/>
      <c r="G135" s="2375"/>
      <c r="H135" s="2374"/>
      <c r="I135" s="2375"/>
      <c r="J135" s="2374"/>
      <c r="K135" s="2374"/>
      <c r="L135" s="2375"/>
      <c r="M135" s="2374"/>
      <c r="N135" s="2374"/>
      <c r="O135" s="2375"/>
      <c r="P135" s="2374"/>
      <c r="Q135" s="2374"/>
      <c r="R135" s="2376"/>
    </row>
    <row r="136" spans="2:18" s="2364" customFormat="1">
      <c r="B136" s="2374"/>
      <c r="C136" s="2374"/>
      <c r="D136" s="2374"/>
      <c r="E136" s="2374"/>
      <c r="F136" s="2374"/>
      <c r="G136" s="2375"/>
      <c r="H136" s="2374"/>
      <c r="I136" s="2375"/>
      <c r="J136" s="2374"/>
      <c r="K136" s="2374"/>
      <c r="L136" s="2375"/>
      <c r="M136" s="2374"/>
      <c r="N136" s="2374"/>
      <c r="O136" s="2375"/>
      <c r="P136" s="2374"/>
      <c r="Q136" s="2374"/>
      <c r="R136" s="2376"/>
    </row>
    <row r="137" spans="2:18" s="2364" customFormat="1">
      <c r="B137" s="2374"/>
      <c r="C137" s="2374"/>
      <c r="D137" s="2374"/>
      <c r="E137" s="2374"/>
      <c r="F137" s="2374"/>
      <c r="G137" s="2375"/>
      <c r="H137" s="2374"/>
      <c r="I137" s="2375"/>
      <c r="J137" s="2374"/>
      <c r="K137" s="2374"/>
      <c r="L137" s="2375"/>
      <c r="M137" s="2374"/>
      <c r="N137" s="2374"/>
      <c r="O137" s="2375"/>
      <c r="P137" s="2374"/>
      <c r="Q137" s="2374"/>
      <c r="R137" s="2376"/>
    </row>
    <row r="138" spans="2:18" s="2364" customFormat="1">
      <c r="B138" s="2374"/>
      <c r="C138" s="2374"/>
      <c r="D138" s="2374"/>
      <c r="E138" s="2374"/>
      <c r="F138" s="2374"/>
      <c r="G138" s="2375"/>
      <c r="H138" s="2374"/>
      <c r="I138" s="2375"/>
      <c r="J138" s="2374"/>
      <c r="K138" s="2374"/>
      <c r="L138" s="2375"/>
      <c r="M138" s="2374"/>
      <c r="N138" s="2374"/>
      <c r="O138" s="2375"/>
      <c r="P138" s="2374"/>
      <c r="Q138" s="2374"/>
      <c r="R138" s="2376"/>
    </row>
    <row r="139" spans="2:18" s="2364" customFormat="1">
      <c r="B139" s="2374"/>
      <c r="C139" s="2374"/>
      <c r="D139" s="2374"/>
      <c r="E139" s="2374"/>
      <c r="F139" s="2374"/>
      <c r="G139" s="2375"/>
      <c r="H139" s="2374"/>
      <c r="I139" s="2375"/>
      <c r="J139" s="2374"/>
      <c r="K139" s="2374"/>
      <c r="L139" s="2375"/>
      <c r="M139" s="2374"/>
      <c r="N139" s="2374"/>
      <c r="O139" s="2375"/>
      <c r="P139" s="2374"/>
      <c r="Q139" s="2374"/>
      <c r="R139" s="2376"/>
    </row>
    <row r="140" spans="2:18" s="2364" customFormat="1">
      <c r="B140" s="2374"/>
      <c r="C140" s="2374"/>
      <c r="D140" s="2374"/>
      <c r="E140" s="2374"/>
      <c r="F140" s="2374"/>
      <c r="G140" s="2375"/>
      <c r="H140" s="2374"/>
      <c r="I140" s="2375"/>
      <c r="J140" s="2374"/>
      <c r="K140" s="2374"/>
      <c r="L140" s="2375"/>
      <c r="M140" s="2374"/>
      <c r="N140" s="2374"/>
      <c r="O140" s="2375"/>
      <c r="P140" s="2374"/>
      <c r="Q140" s="2374"/>
      <c r="R140" s="2376"/>
    </row>
    <row r="141" spans="2:18" s="2364" customFormat="1">
      <c r="B141" s="2374"/>
      <c r="C141" s="2374"/>
      <c r="D141" s="2374"/>
      <c r="E141" s="2374"/>
      <c r="F141" s="2374"/>
      <c r="G141" s="2375"/>
      <c r="H141" s="2374"/>
      <c r="I141" s="2375"/>
      <c r="J141" s="2374"/>
      <c r="K141" s="2374"/>
      <c r="L141" s="2375"/>
      <c r="M141" s="2374"/>
      <c r="N141" s="2374"/>
      <c r="O141" s="2375"/>
      <c r="P141" s="2374"/>
      <c r="Q141" s="2374"/>
      <c r="R141" s="2376"/>
    </row>
    <row r="142" spans="2:18" s="2364" customFormat="1">
      <c r="B142" s="2374"/>
      <c r="C142" s="2374"/>
      <c r="D142" s="2374"/>
      <c r="E142" s="2374"/>
      <c r="F142" s="2374"/>
      <c r="G142" s="2375"/>
      <c r="H142" s="2374"/>
      <c r="I142" s="2375"/>
      <c r="J142" s="2374"/>
      <c r="K142" s="2374"/>
      <c r="L142" s="2375"/>
      <c r="M142" s="2374"/>
      <c r="N142" s="2374"/>
      <c r="O142" s="2375"/>
      <c r="P142" s="2374"/>
      <c r="Q142" s="2374"/>
      <c r="R142" s="2376"/>
    </row>
    <row r="143" spans="2:18" s="2364" customFormat="1">
      <c r="B143" s="2374"/>
      <c r="C143" s="2374"/>
      <c r="D143" s="2374"/>
      <c r="E143" s="2374"/>
      <c r="F143" s="2374"/>
      <c r="G143" s="2375"/>
      <c r="H143" s="2374"/>
      <c r="I143" s="2375"/>
      <c r="J143" s="2374"/>
      <c r="K143" s="2374"/>
      <c r="L143" s="2375"/>
      <c r="M143" s="2374"/>
      <c r="N143" s="2374"/>
      <c r="O143" s="2375"/>
      <c r="P143" s="2374"/>
      <c r="Q143" s="2374"/>
      <c r="R143" s="2376"/>
    </row>
    <row r="144" spans="2:18" s="2364" customFormat="1">
      <c r="B144" s="2374"/>
      <c r="C144" s="2374"/>
      <c r="D144" s="2374"/>
      <c r="E144" s="2374"/>
      <c r="F144" s="2374"/>
      <c r="G144" s="2375"/>
      <c r="H144" s="2374"/>
      <c r="I144" s="2375"/>
      <c r="J144" s="2374"/>
      <c r="K144" s="2374"/>
      <c r="L144" s="2375"/>
      <c r="M144" s="2374"/>
      <c r="N144" s="2374"/>
      <c r="O144" s="2375"/>
      <c r="P144" s="2374"/>
      <c r="Q144" s="2374"/>
      <c r="R144" s="2376"/>
    </row>
    <row r="145" spans="2:18" s="2364" customFormat="1">
      <c r="B145" s="2374"/>
      <c r="C145" s="2374"/>
      <c r="D145" s="2374"/>
      <c r="E145" s="2374"/>
      <c r="F145" s="2374"/>
      <c r="G145" s="2375"/>
      <c r="H145" s="2374"/>
      <c r="I145" s="2375"/>
      <c r="J145" s="2374"/>
      <c r="K145" s="2374"/>
      <c r="L145" s="2375"/>
      <c r="M145" s="2374"/>
      <c r="N145" s="2374"/>
      <c r="O145" s="2375"/>
      <c r="P145" s="2374"/>
      <c r="Q145" s="2374"/>
      <c r="R145" s="2376"/>
    </row>
    <row r="146" spans="2:18" s="2364" customFormat="1">
      <c r="B146" s="2374"/>
      <c r="C146" s="2374"/>
      <c r="D146" s="2374"/>
      <c r="E146" s="2374"/>
      <c r="F146" s="2374"/>
      <c r="G146" s="2375"/>
      <c r="H146" s="2374"/>
      <c r="I146" s="2375"/>
      <c r="J146" s="2374"/>
      <c r="K146" s="2374"/>
      <c r="L146" s="2375"/>
      <c r="M146" s="2374"/>
      <c r="N146" s="2374"/>
      <c r="O146" s="2375"/>
      <c r="P146" s="2374"/>
      <c r="Q146" s="2374"/>
      <c r="R146" s="2376"/>
    </row>
    <row r="147" spans="2:18" s="2364" customFormat="1">
      <c r="B147" s="2374"/>
      <c r="C147" s="2374"/>
      <c r="D147" s="2374"/>
      <c r="E147" s="2374"/>
      <c r="F147" s="2374"/>
      <c r="G147" s="2375"/>
      <c r="H147" s="2374"/>
      <c r="I147" s="2375"/>
      <c r="J147" s="2374"/>
      <c r="K147" s="2374"/>
      <c r="L147" s="2375"/>
      <c r="M147" s="2374"/>
      <c r="N147" s="2374"/>
      <c r="O147" s="2375"/>
      <c r="P147" s="2374"/>
      <c r="Q147" s="2374"/>
      <c r="R147" s="2376"/>
    </row>
    <row r="148" spans="2:18" s="2364" customFormat="1">
      <c r="B148" s="2374"/>
      <c r="C148" s="2374"/>
      <c r="D148" s="2374"/>
      <c r="E148" s="2374"/>
      <c r="F148" s="2374"/>
      <c r="G148" s="2375"/>
      <c r="H148" s="2374"/>
      <c r="I148" s="2375"/>
      <c r="J148" s="2374"/>
      <c r="K148" s="2374"/>
      <c r="L148" s="2375"/>
      <c r="M148" s="2374"/>
      <c r="N148" s="2374"/>
      <c r="O148" s="2375"/>
      <c r="P148" s="2374"/>
      <c r="Q148" s="2374"/>
      <c r="R148" s="2376"/>
    </row>
    <row r="149" spans="2:18" s="2364" customFormat="1">
      <c r="B149" s="2374"/>
      <c r="C149" s="2374"/>
      <c r="D149" s="2374"/>
      <c r="E149" s="2374"/>
      <c r="F149" s="2374"/>
      <c r="G149" s="2375"/>
      <c r="H149" s="2374"/>
      <c r="I149" s="2375"/>
      <c r="J149" s="2374"/>
      <c r="K149" s="2374"/>
      <c r="L149" s="2375"/>
      <c r="M149" s="2374"/>
      <c r="N149" s="2374"/>
      <c r="O149" s="2375"/>
      <c r="P149" s="2374"/>
      <c r="Q149" s="2374"/>
      <c r="R149" s="2376"/>
    </row>
    <row r="150" spans="2:18" s="2364" customFormat="1">
      <c r="B150" s="2374"/>
      <c r="C150" s="2374"/>
      <c r="D150" s="2374"/>
      <c r="E150" s="2374"/>
      <c r="F150" s="2374"/>
      <c r="G150" s="2375"/>
      <c r="H150" s="2374"/>
      <c r="I150" s="2375"/>
      <c r="J150" s="2374"/>
      <c r="K150" s="2374"/>
      <c r="L150" s="2375"/>
      <c r="M150" s="2374"/>
      <c r="N150" s="2374"/>
      <c r="O150" s="2375"/>
      <c r="P150" s="2374"/>
      <c r="Q150" s="2374"/>
      <c r="R150" s="2376"/>
    </row>
    <row r="151" spans="2:18" s="2364" customFormat="1">
      <c r="B151" s="2374"/>
      <c r="C151" s="2374"/>
      <c r="D151" s="2374"/>
      <c r="E151" s="2374"/>
      <c r="F151" s="2374"/>
      <c r="G151" s="2375"/>
      <c r="H151" s="2374"/>
      <c r="I151" s="2375"/>
      <c r="J151" s="2374"/>
      <c r="K151" s="2374"/>
      <c r="L151" s="2375"/>
      <c r="M151" s="2374"/>
      <c r="N151" s="2374"/>
      <c r="O151" s="2375"/>
      <c r="P151" s="2374"/>
      <c r="Q151" s="2374"/>
      <c r="R151" s="2376"/>
    </row>
    <row r="152" spans="2:18" s="2364" customFormat="1">
      <c r="B152" s="2374"/>
      <c r="C152" s="2374"/>
      <c r="D152" s="2374"/>
      <c r="E152" s="2374"/>
      <c r="F152" s="2374"/>
      <c r="G152" s="2375"/>
      <c r="H152" s="2374"/>
      <c r="I152" s="2375"/>
      <c r="J152" s="2374"/>
      <c r="K152" s="2374"/>
      <c r="L152" s="2375"/>
      <c r="M152" s="2374"/>
      <c r="N152" s="2374"/>
      <c r="O152" s="2375"/>
      <c r="P152" s="2374"/>
      <c r="Q152" s="2374"/>
      <c r="R152" s="2376"/>
    </row>
    <row r="153" spans="2:18" s="2364" customFormat="1">
      <c r="B153" s="2374"/>
      <c r="C153" s="2374"/>
      <c r="D153" s="2374"/>
      <c r="E153" s="2374"/>
      <c r="F153" s="2374"/>
      <c r="G153" s="2375"/>
      <c r="H153" s="2374"/>
      <c r="I153" s="2375"/>
      <c r="J153" s="2374"/>
      <c r="K153" s="2374"/>
      <c r="L153" s="2375"/>
      <c r="M153" s="2374"/>
      <c r="N153" s="2374"/>
      <c r="O153" s="2375"/>
      <c r="P153" s="2374"/>
      <c r="Q153" s="2374"/>
      <c r="R153" s="2376"/>
    </row>
    <row r="154" spans="2:18" s="2364" customFormat="1">
      <c r="B154" s="2374"/>
      <c r="C154" s="2374"/>
      <c r="D154" s="2374"/>
      <c r="E154" s="2374"/>
      <c r="F154" s="2374"/>
      <c r="G154" s="2375"/>
      <c r="H154" s="2374"/>
      <c r="I154" s="2375"/>
      <c r="J154" s="2374"/>
      <c r="K154" s="2374"/>
      <c r="L154" s="2375"/>
      <c r="M154" s="2374"/>
      <c r="N154" s="2374"/>
      <c r="O154" s="2375"/>
      <c r="P154" s="2374"/>
      <c r="Q154" s="2374"/>
      <c r="R154" s="2376"/>
    </row>
    <row r="155" spans="2:18" s="2364" customFormat="1">
      <c r="B155" s="2374"/>
      <c r="C155" s="2374"/>
      <c r="D155" s="2374"/>
      <c r="E155" s="2374"/>
      <c r="F155" s="2374"/>
      <c r="G155" s="2375"/>
      <c r="H155" s="2374"/>
      <c r="I155" s="2375"/>
      <c r="J155" s="2374"/>
      <c r="K155" s="2374"/>
      <c r="L155" s="2375"/>
      <c r="M155" s="2374"/>
      <c r="N155" s="2374"/>
      <c r="O155" s="2375"/>
      <c r="P155" s="2374"/>
      <c r="Q155" s="2374"/>
      <c r="R155" s="2376"/>
    </row>
    <row r="156" spans="2:18" s="2364" customFormat="1">
      <c r="B156" s="2374"/>
      <c r="C156" s="2374"/>
      <c r="D156" s="2374"/>
      <c r="E156" s="2374"/>
      <c r="F156" s="2374"/>
      <c r="G156" s="2375"/>
      <c r="H156" s="2374"/>
      <c r="I156" s="2375"/>
      <c r="J156" s="2374"/>
      <c r="K156" s="2374"/>
      <c r="L156" s="2375"/>
      <c r="M156" s="2374"/>
      <c r="N156" s="2374"/>
      <c r="O156" s="2375"/>
      <c r="P156" s="2374"/>
      <c r="Q156" s="2374"/>
      <c r="R156" s="2376"/>
    </row>
    <row r="157" spans="2:18" s="2364" customFormat="1">
      <c r="B157" s="2374"/>
      <c r="C157" s="2374"/>
      <c r="D157" s="2374"/>
      <c r="E157" s="2374"/>
      <c r="F157" s="2374"/>
      <c r="G157" s="2375"/>
      <c r="H157" s="2374"/>
      <c r="I157" s="2375"/>
      <c r="J157" s="2374"/>
      <c r="K157" s="2374"/>
      <c r="L157" s="2375"/>
      <c r="M157" s="2374"/>
      <c r="N157" s="2374"/>
      <c r="O157" s="2375"/>
      <c r="P157" s="2374"/>
      <c r="Q157" s="2374"/>
      <c r="R157" s="2376"/>
    </row>
    <row r="158" spans="2:18" s="2364" customFormat="1">
      <c r="B158" s="2374"/>
      <c r="C158" s="2374"/>
      <c r="D158" s="2374"/>
      <c r="E158" s="2374"/>
      <c r="F158" s="2374"/>
      <c r="G158" s="2375"/>
      <c r="H158" s="2374"/>
      <c r="I158" s="2375"/>
      <c r="J158" s="2374"/>
      <c r="K158" s="2374"/>
      <c r="L158" s="2375"/>
      <c r="M158" s="2374"/>
      <c r="N158" s="2374"/>
      <c r="O158" s="2375"/>
      <c r="P158" s="2374"/>
      <c r="Q158" s="2374"/>
      <c r="R158" s="2376"/>
    </row>
    <row r="159" spans="2:18" s="2364" customFormat="1">
      <c r="B159" s="2374"/>
      <c r="C159" s="2374"/>
      <c r="D159" s="2374"/>
      <c r="E159" s="2374"/>
      <c r="F159" s="2374"/>
      <c r="G159" s="2375"/>
      <c r="H159" s="2374"/>
      <c r="I159" s="2375"/>
      <c r="J159" s="2374"/>
      <c r="K159" s="2374"/>
      <c r="L159" s="2375"/>
      <c r="M159" s="2374"/>
      <c r="N159" s="2374"/>
      <c r="O159" s="2375"/>
      <c r="P159" s="2374"/>
      <c r="Q159" s="2374"/>
      <c r="R159" s="2376"/>
    </row>
    <row r="160" spans="2:18" s="2364" customFormat="1">
      <c r="B160" s="2374"/>
      <c r="C160" s="2374"/>
      <c r="D160" s="2374"/>
      <c r="E160" s="2374"/>
      <c r="F160" s="2374"/>
      <c r="G160" s="2375"/>
      <c r="H160" s="2374"/>
      <c r="I160" s="2375"/>
      <c r="J160" s="2374"/>
      <c r="K160" s="2374"/>
      <c r="L160" s="2375"/>
      <c r="M160" s="2374"/>
      <c r="N160" s="2374"/>
      <c r="O160" s="2375"/>
      <c r="P160" s="2374"/>
      <c r="Q160" s="2374"/>
      <c r="R160" s="2376"/>
    </row>
    <row r="161" spans="2:18" s="2364" customFormat="1">
      <c r="B161" s="2374"/>
      <c r="C161" s="2374"/>
      <c r="D161" s="2374"/>
      <c r="E161" s="2374"/>
      <c r="F161" s="2374"/>
      <c r="G161" s="2375"/>
      <c r="H161" s="2374"/>
      <c r="I161" s="2375"/>
      <c r="J161" s="2374"/>
      <c r="K161" s="2374"/>
      <c r="L161" s="2375"/>
      <c r="M161" s="2374"/>
      <c r="N161" s="2374"/>
      <c r="O161" s="2375"/>
      <c r="P161" s="2374"/>
      <c r="Q161" s="2374"/>
      <c r="R161" s="2376"/>
    </row>
    <row r="162" spans="2:18" s="2364" customFormat="1">
      <c r="B162" s="2374"/>
      <c r="C162" s="2374"/>
      <c r="D162" s="2374"/>
      <c r="E162" s="2374"/>
      <c r="F162" s="2374"/>
      <c r="G162" s="2375"/>
      <c r="H162" s="2374"/>
      <c r="I162" s="2375"/>
      <c r="J162" s="2374"/>
      <c r="K162" s="2374"/>
      <c r="L162" s="2375"/>
      <c r="M162" s="2374"/>
      <c r="N162" s="2374"/>
      <c r="O162" s="2375"/>
      <c r="P162" s="2374"/>
      <c r="Q162" s="2374"/>
      <c r="R162" s="2376"/>
    </row>
    <row r="163" spans="2:18" s="2364" customFormat="1">
      <c r="B163" s="2374"/>
      <c r="C163" s="2374"/>
      <c r="D163" s="2374"/>
      <c r="E163" s="2374"/>
      <c r="F163" s="2374"/>
      <c r="G163" s="2375"/>
      <c r="H163" s="2374"/>
      <c r="I163" s="2375"/>
      <c r="J163" s="2374"/>
      <c r="K163" s="2374"/>
      <c r="L163" s="2375"/>
      <c r="M163" s="2374"/>
      <c r="N163" s="2374"/>
      <c r="O163" s="2375"/>
      <c r="P163" s="2374"/>
      <c r="Q163" s="2374"/>
      <c r="R163" s="2376"/>
    </row>
    <row r="164" spans="2:18" s="2364" customFormat="1">
      <c r="B164" s="2374"/>
      <c r="C164" s="2374"/>
      <c r="D164" s="2374"/>
      <c r="E164" s="2374"/>
      <c r="F164" s="2374"/>
      <c r="G164" s="2375"/>
      <c r="H164" s="2374"/>
      <c r="I164" s="2375"/>
      <c r="J164" s="2374"/>
      <c r="K164" s="2374"/>
      <c r="L164" s="2375"/>
      <c r="M164" s="2374"/>
      <c r="N164" s="2374"/>
      <c r="O164" s="2375"/>
      <c r="P164" s="2374"/>
      <c r="Q164" s="2374"/>
      <c r="R164" s="2376"/>
    </row>
    <row r="165" spans="2:18" s="2364" customFormat="1">
      <c r="B165" s="2374"/>
      <c r="C165" s="2374"/>
      <c r="D165" s="2374"/>
      <c r="E165" s="2374"/>
      <c r="F165" s="2374"/>
      <c r="G165" s="2375"/>
      <c r="H165" s="2374"/>
      <c r="I165" s="2375"/>
      <c r="J165" s="2374"/>
      <c r="K165" s="2374"/>
      <c r="L165" s="2375"/>
      <c r="M165" s="2374"/>
      <c r="N165" s="2374"/>
      <c r="O165" s="2375"/>
      <c r="P165" s="2374"/>
      <c r="Q165" s="2374"/>
      <c r="R165" s="2376"/>
    </row>
    <row r="166" spans="2:18" s="2364" customFormat="1">
      <c r="B166" s="2374"/>
      <c r="C166" s="2374"/>
      <c r="D166" s="2374"/>
      <c r="E166" s="2374"/>
      <c r="F166" s="2374"/>
      <c r="G166" s="2375"/>
      <c r="H166" s="2374"/>
      <c r="I166" s="2375"/>
      <c r="J166" s="2374"/>
      <c r="K166" s="2374"/>
      <c r="L166" s="2375"/>
      <c r="M166" s="2374"/>
      <c r="N166" s="2374"/>
      <c r="O166" s="2375"/>
      <c r="P166" s="2374"/>
      <c r="Q166" s="2374"/>
      <c r="R166" s="2376"/>
    </row>
    <row r="167" spans="2:18" s="2364" customFormat="1">
      <c r="B167" s="2374"/>
      <c r="C167" s="2374"/>
      <c r="D167" s="2374"/>
      <c r="E167" s="2374"/>
      <c r="F167" s="2374"/>
      <c r="G167" s="2375"/>
      <c r="H167" s="2374"/>
      <c r="I167" s="2375"/>
      <c r="J167" s="2374"/>
      <c r="K167" s="2374"/>
      <c r="L167" s="2375"/>
      <c r="M167" s="2374"/>
      <c r="N167" s="2374"/>
      <c r="O167" s="2375"/>
      <c r="P167" s="2374"/>
      <c r="Q167" s="2374"/>
      <c r="R167" s="2376"/>
    </row>
    <row r="168" spans="2:18" s="2364" customFormat="1">
      <c r="B168" s="2374"/>
      <c r="C168" s="2374"/>
      <c r="D168" s="2374"/>
      <c r="E168" s="2374"/>
      <c r="F168" s="2374"/>
      <c r="G168" s="2375"/>
      <c r="H168" s="2374"/>
      <c r="I168" s="2375"/>
      <c r="J168" s="2374"/>
      <c r="K168" s="2374"/>
      <c r="L168" s="2375"/>
      <c r="M168" s="2374"/>
      <c r="N168" s="2374"/>
      <c r="O168" s="2375"/>
      <c r="P168" s="2374"/>
      <c r="Q168" s="2374"/>
      <c r="R168" s="2376"/>
    </row>
    <row r="169" spans="2:18" s="2364" customFormat="1">
      <c r="B169" s="2374"/>
      <c r="C169" s="2374"/>
      <c r="D169" s="2374"/>
      <c r="E169" s="2374"/>
      <c r="F169" s="2374"/>
      <c r="G169" s="2375"/>
      <c r="H169" s="2374"/>
      <c r="I169" s="2375"/>
      <c r="J169" s="2374"/>
      <c r="K169" s="2374"/>
      <c r="L169" s="2375"/>
      <c r="M169" s="2374"/>
      <c r="N169" s="2374"/>
      <c r="O169" s="2375"/>
      <c r="P169" s="2374"/>
      <c r="Q169" s="2374"/>
      <c r="R169" s="2376"/>
    </row>
    <row r="170" spans="2:18" s="2364" customFormat="1">
      <c r="B170" s="2374"/>
      <c r="C170" s="2374"/>
      <c r="D170" s="2374"/>
      <c r="E170" s="2374"/>
      <c r="F170" s="2374"/>
      <c r="G170" s="2375"/>
      <c r="H170" s="2374"/>
      <c r="I170" s="2375"/>
      <c r="J170" s="2374"/>
      <c r="K170" s="2374"/>
      <c r="L170" s="2375"/>
      <c r="M170" s="2374"/>
      <c r="N170" s="2374"/>
      <c r="O170" s="2375"/>
      <c r="P170" s="2374"/>
      <c r="Q170" s="2374"/>
      <c r="R170" s="2376"/>
    </row>
    <row r="171" spans="2:18" s="2364" customFormat="1">
      <c r="B171" s="2374"/>
      <c r="C171" s="2374"/>
      <c r="D171" s="2374"/>
      <c r="E171" s="2374"/>
      <c r="F171" s="2374"/>
      <c r="G171" s="2375"/>
      <c r="H171" s="2374"/>
      <c r="I171" s="2375"/>
      <c r="J171" s="2374"/>
      <c r="K171" s="2374"/>
      <c r="L171" s="2375"/>
      <c r="M171" s="2374"/>
      <c r="N171" s="2374"/>
      <c r="O171" s="2375"/>
      <c r="P171" s="2374"/>
      <c r="Q171" s="2374"/>
      <c r="R171" s="2376"/>
    </row>
    <row r="172" spans="2:18" s="2364" customFormat="1">
      <c r="B172" s="2374"/>
      <c r="C172" s="2374"/>
      <c r="D172" s="2374"/>
      <c r="E172" s="2374"/>
      <c r="F172" s="2374"/>
      <c r="G172" s="2375"/>
      <c r="H172" s="2374"/>
      <c r="I172" s="2375"/>
      <c r="J172" s="2374"/>
      <c r="K172" s="2374"/>
      <c r="L172" s="2375"/>
      <c r="M172" s="2374"/>
      <c r="N172" s="2374"/>
      <c r="O172" s="2375"/>
      <c r="P172" s="2374"/>
      <c r="Q172" s="2374"/>
      <c r="R172" s="2376"/>
    </row>
    <row r="173" spans="2:18" s="2364" customFormat="1">
      <c r="B173" s="2374"/>
      <c r="C173" s="2374"/>
      <c r="D173" s="2374"/>
      <c r="E173" s="2374"/>
      <c r="F173" s="2374"/>
      <c r="G173" s="2375"/>
      <c r="H173" s="2374"/>
      <c r="I173" s="2375"/>
      <c r="J173" s="2374"/>
      <c r="K173" s="2374"/>
      <c r="L173" s="2375"/>
      <c r="M173" s="2374"/>
      <c r="N173" s="2374"/>
      <c r="O173" s="2375"/>
      <c r="P173" s="2374"/>
      <c r="Q173" s="2374"/>
      <c r="R173" s="2376"/>
    </row>
    <row r="174" spans="2:18" s="2364" customFormat="1">
      <c r="B174" s="2374"/>
      <c r="C174" s="2374"/>
      <c r="D174" s="2374"/>
      <c r="E174" s="2374"/>
      <c r="F174" s="2374"/>
      <c r="G174" s="2375"/>
      <c r="H174" s="2374"/>
      <c r="I174" s="2375"/>
      <c r="J174" s="2374"/>
      <c r="K174" s="2374"/>
      <c r="L174" s="2375"/>
      <c r="M174" s="2374"/>
      <c r="N174" s="2374"/>
      <c r="O174" s="2375"/>
      <c r="P174" s="2374"/>
      <c r="Q174" s="2374"/>
      <c r="R174" s="2376"/>
    </row>
    <row r="175" spans="2:18" s="2364" customFormat="1">
      <c r="B175" s="2374"/>
      <c r="C175" s="2374"/>
      <c r="D175" s="2374"/>
      <c r="E175" s="2374"/>
      <c r="F175" s="2374"/>
      <c r="G175" s="2375"/>
      <c r="H175" s="2374"/>
      <c r="I175" s="2375"/>
      <c r="J175" s="2374"/>
      <c r="K175" s="2374"/>
      <c r="L175" s="2375"/>
      <c r="M175" s="2374"/>
      <c r="N175" s="2374"/>
      <c r="O175" s="2375"/>
      <c r="P175" s="2374"/>
      <c r="Q175" s="2374"/>
      <c r="R175" s="2376"/>
    </row>
    <row r="176" spans="2:18" s="2364" customFormat="1">
      <c r="B176" s="2374"/>
      <c r="C176" s="2374"/>
      <c r="D176" s="2374"/>
      <c r="E176" s="2374"/>
      <c r="F176" s="2374"/>
      <c r="G176" s="2375"/>
      <c r="H176" s="2374"/>
      <c r="I176" s="2375"/>
      <c r="J176" s="2374"/>
      <c r="K176" s="2374"/>
      <c r="L176" s="2375"/>
      <c r="M176" s="2374"/>
      <c r="N176" s="2374"/>
      <c r="O176" s="2375"/>
      <c r="P176" s="2374"/>
      <c r="Q176" s="2374"/>
      <c r="R176" s="2376"/>
    </row>
    <row r="177" spans="1:18" s="2364" customFormat="1">
      <c r="B177" s="2374"/>
      <c r="C177" s="2374"/>
      <c r="D177" s="2374"/>
      <c r="E177" s="2374"/>
      <c r="F177" s="2374"/>
      <c r="G177" s="2375"/>
      <c r="H177" s="2374"/>
      <c r="I177" s="2375"/>
      <c r="J177" s="2374"/>
      <c r="K177" s="2374"/>
      <c r="L177" s="2375"/>
      <c r="M177" s="2374"/>
      <c r="N177" s="2374"/>
      <c r="O177" s="2375"/>
      <c r="P177" s="2374"/>
      <c r="Q177" s="2374"/>
      <c r="R177" s="2376"/>
    </row>
    <row r="178" spans="1:18" s="2364" customFormat="1">
      <c r="B178" s="2374"/>
      <c r="C178" s="2374"/>
      <c r="D178" s="2374"/>
      <c r="E178" s="2374"/>
      <c r="F178" s="2374"/>
      <c r="G178" s="2375"/>
      <c r="H178" s="2374"/>
      <c r="I178" s="2375"/>
      <c r="J178" s="2374"/>
      <c r="K178" s="2374"/>
      <c r="L178" s="2375"/>
      <c r="M178" s="2374"/>
      <c r="N178" s="2374"/>
      <c r="O178" s="2375"/>
      <c r="P178" s="2374"/>
      <c r="Q178" s="2374"/>
      <c r="R178" s="2376"/>
    </row>
    <row r="179" spans="1:18" s="2364" customFormat="1">
      <c r="B179" s="2374"/>
      <c r="C179" s="2374"/>
      <c r="D179" s="2374"/>
      <c r="E179" s="2374"/>
      <c r="F179" s="2374"/>
      <c r="G179" s="2375"/>
      <c r="H179" s="2374"/>
      <c r="I179" s="2375"/>
      <c r="J179" s="2374"/>
      <c r="K179" s="2374"/>
      <c r="L179" s="2375"/>
      <c r="M179" s="2374"/>
      <c r="N179" s="2374"/>
      <c r="O179" s="2375"/>
      <c r="P179" s="2374"/>
      <c r="Q179" s="2374"/>
      <c r="R179" s="2376"/>
    </row>
    <row r="180" spans="1:18" s="2364" customFormat="1">
      <c r="B180" s="2374"/>
      <c r="C180" s="2374"/>
      <c r="D180" s="2374"/>
      <c r="E180" s="2374"/>
      <c r="F180" s="2374"/>
      <c r="G180" s="2375"/>
      <c r="H180" s="2374"/>
      <c r="I180" s="2375"/>
      <c r="J180" s="2374"/>
      <c r="K180" s="2374"/>
      <c r="L180" s="2375"/>
      <c r="M180" s="2374"/>
      <c r="N180" s="2374"/>
      <c r="O180" s="2375"/>
      <c r="P180" s="2374"/>
      <c r="Q180" s="2374"/>
      <c r="R180" s="2376"/>
    </row>
    <row r="181" spans="1:18" s="2364" customFormat="1">
      <c r="B181" s="2374"/>
      <c r="C181" s="2374"/>
      <c r="D181" s="2374"/>
      <c r="E181" s="2374"/>
      <c r="F181" s="2374"/>
      <c r="G181" s="2375"/>
      <c r="H181" s="2374"/>
      <c r="I181" s="2375"/>
      <c r="J181" s="2374"/>
      <c r="K181" s="2374"/>
      <c r="L181" s="2375"/>
      <c r="M181" s="2374"/>
      <c r="N181" s="2374"/>
      <c r="O181" s="2375"/>
      <c r="P181" s="2374"/>
      <c r="Q181" s="2374"/>
      <c r="R181" s="2376"/>
    </row>
    <row r="182" spans="1:18" s="2364" customFormat="1">
      <c r="B182" s="2374"/>
      <c r="C182" s="2374"/>
      <c r="D182" s="2374"/>
      <c r="E182" s="2374"/>
      <c r="F182" s="2374"/>
      <c r="G182" s="2375"/>
      <c r="H182" s="2374"/>
      <c r="I182" s="2375"/>
      <c r="J182" s="2374"/>
      <c r="K182" s="2374"/>
      <c r="L182" s="2375"/>
      <c r="M182" s="2374"/>
      <c r="N182" s="2374"/>
      <c r="O182" s="2375"/>
      <c r="P182" s="2374"/>
      <c r="Q182" s="2374"/>
      <c r="R182" s="2376"/>
    </row>
    <row r="183" spans="1:18" s="2364" customFormat="1">
      <c r="B183" s="2374"/>
      <c r="C183" s="2374"/>
      <c r="D183" s="2374"/>
      <c r="E183" s="2374"/>
      <c r="F183" s="2374"/>
      <c r="G183" s="2375"/>
      <c r="H183" s="2374"/>
      <c r="I183" s="2375"/>
      <c r="J183" s="2374"/>
      <c r="K183" s="2374"/>
      <c r="L183" s="2375"/>
      <c r="M183" s="2374"/>
      <c r="N183" s="2374"/>
      <c r="O183" s="2375"/>
      <c r="P183" s="2374"/>
      <c r="Q183" s="2374"/>
      <c r="R183" s="2376"/>
    </row>
    <row r="184" spans="1:18" s="2364" customFormat="1">
      <c r="B184" s="2374"/>
      <c r="C184" s="2374"/>
      <c r="D184" s="2374"/>
      <c r="E184" s="2374"/>
      <c r="F184" s="2374"/>
      <c r="G184" s="2375"/>
      <c r="H184" s="2374"/>
      <c r="I184" s="2375"/>
      <c r="J184" s="2374"/>
      <c r="K184" s="2374"/>
      <c r="L184" s="2375"/>
      <c r="M184" s="2374"/>
      <c r="N184" s="2374"/>
      <c r="O184" s="2375"/>
      <c r="P184" s="2374"/>
      <c r="Q184" s="2374"/>
      <c r="R184" s="2376"/>
    </row>
    <row r="185" spans="1:18" s="2364" customFormat="1">
      <c r="B185" s="2374"/>
      <c r="C185" s="2374"/>
      <c r="D185" s="2374"/>
      <c r="E185" s="2374"/>
      <c r="F185" s="2374"/>
      <c r="G185" s="2375"/>
      <c r="H185" s="2374"/>
      <c r="I185" s="2375"/>
      <c r="J185" s="2374"/>
      <c r="K185" s="2374"/>
      <c r="L185" s="2375"/>
      <c r="M185" s="2374"/>
      <c r="N185" s="2374"/>
      <c r="O185" s="2375"/>
      <c r="P185" s="2374"/>
      <c r="Q185" s="2374"/>
      <c r="R185" s="2376"/>
    </row>
    <row r="186" spans="1:18">
      <c r="A186" s="2364"/>
      <c r="B186" s="2374"/>
      <c r="C186" s="2374"/>
      <c r="E186" s="2374"/>
      <c r="F186" s="2374"/>
      <c r="G186" s="2375"/>
    </row>
    <row r="187" spans="1:18">
      <c r="A187" s="2364"/>
      <c r="B187" s="2374"/>
      <c r="C187" s="2374"/>
      <c r="E187" s="2374"/>
      <c r="F187" s="2374"/>
      <c r="G187" s="237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C23" sqref="C22:C23"/>
    </sheetView>
  </sheetViews>
  <sheetFormatPr defaultRowHeight="13.5"/>
  <cols>
    <col min="1" max="1" width="23.375" style="1740" customWidth="1"/>
    <col min="2" max="9" width="15.75" style="1740" customWidth="1"/>
    <col min="10" max="16384" width="9" style="1740"/>
  </cols>
  <sheetData>
    <row r="1" spans="1:10" ht="16.5">
      <c r="A1" s="1745" t="s">
        <v>1365</v>
      </c>
      <c r="B1" s="1745">
        <f>SUM(B14:B23)</f>
        <v>141047.6</v>
      </c>
      <c r="C1" s="1744"/>
      <c r="D1" s="1744"/>
      <c r="E1" s="1744"/>
      <c r="F1" s="1744"/>
      <c r="G1" s="1742"/>
    </row>
    <row r="2" spans="1:10" ht="16.5">
      <c r="A2" s="1745" t="s">
        <v>1353</v>
      </c>
      <c r="B2" s="1745">
        <f>SUM(C14:C23)</f>
        <v>9195.5499999999993</v>
      </c>
      <c r="C2" s="1744"/>
      <c r="D2" s="1744"/>
      <c r="E2" s="1744"/>
      <c r="F2" s="1744"/>
      <c r="G2" s="1742"/>
    </row>
    <row r="3" spans="1:10" ht="16.5">
      <c r="A3" s="1745" t="s">
        <v>1362</v>
      </c>
      <c r="B3" s="1746">
        <f>项目基本情况!D3</f>
        <v>43395</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1502345</v>
      </c>
      <c r="C5" s="1745">
        <f ca="1">ROUND(B5*10000/$B$1,0)</f>
        <v>106513</v>
      </c>
      <c r="D5" s="1745">
        <f ca="1">ROUND(B5*10000/$B$2,0)</f>
        <v>1633774</v>
      </c>
      <c r="E5" s="1744"/>
      <c r="F5" s="1742"/>
      <c r="G5" s="1742"/>
    </row>
    <row r="6" spans="1:10" ht="16.5">
      <c r="A6" s="1745" t="s">
        <v>1356</v>
      </c>
      <c r="B6" s="1745">
        <f ca="1">SUM(G14:G23)</f>
        <v>1502345</v>
      </c>
      <c r="C6" s="1745">
        <f ca="1">ROUND(B6*10000/$B$1,0)</f>
        <v>106513</v>
      </c>
      <c r="D6" s="1745">
        <f ca="1">ROUND(B6*10000/$B$2,0)</f>
        <v>1633774</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'结果表（办公）'!B118</f>
        <v>107191.97</v>
      </c>
      <c r="C14" s="1743">
        <f>'结果表（办公）'!C118</f>
        <v>6988.34</v>
      </c>
      <c r="D14" s="1743">
        <f ca="1">'结果表（办公）'!H118</f>
        <v>1368578</v>
      </c>
      <c r="E14" s="1743">
        <f ca="1">ROUND(D14*10000/B14,0)</f>
        <v>127675</v>
      </c>
      <c r="F14" s="1743">
        <f ca="1">ROUND(D14*10000/C14,0)</f>
        <v>1958374</v>
      </c>
      <c r="G14" s="1743">
        <f ca="1">'结果表（办公）'!D122</f>
        <v>1368578</v>
      </c>
      <c r="H14" s="1743" t="str">
        <f>'结果表（办公）'!D124</f>
        <v>——</v>
      </c>
      <c r="I14" s="1743" t="str">
        <f>'结果表（办公）'!D126</f>
        <v>——</v>
      </c>
      <c r="J14" s="1742"/>
    </row>
    <row r="15" spans="1:10" ht="16.5">
      <c r="A15" s="1741" t="s">
        <v>1349</v>
      </c>
      <c r="B15" s="1748">
        <f>'结果表（商业）'!B118</f>
        <v>10535.52</v>
      </c>
      <c r="C15" s="1748">
        <f>'结果表（商业）'!C118</f>
        <v>686.86</v>
      </c>
      <c r="D15" s="1748">
        <f ca="1">'结果表（商业）'!H118</f>
        <v>87846</v>
      </c>
      <c r="E15" s="1743">
        <f t="shared" ref="E15:E23" ca="1" si="0">ROUND(D15*10000/B15,0)</f>
        <v>83381</v>
      </c>
      <c r="F15" s="1743">
        <f t="shared" ref="F15:F23" ca="1" si="1">ROUND(D15*10000/C15,0)</f>
        <v>1278951</v>
      </c>
      <c r="G15" s="1749">
        <f ca="1">D15</f>
        <v>87846</v>
      </c>
      <c r="H15" s="1749"/>
      <c r="I15" s="1748"/>
      <c r="J15" s="1742"/>
    </row>
    <row r="16" spans="1:10" ht="16.5">
      <c r="A16" s="1741" t="s">
        <v>1348</v>
      </c>
      <c r="B16" s="1748">
        <f>'结果表（地下车库）'!B118</f>
        <v>23320.11</v>
      </c>
      <c r="C16" s="1748">
        <f>'结果表（地下车库）'!C118</f>
        <v>1520.35</v>
      </c>
      <c r="D16" s="1748">
        <f ca="1">'结果表（地下车库）'!H118</f>
        <v>45921</v>
      </c>
      <c r="E16" s="1743">
        <f t="shared" ca="1" si="0"/>
        <v>19692</v>
      </c>
      <c r="F16" s="1743">
        <f t="shared" ca="1" si="1"/>
        <v>302042</v>
      </c>
      <c r="G16" s="1749">
        <f ca="1">D16</f>
        <v>45921</v>
      </c>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2"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E24" sqref="E24"/>
    </sheetView>
  </sheetViews>
  <sheetFormatPr defaultColWidth="12.625" defaultRowHeight="21.75" customHeight="1"/>
  <cols>
    <col min="1" max="2" width="12.625" style="2386"/>
    <col min="3" max="4" width="12.625" style="2386" customWidth="1"/>
    <col min="5" max="9" width="12.625" style="2386"/>
    <col min="10" max="11" width="12.625" style="794" customWidth="1"/>
    <col min="12" max="12" width="12.625" style="794"/>
    <col min="13" max="13" width="14.125" style="794" bestFit="1" customWidth="1"/>
    <col min="14" max="26" width="12.625" style="794"/>
    <col min="27" max="35" width="12.625" style="2385"/>
    <col min="36" max="16384" width="12.625" style="2386"/>
  </cols>
  <sheetData>
    <row r="1" spans="1:12" ht="21.75" customHeight="1" thickBot="1">
      <c r="A1" s="2227" t="s">
        <v>2088</v>
      </c>
      <c r="B1" s="2380"/>
      <c r="C1" s="2381" t="s">
        <v>27</v>
      </c>
      <c r="D1" s="2380"/>
      <c r="E1" s="2380"/>
      <c r="F1" s="2382" t="s">
        <v>2089</v>
      </c>
      <c r="G1" s="2072" t="s">
        <v>3235</v>
      </c>
      <c r="H1" s="2383" t="str">
        <f>IF(G1="现房","——","估价对象范围")</f>
        <v>——</v>
      </c>
      <c r="I1" s="2384" t="s">
        <v>3374</v>
      </c>
    </row>
    <row r="2" spans="1:12" ht="21.75" customHeight="1" thickBot="1">
      <c r="A2" s="3232" t="str">
        <f>项目基本情况!S2</f>
        <v>北京市财源国际大厦A、B座房地产</v>
      </c>
      <c r="B2" s="3233"/>
      <c r="C2" s="3233"/>
      <c r="D2" s="3233"/>
      <c r="E2" s="3233"/>
      <c r="F2" s="3233"/>
      <c r="G2" s="3233"/>
      <c r="H2" s="3233"/>
      <c r="I2" s="3234"/>
    </row>
    <row r="3" spans="1:12" ht="12.75">
      <c r="A3" s="3236" t="s">
        <v>2090</v>
      </c>
      <c r="B3" s="3237"/>
      <c r="C3" s="3237"/>
      <c r="D3" s="3237"/>
      <c r="E3" s="3237"/>
      <c r="F3" s="3237"/>
      <c r="G3" s="3237"/>
      <c r="H3" s="3237"/>
      <c r="I3" s="3237"/>
    </row>
    <row r="4" spans="1:12" ht="14.25">
      <c r="A4" s="2387" t="s">
        <v>2091</v>
      </c>
      <c r="B4" s="2388" t="s">
        <v>2092</v>
      </c>
      <c r="C4" s="2389" t="s">
        <v>3372</v>
      </c>
      <c r="D4" s="2389" t="s">
        <v>3256</v>
      </c>
      <c r="E4" s="3229" t="s">
        <v>2093</v>
      </c>
      <c r="F4" s="3230"/>
      <c r="G4" s="3230"/>
      <c r="H4" s="3230"/>
      <c r="I4" s="3238"/>
      <c r="K4" s="2390" t="str">
        <f>IF(ISNUMBER(FIND("比较法",'结果表（办公）'!C4)),"比较法",IF(ISNUMBER(FIND("成本法",'结果表（办公）'!C4)),"成本法",IF(ISNUMBER(FIND("假设开发法",'结果表（办公）'!C4)),"假设开发法",IF(ISNUMBER(FIND("收益法",'结果表（办公）'!C4)),"收益法","基准地价系数修正法"))))</f>
        <v>比较法</v>
      </c>
      <c r="L4" s="2390"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212" t="s">
        <v>2094</v>
      </c>
      <c r="B5" s="3150">
        <v>25</v>
      </c>
      <c r="C5" s="3215"/>
      <c r="D5" s="3235"/>
      <c r="E5" s="139" t="s">
        <v>2095</v>
      </c>
      <c r="F5" s="2391"/>
      <c r="G5" s="2391"/>
      <c r="H5" s="2391"/>
      <c r="I5" s="1833"/>
    </row>
    <row r="6" spans="1:12" ht="12.75">
      <c r="A6" s="3212"/>
      <c r="B6" s="3150"/>
      <c r="C6" s="3216"/>
      <c r="D6" s="3235"/>
      <c r="E6" s="139" t="s">
        <v>2096</v>
      </c>
      <c r="F6" s="2391"/>
      <c r="G6" s="2391"/>
      <c r="H6" s="2391"/>
      <c r="I6" s="1833"/>
    </row>
    <row r="7" spans="1:12" ht="12.75">
      <c r="A7" s="3212"/>
      <c r="B7" s="3150"/>
      <c r="C7" s="3217"/>
      <c r="D7" s="3235"/>
      <c r="E7" s="139" t="s">
        <v>2097</v>
      </c>
      <c r="F7" s="2391"/>
      <c r="G7" s="2391"/>
      <c r="H7" s="2391"/>
      <c r="I7" s="1833"/>
    </row>
    <row r="8" spans="1:12" ht="12.75">
      <c r="A8" s="3212" t="s">
        <v>2098</v>
      </c>
      <c r="B8" s="3150">
        <v>15</v>
      </c>
      <c r="C8" s="3215"/>
      <c r="D8" s="3235"/>
      <c r="E8" s="139" t="s">
        <v>2099</v>
      </c>
      <c r="F8" s="2391"/>
      <c r="G8" s="2391"/>
      <c r="H8" s="2391"/>
      <c r="I8" s="1833"/>
    </row>
    <row r="9" spans="1:12" ht="12.75">
      <c r="A9" s="3212"/>
      <c r="B9" s="3150"/>
      <c r="C9" s="3217"/>
      <c r="D9" s="3235"/>
      <c r="E9" s="139" t="s">
        <v>2100</v>
      </c>
      <c r="F9" s="2391"/>
      <c r="G9" s="2391"/>
      <c r="H9" s="2391"/>
      <c r="I9" s="1833"/>
    </row>
    <row r="10" spans="1:12" ht="12.75">
      <c r="A10" s="3212" t="s">
        <v>2101</v>
      </c>
      <c r="B10" s="3150">
        <v>15</v>
      </c>
      <c r="C10" s="3215"/>
      <c r="D10" s="3235"/>
      <c r="E10" s="139" t="s">
        <v>2102</v>
      </c>
      <c r="F10" s="2391"/>
      <c r="G10" s="2391"/>
      <c r="H10" s="2391"/>
      <c r="I10" s="1833"/>
    </row>
    <row r="11" spans="1:12" ht="12.75">
      <c r="A11" s="3212"/>
      <c r="B11" s="3150"/>
      <c r="C11" s="3217"/>
      <c r="D11" s="3235"/>
      <c r="E11" s="139" t="s">
        <v>2103</v>
      </c>
      <c r="F11" s="2391"/>
      <c r="G11" s="2391"/>
      <c r="H11" s="2391"/>
      <c r="I11" s="1833"/>
    </row>
    <row r="12" spans="1:12" ht="12.75">
      <c r="A12" s="3212" t="s">
        <v>2104</v>
      </c>
      <c r="B12" s="3150">
        <v>15</v>
      </c>
      <c r="C12" s="3215"/>
      <c r="D12" s="3235"/>
      <c r="E12" s="139" t="s">
        <v>2105</v>
      </c>
      <c r="F12" s="2391"/>
      <c r="G12" s="2391"/>
      <c r="H12" s="2391"/>
      <c r="I12" s="1833"/>
    </row>
    <row r="13" spans="1:12" ht="12.75">
      <c r="A13" s="3212"/>
      <c r="B13" s="3150"/>
      <c r="C13" s="3217"/>
      <c r="D13" s="3235"/>
      <c r="E13" s="139" t="s">
        <v>2106</v>
      </c>
      <c r="F13" s="2391"/>
      <c r="G13" s="2391"/>
      <c r="H13" s="2391"/>
      <c r="I13" s="1833"/>
    </row>
    <row r="14" spans="1:12" ht="12.75">
      <c r="A14" s="3212" t="s">
        <v>2107</v>
      </c>
      <c r="B14" s="3150">
        <v>30</v>
      </c>
      <c r="C14" s="3215">
        <v>3</v>
      </c>
      <c r="D14" s="3235">
        <v>7</v>
      </c>
      <c r="E14" s="139" t="s">
        <v>2108</v>
      </c>
      <c r="F14" s="2391"/>
      <c r="G14" s="2391"/>
      <c r="H14" s="2391"/>
      <c r="I14" s="1833"/>
    </row>
    <row r="15" spans="1:12" ht="12.75">
      <c r="A15" s="3212"/>
      <c r="B15" s="3150"/>
      <c r="C15" s="3216"/>
      <c r="D15" s="3235"/>
      <c r="E15" s="139" t="s">
        <v>2109</v>
      </c>
      <c r="F15" s="2391"/>
      <c r="G15" s="2391"/>
      <c r="H15" s="2391"/>
      <c r="I15" s="1833"/>
    </row>
    <row r="16" spans="1:12" ht="12.75">
      <c r="A16" s="3212"/>
      <c r="B16" s="3150"/>
      <c r="C16" s="3217"/>
      <c r="D16" s="3235"/>
      <c r="E16" s="139" t="s">
        <v>2110</v>
      </c>
      <c r="F16" s="2391"/>
      <c r="G16" s="2391"/>
      <c r="H16" s="2391"/>
      <c r="I16" s="1833"/>
    </row>
    <row r="17" spans="1:35" ht="15">
      <c r="A17" s="2392" t="s">
        <v>2111</v>
      </c>
      <c r="B17" s="64"/>
      <c r="C17" s="140">
        <f>SUM(C5:C16)</f>
        <v>3</v>
      </c>
      <c r="D17" s="140">
        <f>SUM(D5:D16)</f>
        <v>7</v>
      </c>
      <c r="E17" s="137"/>
      <c r="F17" s="137"/>
      <c r="G17" s="137"/>
      <c r="H17" s="137"/>
      <c r="I17" s="137"/>
      <c r="K17" s="2390"/>
      <c r="L17" s="2393" t="s">
        <v>2112</v>
      </c>
      <c r="M17" s="2393" t="s">
        <v>2113</v>
      </c>
    </row>
    <row r="18" spans="1:35" ht="15.75" thickBot="1">
      <c r="A18" s="2394" t="s">
        <v>2114</v>
      </c>
      <c r="B18" s="2395"/>
      <c r="C18" s="141">
        <f>ROUND(C17/SUM(C17:D17),2)</f>
        <v>0.3</v>
      </c>
      <c r="D18" s="141">
        <f>1-C18</f>
        <v>0.7</v>
      </c>
      <c r="E18" s="137"/>
      <c r="F18" s="137"/>
      <c r="G18" s="137"/>
      <c r="H18" s="137"/>
      <c r="I18" s="137"/>
      <c r="K18" s="2390" t="s">
        <v>2115</v>
      </c>
      <c r="L18" s="2390">
        <f>IF(C1="",'数据-汇总表'!E3,SUMIF(项目类型,C1,'数据-汇总表'!E17:E26)+SUMIF(项目类型,C1,'数据-汇总表'!I17:I26))</f>
        <v>109434.01</v>
      </c>
      <c r="M18" s="2390">
        <f>IF(C1="",'数据-汇总表'!E3,SUMIF(项目类型,C1,'数据-汇总表'!E17:E26))</f>
        <v>107191.97</v>
      </c>
    </row>
    <row r="19" spans="1:35" ht="15">
      <c r="A19" s="2396" t="s">
        <v>2116</v>
      </c>
      <c r="B19" s="2397" t="s">
        <v>2117</v>
      </c>
      <c r="C19" s="142">
        <f ca="1">SUMIF(INDIRECT("'"&amp;C4&amp;"'"&amp;"!A:A"),'结果表（办公）'!B19,INDIRECT("'"&amp;C4&amp;"'"&amp;"!B:B"))</f>
        <v>1011549</v>
      </c>
      <c r="D19" s="143">
        <f ca="1">SUMIF(INDIRECT("'"&amp;D4&amp;"'"&amp;"!A:A"),'结果表（办公）'!B19,INDIRECT("'"&amp;D4&amp;"'"&amp;"!B:B"))</f>
        <v>1521591</v>
      </c>
      <c r="E19" s="2396" t="s">
        <v>2118</v>
      </c>
      <c r="F19" s="2397" t="s">
        <v>2117</v>
      </c>
      <c r="G19" s="144">
        <f ca="1">ROUND(C19*$C$18+D19*$D$18,0)</f>
        <v>1368578</v>
      </c>
      <c r="H19" s="2398" t="s">
        <v>2119</v>
      </c>
      <c r="I19" s="137"/>
      <c r="K19" s="2390" t="s">
        <v>2120</v>
      </c>
      <c r="L19" s="2390">
        <f>IF(C1="",'数据-汇总表'!D3,SUMIF(项目类型,C1,'数据-汇总表'!D17:D26)+SUMIF(项目类型,C1,'数据-汇总表'!H17:H27))</f>
        <v>7134.51</v>
      </c>
      <c r="M19" s="2390">
        <f>IF(C1="",'数据-汇总表'!D3,SUMIF(项目类型,C1,'数据-汇总表'!D17:D26))</f>
        <v>6988.34</v>
      </c>
    </row>
    <row r="20" spans="1:35" ht="15">
      <c r="A20" s="2399"/>
      <c r="B20" s="1249" t="s">
        <v>2121</v>
      </c>
      <c r="C20" s="145">
        <f ca="1">SUMIF(INDIRECT("'"&amp;C4&amp;"'"&amp;"!A:A"),'结果表（办公）'!B20,INDIRECT("'"&amp;C4&amp;"'"&amp;"!B:B"))</f>
        <v>94368</v>
      </c>
      <c r="D20" s="146">
        <f ca="1">SUMIF(INDIRECT("'"&amp;D4&amp;"'"&amp;"!A:A"),'结果表（办公）'!B20,INDIRECT("'"&amp;D4&amp;"'"&amp;"!B:B"))</f>
        <v>141950</v>
      </c>
      <c r="E20" s="2399"/>
      <c r="F20" s="1249" t="s">
        <v>2121</v>
      </c>
      <c r="G20" s="147">
        <f ca="1">ROUND(C20*$C$18+D20*$D$18,0)</f>
        <v>127675</v>
      </c>
      <c r="H20" s="982" t="s">
        <v>2122</v>
      </c>
      <c r="I20" s="137"/>
    </row>
    <row r="21" spans="1:35" ht="15" customHeight="1" thickBot="1">
      <c r="A21" s="1002"/>
      <c r="B21" s="2400" t="s">
        <v>2123</v>
      </c>
      <c r="C21" s="788">
        <f ca="1">ROUND(C19*10000/L19,0)</f>
        <v>1417825</v>
      </c>
      <c r="D21" s="789">
        <f ca="1">ROUND(D19*10000/L19,0)</f>
        <v>2132720</v>
      </c>
      <c r="E21" s="1002"/>
      <c r="F21" s="2400" t="s">
        <v>2123</v>
      </c>
      <c r="G21" s="148">
        <f ca="1">ROUND(G19*10000/L19,0)</f>
        <v>1918251</v>
      </c>
      <c r="H21" s="2401" t="s">
        <v>2122</v>
      </c>
      <c r="I21" s="137"/>
    </row>
    <row r="22" spans="1:35" ht="15" thickBot="1">
      <c r="A22" s="2282" t="s">
        <v>2124</v>
      </c>
      <c r="B22" s="2402"/>
      <c r="C22" s="2403"/>
      <c r="D22" s="790">
        <f ca="1">IF(C19&lt;D19,D19/C19-1,C19/D19-1)</f>
        <v>0.50421877734049469</v>
      </c>
      <c r="E22" s="137"/>
      <c r="F22" s="137"/>
      <c r="G22" s="137"/>
      <c r="H22" s="137"/>
      <c r="I22" s="137"/>
    </row>
    <row r="23" spans="1:35" ht="13.5" thickBot="1">
      <c r="A23" s="2380"/>
      <c r="B23" s="2380"/>
      <c r="C23" s="2380"/>
      <c r="D23" s="2380"/>
      <c r="E23" s="137"/>
      <c r="F23" s="137"/>
      <c r="G23" s="137"/>
      <c r="H23" s="137"/>
      <c r="I23" s="137"/>
    </row>
    <row r="24" spans="1:35" ht="14.25">
      <c r="A24" s="3206" t="s">
        <v>2125</v>
      </c>
      <c r="B24" s="2397" t="s">
        <v>2117</v>
      </c>
      <c r="C24" s="144">
        <f>IF(B30=0,0,D30)</f>
        <v>0</v>
      </c>
      <c r="D24" s="2404"/>
      <c r="E24" s="137"/>
      <c r="F24" s="137"/>
      <c r="G24" s="137"/>
      <c r="H24" s="137"/>
      <c r="I24" s="137"/>
    </row>
    <row r="25" spans="1:35" ht="14.25">
      <c r="A25" s="3207"/>
      <c r="B25" s="1249" t="s">
        <v>2121</v>
      </c>
      <c r="C25" s="149">
        <f>IF(B30=0,0,C30)</f>
        <v>0</v>
      </c>
      <c r="D25" s="2405"/>
      <c r="E25" s="137"/>
      <c r="F25" s="137"/>
      <c r="G25" s="137"/>
      <c r="H25" s="137"/>
      <c r="I25" s="137"/>
    </row>
    <row r="26" spans="1:35" ht="13.5" customHeight="1">
      <c r="A26" s="2406" t="s">
        <v>2126</v>
      </c>
      <c r="B26" s="150" t="s">
        <v>2127</v>
      </c>
      <c r="C26" s="150" t="s">
        <v>2128</v>
      </c>
      <c r="D26" s="151" t="s">
        <v>2129</v>
      </c>
      <c r="E26" s="137"/>
      <c r="F26" s="137"/>
      <c r="G26" s="137"/>
      <c r="H26" s="137"/>
      <c r="I26" s="137"/>
    </row>
    <row r="27" spans="1:35" ht="14.25">
      <c r="A27" s="2406"/>
      <c r="B27" s="150">
        <v>0</v>
      </c>
      <c r="C27" s="150">
        <v>0</v>
      </c>
      <c r="D27" s="151">
        <f>ROUND(C27*B27/10000,0)</f>
        <v>0</v>
      </c>
      <c r="E27" s="137"/>
      <c r="F27" s="137"/>
      <c r="G27" s="137"/>
      <c r="H27" s="137"/>
      <c r="I27" s="137"/>
    </row>
    <row r="28" spans="1:35" ht="14.25">
      <c r="A28" s="2406"/>
      <c r="B28" s="150"/>
      <c r="C28" s="150"/>
      <c r="D28" s="151"/>
      <c r="E28" s="137"/>
      <c r="F28" s="137"/>
      <c r="G28" s="137"/>
      <c r="H28" s="137"/>
      <c r="I28" s="137"/>
    </row>
    <row r="29" spans="1:35" ht="14.25">
      <c r="A29" s="2406"/>
      <c r="B29" s="150"/>
      <c r="C29" s="150"/>
      <c r="D29" s="151"/>
      <c r="E29" s="137"/>
      <c r="F29" s="137"/>
      <c r="G29" s="137"/>
      <c r="H29" s="137"/>
      <c r="I29" s="137"/>
    </row>
    <row r="30" spans="1:35" ht="14.25">
      <c r="A30" s="150" t="s">
        <v>2130</v>
      </c>
      <c r="B30" s="150"/>
      <c r="C30" s="150"/>
      <c r="D30" s="150"/>
      <c r="E30" s="2889" t="s">
        <v>3007</v>
      </c>
      <c r="F30" s="137"/>
      <c r="G30" s="137"/>
      <c r="H30" s="137"/>
      <c r="I30" s="137"/>
    </row>
    <row r="31" spans="1:35" s="2408" customFormat="1" ht="15" thickBot="1">
      <c r="A31" s="2407"/>
      <c r="B31" s="2407"/>
      <c r="C31" s="2407"/>
      <c r="D31" s="2407"/>
      <c r="E31" s="137"/>
      <c r="F31" s="137"/>
      <c r="G31" s="137"/>
      <c r="H31" s="137"/>
      <c r="I31" s="137"/>
      <c r="J31" s="794"/>
      <c r="K31" s="794"/>
      <c r="L31" s="794"/>
      <c r="M31" s="794"/>
      <c r="N31" s="794"/>
      <c r="O31" s="794"/>
      <c r="P31" s="794"/>
      <c r="Q31" s="794"/>
      <c r="R31" s="794"/>
      <c r="S31" s="794"/>
      <c r="T31" s="794"/>
      <c r="U31" s="794"/>
      <c r="V31" s="794"/>
      <c r="W31" s="794"/>
      <c r="X31" s="794"/>
      <c r="Y31" s="794"/>
      <c r="Z31" s="794"/>
      <c r="AA31" s="2385"/>
      <c r="AB31" s="2385"/>
      <c r="AC31" s="2385"/>
      <c r="AD31" s="2385"/>
      <c r="AE31" s="2385"/>
      <c r="AF31" s="2385"/>
      <c r="AG31" s="2385"/>
      <c r="AH31" s="2385"/>
      <c r="AI31" s="2385"/>
    </row>
    <row r="32" spans="1:35" ht="15.75" thickBot="1">
      <c r="A32" s="2409" t="s">
        <v>2131</v>
      </c>
      <c r="B32" s="2410"/>
      <c r="C32" s="152">
        <f ca="1">IF(D32="总价",G19-C24,G20-C25)</f>
        <v>1368578</v>
      </c>
      <c r="D32" s="2411" t="s">
        <v>2132</v>
      </c>
      <c r="E32" s="137"/>
      <c r="F32" s="137"/>
      <c r="G32" s="137"/>
      <c r="H32" s="137"/>
      <c r="I32" s="137"/>
    </row>
    <row r="33" spans="1:15" ht="15">
      <c r="A33" s="959" t="s">
        <v>2133</v>
      </c>
      <c r="B33" s="2412"/>
      <c r="C33" s="2413" t="s">
        <v>3379</v>
      </c>
      <c r="D33" s="2414" t="s">
        <v>3256</v>
      </c>
      <c r="E33" s="2415" t="s">
        <v>2134</v>
      </c>
      <c r="F33" s="2416" t="str">
        <f>IF(D32="楼面单价","取值（单价）","取值（总价）")</f>
        <v>取值（总价）</v>
      </c>
      <c r="G33" s="137"/>
      <c r="H33" s="137"/>
      <c r="I33" s="137"/>
    </row>
    <row r="34" spans="1:15" ht="15">
      <c r="A34" s="2417"/>
      <c r="B34" s="2418" t="s">
        <v>2135</v>
      </c>
      <c r="C34" s="156">
        <f ca="1">IF(C33="自定义",F34,C32-C35)</f>
        <v>1185189</v>
      </c>
      <c r="D34" s="1057">
        <f ca="1">IF(C33="自定义",ROUND(C34/C32,3),IF(C33="收益比率",SUMIF(INDIRECT("'"&amp;D33&amp;"'"&amp;"!b:b"),"土地收益比率",INDIRECT("'"&amp;D33&amp;"'"&amp;"!c:c")),SUMIF(INDIRECT("'"&amp;D33&amp;"'"&amp;"!b:b"),"土地成本比率",INDIRECT("'"&amp;D33&amp;"'"&amp;"!c:c"))))</f>
        <v>0.86599999999999999</v>
      </c>
      <c r="E34" s="2419" t="s">
        <v>2136</v>
      </c>
      <c r="F34" s="1738"/>
      <c r="G34" s="137"/>
      <c r="H34" s="137"/>
      <c r="I34" s="137"/>
    </row>
    <row r="35" spans="1:15" ht="15.75" thickBot="1">
      <c r="A35" s="2420"/>
      <c r="B35" s="2421" t="s">
        <v>2137</v>
      </c>
      <c r="C35" s="1443">
        <f ca="1">IF(C33="自定义",F35,ROUND(C32*D35,0))</f>
        <v>183389</v>
      </c>
      <c r="D35" s="1444">
        <f ca="1">IF(C33="自定义",ROUND(C35/C32,3),IF(C33="收益比率",SUMIF(INDIRECT("'"&amp;D33&amp;"'"&amp;"!b:b"),"建筑物收益比率",INDIRECT("'"&amp;D33&amp;"'"&amp;"!c:c")),SUMIF(INDIRECT("'"&amp;D33&amp;"'"&amp;"!b:b"),"建筑物成本比率",INDIRECT("'"&amp;D33&amp;"'"&amp;"!c:c"))))</f>
        <v>0.13400000000000001</v>
      </c>
      <c r="E35" s="2422" t="s">
        <v>2138</v>
      </c>
      <c r="F35" s="162"/>
      <c r="G35" s="137"/>
      <c r="H35" s="137"/>
      <c r="I35" s="137"/>
    </row>
    <row r="36" spans="1:15" ht="15.75" thickBot="1">
      <c r="A36" s="3224" t="s">
        <v>2139</v>
      </c>
      <c r="B36" s="2423" t="s">
        <v>2140</v>
      </c>
      <c r="C36" s="153"/>
      <c r="D36" s="2424"/>
      <c r="E36" s="2425"/>
      <c r="F36" s="2426"/>
      <c r="G36" s="137"/>
      <c r="H36" s="137"/>
      <c r="I36" s="137"/>
    </row>
    <row r="37" spans="1:15" ht="15.75" thickBot="1">
      <c r="A37" s="3225"/>
      <c r="B37" s="2268" t="s">
        <v>2141</v>
      </c>
      <c r="C37" s="155"/>
      <c r="D37" s="1394"/>
      <c r="E37" s="1394"/>
      <c r="F37" s="2426"/>
      <c r="G37" s="137"/>
      <c r="H37" s="137"/>
      <c r="I37" s="137"/>
    </row>
    <row r="38" spans="1:15" ht="15.75" thickBot="1">
      <c r="A38" s="3226"/>
      <c r="B38" s="2427" t="s">
        <v>2142</v>
      </c>
      <c r="C38" s="726"/>
      <c r="D38" s="2428" t="s">
        <v>2143</v>
      </c>
      <c r="E38" s="1394"/>
      <c r="F38" s="2426"/>
      <c r="G38" s="137"/>
      <c r="H38" s="137"/>
      <c r="I38" s="137"/>
    </row>
    <row r="39" spans="1:15" ht="15">
      <c r="A39" s="2399" t="s">
        <v>2144</v>
      </c>
      <c r="B39" s="2429" t="s">
        <v>2145</v>
      </c>
      <c r="C39" s="2430" t="s">
        <v>2146</v>
      </c>
      <c r="D39" s="2430" t="s">
        <v>2147</v>
      </c>
      <c r="E39" s="2431" t="s">
        <v>2148</v>
      </c>
      <c r="F39" s="2426"/>
      <c r="G39" s="137"/>
      <c r="H39" s="137"/>
      <c r="I39" s="137"/>
    </row>
    <row r="40" spans="1:15" ht="14.25">
      <c r="A40" s="2432" t="s">
        <v>2149</v>
      </c>
      <c r="B40" s="157"/>
      <c r="C40" s="158"/>
      <c r="D40" s="158"/>
      <c r="E40" s="159"/>
      <c r="F40" s="2426"/>
      <c r="G40" s="137"/>
      <c r="H40" s="137"/>
      <c r="I40" s="137"/>
    </row>
    <row r="41" spans="1:15" ht="14.25">
      <c r="A41" s="2432" t="s">
        <v>2150</v>
      </c>
      <c r="B41" s="157"/>
      <c r="C41" s="158"/>
      <c r="D41" s="158"/>
      <c r="E41" s="159"/>
      <c r="F41" s="2426"/>
      <c r="G41" s="137"/>
      <c r="H41" s="137"/>
      <c r="I41" s="137"/>
    </row>
    <row r="42" spans="1:15" ht="15" thickBot="1">
      <c r="A42" s="2433"/>
      <c r="B42" s="160"/>
      <c r="C42" s="161"/>
      <c r="D42" s="161"/>
      <c r="E42" s="162"/>
      <c r="F42" s="2426"/>
      <c r="G42" s="137"/>
      <c r="H42" s="137"/>
      <c r="I42" s="137"/>
    </row>
    <row r="43" spans="1:15" ht="12.75">
      <c r="A43" s="2167"/>
      <c r="B43" s="2167"/>
      <c r="C43" s="2167"/>
      <c r="D43" s="2167"/>
      <c r="E43" s="2167"/>
      <c r="F43" s="2434"/>
      <c r="G43" s="2434"/>
      <c r="H43" s="2434"/>
      <c r="I43" s="2435"/>
    </row>
    <row r="44" spans="1:15" ht="18.75">
      <c r="A44" s="2436" t="s">
        <v>2151</v>
      </c>
      <c r="B44" s="2437"/>
      <c r="C44" s="2437"/>
      <c r="D44" s="2438"/>
      <c r="E44" s="2438"/>
      <c r="F44" s="2439"/>
      <c r="G44" s="2439"/>
      <c r="H44" s="2439"/>
      <c r="I44" s="2439"/>
      <c r="J44" s="2440" t="s">
        <v>2152</v>
      </c>
      <c r="K44" s="2441"/>
      <c r="L44" s="2441"/>
      <c r="M44" s="2441"/>
      <c r="N44" s="2441"/>
      <c r="O44" s="2441"/>
    </row>
    <row r="45" spans="1:15" ht="14.25" customHeight="1" thickBot="1">
      <c r="A45" s="3203" t="s">
        <v>2153</v>
      </c>
      <c r="B45" s="3204"/>
      <c r="C45" s="3205"/>
      <c r="D45" s="163">
        <f ca="1">ROUND(H101*F45,0)</f>
        <v>1368578</v>
      </c>
      <c r="E45" s="164" t="s">
        <v>2154</v>
      </c>
      <c r="F45" s="165">
        <v>1</v>
      </c>
      <c r="G45" s="166" t="s">
        <v>2155</v>
      </c>
      <c r="H45" s="137"/>
      <c r="I45" s="137"/>
      <c r="J45" s="3263" t="s">
        <v>2156</v>
      </c>
      <c r="K45" s="3263"/>
      <c r="L45" s="3263"/>
      <c r="M45" s="3263"/>
      <c r="N45" s="3263"/>
      <c r="O45" s="3263"/>
    </row>
    <row r="46" spans="1:15" ht="14.25" customHeight="1">
      <c r="A46" s="3200" t="s">
        <v>2157</v>
      </c>
      <c r="B46" s="3201"/>
      <c r="C46" s="3201"/>
      <c r="D46" s="3201"/>
      <c r="E46" s="3201"/>
      <c r="F46" s="3201"/>
      <c r="G46" s="3202"/>
      <c r="H46" s="2442"/>
      <c r="I46" s="167"/>
      <c r="J46" s="1811">
        <v>1</v>
      </c>
      <c r="K46" s="3263" t="s">
        <v>2158</v>
      </c>
      <c r="L46" s="3263"/>
      <c r="M46" s="3283"/>
      <c r="N46" s="3283"/>
      <c r="O46" s="3283"/>
    </row>
    <row r="47" spans="1:15" ht="12" customHeight="1">
      <c r="A47" s="168" t="s">
        <v>2159</v>
      </c>
      <c r="B47" s="169"/>
      <c r="C47" s="170"/>
      <c r="D47" s="171" t="s">
        <v>2160</v>
      </c>
      <c r="E47" s="24" t="s">
        <v>2161</v>
      </c>
      <c r="F47" s="172" t="s">
        <v>2162</v>
      </c>
      <c r="G47" s="173" t="s">
        <v>2163</v>
      </c>
      <c r="H47" s="2442"/>
      <c r="I47" s="167"/>
      <c r="J47" s="1811">
        <v>2</v>
      </c>
      <c r="K47" s="3263" t="s">
        <v>2164</v>
      </c>
      <c r="L47" s="3263"/>
      <c r="M47" s="3284">
        <f>'数据-取费表'!B2</f>
        <v>43395</v>
      </c>
      <c r="N47" s="3284"/>
      <c r="O47" s="3284"/>
    </row>
    <row r="48" spans="1:15" ht="25.5">
      <c r="A48" s="3231" t="s">
        <v>2165</v>
      </c>
      <c r="B48" s="3214"/>
      <c r="C48" s="3214"/>
      <c r="D48" s="139">
        <f>IF(H48="情况1",0,IF(H48="情况2",D52,IF(H48="情况3",D53,IF(H48="情况4",D54))))</f>
        <v>0</v>
      </c>
      <c r="E48" s="1800" t="str">
        <f>IF(H48="情况4","(销售额-原购置价)×税（费）率","销售额×税（费）率")</f>
        <v>销售额×税（费）率</v>
      </c>
      <c r="F48" s="174" t="str">
        <f>IF(H48="情况1","免征",'数据-取费表'!B41)</f>
        <v>免征</v>
      </c>
      <c r="G48" s="2443" t="s">
        <v>2166</v>
      </c>
      <c r="H48" s="2444" t="s">
        <v>2167</v>
      </c>
      <c r="I48" s="2442"/>
      <c r="J48" s="1811">
        <v>3</v>
      </c>
      <c r="K48" s="3263" t="s">
        <v>2168</v>
      </c>
      <c r="L48" s="3263"/>
      <c r="M48" s="3285">
        <f ca="1">H101</f>
        <v>1368578</v>
      </c>
      <c r="N48" s="3285"/>
      <c r="O48" s="3285"/>
    </row>
    <row r="49" spans="1:35" ht="25.5" customHeight="1">
      <c r="A49" s="175" t="s">
        <v>2169</v>
      </c>
      <c r="B49" s="3199" t="s">
        <v>2170</v>
      </c>
      <c r="C49" s="3199"/>
      <c r="D49" s="176">
        <v>0</v>
      </c>
      <c r="E49" s="23" t="s">
        <v>2171</v>
      </c>
      <c r="F49" s="28" t="s">
        <v>34</v>
      </c>
      <c r="G49" s="3269"/>
      <c r="H49" s="137"/>
      <c r="I49" s="2445"/>
      <c r="J49" s="1811">
        <v>4</v>
      </c>
      <c r="K49" s="3263" t="str">
        <f>IF(项目基本情况!E8="房地产抵押价值","房地产抵押价值","抵押担保权已注销时的房地产抵押价值")</f>
        <v>抵押担保权已注销时的房地产抵押价值</v>
      </c>
      <c r="L49" s="3263"/>
      <c r="M49" s="3285" t="str">
        <f>IF(项目基本情况!E8="房地产抵押价值",H107,H109)</f>
        <v>——</v>
      </c>
      <c r="N49" s="3285"/>
      <c r="O49" s="3285"/>
    </row>
    <row r="50" spans="1:35" ht="25.5" customHeight="1">
      <c r="A50" s="177"/>
      <c r="B50" s="3199" t="s">
        <v>2172</v>
      </c>
      <c r="C50" s="3199"/>
      <c r="D50" s="178"/>
      <c r="E50" s="31"/>
      <c r="F50" s="179"/>
      <c r="G50" s="3270"/>
      <c r="H50" s="137"/>
      <c r="I50" s="2445"/>
      <c r="J50" s="3263" t="s">
        <v>2173</v>
      </c>
      <c r="K50" s="3263"/>
      <c r="L50" s="3263"/>
      <c r="M50" s="3263"/>
      <c r="N50" s="3263"/>
      <c r="O50" s="3263"/>
    </row>
    <row r="51" spans="1:35" ht="12" customHeight="1">
      <c r="A51" s="180"/>
      <c r="B51" s="3199" t="s">
        <v>2174</v>
      </c>
      <c r="C51" s="3199"/>
      <c r="D51" s="181"/>
      <c r="E51" s="30"/>
      <c r="F51" s="179"/>
      <c r="G51" s="3271"/>
      <c r="H51" s="137"/>
      <c r="I51" s="2445"/>
      <c r="J51" s="2446" t="s">
        <v>2175</v>
      </c>
      <c r="K51" s="3263" t="s">
        <v>2176</v>
      </c>
      <c r="L51" s="3263"/>
      <c r="M51" s="2446" t="s">
        <v>2177</v>
      </c>
      <c r="N51" s="2446" t="s">
        <v>2178</v>
      </c>
      <c r="O51" s="2446" t="s">
        <v>2179</v>
      </c>
    </row>
    <row r="52" spans="1:35" ht="24" customHeight="1">
      <c r="A52" s="182" t="s">
        <v>2180</v>
      </c>
      <c r="B52" s="3199" t="s">
        <v>2181</v>
      </c>
      <c r="C52" s="3199"/>
      <c r="D52" s="181">
        <f ca="1">ROUND(D45*'数据-取费表'!B41/(1+'数据-取费表'!C42),0)</f>
        <v>72991</v>
      </c>
      <c r="E52" s="11" t="s">
        <v>2182</v>
      </c>
      <c r="F52" s="183">
        <f>'数据-取费表'!B41</f>
        <v>5.6000000000000001E-2</v>
      </c>
      <c r="G52" s="2447"/>
      <c r="H52" s="137"/>
      <c r="I52" s="2445"/>
      <c r="J52" s="1811">
        <v>1</v>
      </c>
      <c r="K52" s="3264" t="s">
        <v>2183</v>
      </c>
      <c r="L52" s="3264"/>
      <c r="M52" s="1753">
        <f>D48</f>
        <v>0</v>
      </c>
      <c r="N52" s="1811" t="str">
        <f>E48</f>
        <v>销售额×税（费）率</v>
      </c>
      <c r="O52" s="1754" t="str">
        <f>F48</f>
        <v>免征</v>
      </c>
    </row>
    <row r="53" spans="1:35" ht="12" customHeight="1">
      <c r="A53" s="182" t="s">
        <v>2184</v>
      </c>
      <c r="B53" s="3222" t="s">
        <v>2185</v>
      </c>
      <c r="C53" s="3223"/>
      <c r="D53" s="181">
        <f ca="1">ROUND(D45*'数据-取费表'!B41/(1+'数据-取费表'!C42),0)</f>
        <v>72991</v>
      </c>
      <c r="E53" s="11" t="s">
        <v>2182</v>
      </c>
      <c r="F53" s="183">
        <f>'数据-取费表'!B41</f>
        <v>5.6000000000000001E-2</v>
      </c>
      <c r="G53" s="2447"/>
      <c r="H53" s="137"/>
      <c r="I53" s="2445"/>
      <c r="J53" s="1811">
        <v>2</v>
      </c>
      <c r="K53" s="3264" t="s">
        <v>2186</v>
      </c>
      <c r="L53" s="3264"/>
      <c r="M53" s="1753">
        <f t="shared" ref="M53:O54" ca="1" si="0">D55</f>
        <v>684</v>
      </c>
      <c r="N53" s="1811" t="str">
        <f t="shared" si="0"/>
        <v>销售额×税（费）率</v>
      </c>
      <c r="O53" s="1754">
        <f t="shared" si="0"/>
        <v>5.0000000000000001E-4</v>
      </c>
    </row>
    <row r="54" spans="1:35" ht="12" customHeight="1">
      <c r="A54" s="182" t="s">
        <v>2187</v>
      </c>
      <c r="B54" s="3222" t="s">
        <v>2188</v>
      </c>
      <c r="C54" s="3223"/>
      <c r="D54" s="181">
        <f ca="1">C68</f>
        <v>72991</v>
      </c>
      <c r="E54" s="30" t="s">
        <v>2189</v>
      </c>
      <c r="F54" s="183">
        <f>'数据-取费表'!B41</f>
        <v>5.6000000000000001E-2</v>
      </c>
      <c r="G54" s="2447"/>
      <c r="H54" s="2448"/>
      <c r="I54" s="2445"/>
      <c r="J54" s="1811">
        <v>3</v>
      </c>
      <c r="K54" s="3264" t="s">
        <v>2190</v>
      </c>
      <c r="L54" s="3264"/>
      <c r="M54" s="1753">
        <f t="shared" ca="1" si="0"/>
        <v>774616</v>
      </c>
      <c r="N54" s="1811" t="str">
        <f t="shared" si="0"/>
        <v>增值额×税（费）率</v>
      </c>
      <c r="O54" s="1755" t="str">
        <f t="shared" si="0"/>
        <v>——</v>
      </c>
    </row>
    <row r="55" spans="1:35" ht="24" customHeight="1">
      <c r="A55" s="3213" t="s">
        <v>2191</v>
      </c>
      <c r="B55" s="3214"/>
      <c r="C55" s="3214"/>
      <c r="D55" s="184">
        <f ca="1">IF(H55="个人住宅",0,ROUND(D45*I55,0))</f>
        <v>684</v>
      </c>
      <c r="E55" s="11" t="s">
        <v>2192</v>
      </c>
      <c r="F55" s="183">
        <f>IF(H55="正常",I55,"免征")</f>
        <v>5.0000000000000001E-4</v>
      </c>
      <c r="G55" s="2447"/>
      <c r="H55" s="2444" t="s">
        <v>2193</v>
      </c>
      <c r="I55" s="185">
        <f>'数据-取费表'!B49</f>
        <v>5.0000000000000001E-4</v>
      </c>
      <c r="J55" s="1811" t="str">
        <f>IF(H59="非个人房产","",4)</f>
        <v/>
      </c>
      <c r="K55" s="3264" t="str">
        <f>IF(H59="非个人房产","——","个人所得税")</f>
        <v>——</v>
      </c>
      <c r="L55" s="3264"/>
      <c r="M55" s="1756" t="str">
        <f>D59</f>
        <v>——</v>
      </c>
      <c r="N55" s="1809" t="str">
        <f>E59</f>
        <v>——</v>
      </c>
      <c r="O55" s="1757" t="str">
        <f>F59</f>
        <v>——</v>
      </c>
    </row>
    <row r="56" spans="1:35" ht="24.75">
      <c r="A56" s="3213" t="s">
        <v>2194</v>
      </c>
      <c r="B56" s="3214"/>
      <c r="C56" s="3214"/>
      <c r="D56" s="184">
        <f ca="1">IF(H56="个人住宅",D57,D58)</f>
        <v>774616</v>
      </c>
      <c r="E56" s="11" t="s">
        <v>2195</v>
      </c>
      <c r="F56" s="183" t="str">
        <f>IF(H56="正常",F58,"免征")</f>
        <v>——</v>
      </c>
      <c r="G56" s="2449" t="s">
        <v>2196</v>
      </c>
      <c r="H56" s="2450" t="s">
        <v>2193</v>
      </c>
      <c r="I56" s="2451"/>
      <c r="J56" s="1811" t="str">
        <f>IF(项目基本情况!K6="上海银行",IF(J55="",4,J55+1),"")</f>
        <v/>
      </c>
      <c r="K56" s="3287" t="str">
        <f>IF(项目基本情况!K6="上海银行","其他处置费用","")</f>
        <v/>
      </c>
      <c r="L56" s="3288"/>
      <c r="M56" s="1753" t="str">
        <f>IF(项目基本情况!K6="上海银行",M69,"")</f>
        <v/>
      </c>
      <c r="N56" s="3290" t="str">
        <f>IF(项目基本情况!K6="上海银行","包含处置中涉及的律师、诉讼、拍卖、评估等费用","")</f>
        <v/>
      </c>
      <c r="O56" s="3291"/>
    </row>
    <row r="57" spans="1:35" ht="12.75">
      <c r="A57" s="182" t="s">
        <v>2169</v>
      </c>
      <c r="B57" s="3229" t="s">
        <v>2197</v>
      </c>
      <c r="C57" s="3238"/>
      <c r="D57" s="186">
        <v>0</v>
      </c>
      <c r="E57" s="23" t="s">
        <v>2171</v>
      </c>
      <c r="F57" s="154"/>
      <c r="G57" s="2447"/>
      <c r="H57" s="2451"/>
      <c r="I57" s="2451"/>
      <c r="J57" s="3264">
        <f>IF(AND(J55="",J56=""),4,IF(项目基本情况!K6="上海银行",'结果表（办公）'!J56+1,'结果表（办公）'!J55+1))</f>
        <v>4</v>
      </c>
      <c r="K57" s="3264" t="s">
        <v>2198</v>
      </c>
      <c r="L57" s="2452" t="s">
        <v>2199</v>
      </c>
      <c r="M57" s="1758"/>
      <c r="N57" s="1759">
        <f ca="1">SUMIF(M52:M56,"&lt;9e307")</f>
        <v>775300</v>
      </c>
      <c r="O57" s="2453"/>
      <c r="P57" s="1752" t="e">
        <f ca="1">N57/M49</f>
        <v>#VALUE!</v>
      </c>
    </row>
    <row r="58" spans="1:35" ht="24.75">
      <c r="A58" s="182" t="s">
        <v>2180</v>
      </c>
      <c r="B58" s="3229" t="s">
        <v>2200</v>
      </c>
      <c r="C58" s="3230"/>
      <c r="D58" s="184">
        <f ca="1">IF(H58="转让取得",C81,C97)</f>
        <v>774616</v>
      </c>
      <c r="E58" s="11" t="s">
        <v>2195</v>
      </c>
      <c r="F58" s="24" t="s">
        <v>34</v>
      </c>
      <c r="G58" s="2447"/>
      <c r="H58" s="2450" t="s">
        <v>2201</v>
      </c>
      <c r="I58" s="2451"/>
      <c r="J58" s="3264"/>
      <c r="K58" s="3264"/>
      <c r="L58" s="2452" t="s">
        <v>2202</v>
      </c>
      <c r="M58" s="1760"/>
      <c r="N58" s="2454" t="str">
        <f ca="1">NUMBERSTRING(INT(N57*10000),2)&amp;"元整"</f>
        <v>柒拾柒亿伍仟叁佰万元整</v>
      </c>
      <c r="O58" s="2455"/>
    </row>
    <row r="59" spans="1:35" ht="24.75" thickBot="1">
      <c r="A59" s="3267" t="s">
        <v>2203</v>
      </c>
      <c r="B59" s="3268"/>
      <c r="C59" s="3268"/>
      <c r="D59" s="187" t="str">
        <f>IF(H59="非个人房产","——",IF(H59="个人住宅",0,ROUND(D45*I59,0)))</f>
        <v>——</v>
      </c>
      <c r="E59" s="188" t="str">
        <f>IF(H59="非个人房产","——","销售额×税（费）率")</f>
        <v>——</v>
      </c>
      <c r="F59" s="189" t="str">
        <f>IF(H59="非个人房产","——",IF(H59="个人住宅","免征",I59))</f>
        <v>——</v>
      </c>
      <c r="G59" s="2456" t="s">
        <v>2196</v>
      </c>
      <c r="H59" s="2450" t="s">
        <v>2204</v>
      </c>
      <c r="I59" s="190">
        <v>0.01</v>
      </c>
      <c r="J59" s="3265">
        <f>J57+1</f>
        <v>5</v>
      </c>
      <c r="K59" s="3264" t="s">
        <v>2205</v>
      </c>
      <c r="L59" s="1811" t="s">
        <v>2199</v>
      </c>
      <c r="M59" s="1761"/>
      <c r="N59" s="1762" t="e">
        <f ca="1">M49-N57</f>
        <v>#VALUE!</v>
      </c>
      <c r="O59" s="2457"/>
    </row>
    <row r="60" spans="1:35" ht="12" customHeight="1">
      <c r="A60" s="2458"/>
      <c r="B60" s="2380"/>
      <c r="C60" s="2380"/>
      <c r="D60" s="2380"/>
      <c r="E60" s="2168"/>
      <c r="F60" s="2451"/>
      <c r="G60" s="2451"/>
      <c r="H60" s="2459"/>
      <c r="I60" s="137"/>
      <c r="J60" s="3266"/>
      <c r="K60" s="3264"/>
      <c r="L60" s="2452" t="s">
        <v>2202</v>
      </c>
      <c r="M60" s="1760"/>
      <c r="N60" s="2454" t="e">
        <f ca="1">NUMBERSTRING(INT(N59*10000),2)&amp;"元整"</f>
        <v>#VALUE!</v>
      </c>
      <c r="O60" s="2455"/>
    </row>
    <row r="61" spans="1:35" ht="13.5" thickBot="1">
      <c r="A61" s="3211" t="s">
        <v>2206</v>
      </c>
      <c r="B61" s="3211"/>
      <c r="C61" s="3211"/>
      <c r="D61" s="3211"/>
      <c r="E61" s="3211"/>
      <c r="F61" s="2451"/>
      <c r="G61" s="2451"/>
      <c r="H61" s="2459"/>
      <c r="I61" s="137"/>
      <c r="J61" s="1811">
        <f>J59+1</f>
        <v>6</v>
      </c>
      <c r="K61" s="3264" t="s">
        <v>2207</v>
      </c>
      <c r="L61" s="3264"/>
      <c r="M61" s="1763"/>
      <c r="N61" s="1764" t="e">
        <f ca="1">ROUND(N59*10000/'数据-汇总表'!E3,0)</f>
        <v>#VALUE!</v>
      </c>
      <c r="O61" s="2460"/>
    </row>
    <row r="62" spans="1:35" ht="12.75">
      <c r="A62" s="3227" t="s">
        <v>2208</v>
      </c>
      <c r="B62" s="3228"/>
      <c r="C62" s="1803"/>
      <c r="D62" s="1803" t="s">
        <v>2209</v>
      </c>
      <c r="E62" s="191" t="s">
        <v>2210</v>
      </c>
      <c r="F62" s="2451"/>
      <c r="G62" s="2451"/>
      <c r="H62" s="2459"/>
      <c r="I62" s="137"/>
    </row>
    <row r="63" spans="1:35" ht="12.75">
      <c r="A63" s="202" t="s">
        <v>775</v>
      </c>
      <c r="B63" s="192" t="s">
        <v>2211</v>
      </c>
      <c r="C63" s="193">
        <f ca="1">ROUND((C64+C65)/(1+'数据-取费表'!C42),0)</f>
        <v>1303408</v>
      </c>
      <c r="D63" s="194"/>
      <c r="E63" s="195"/>
      <c r="F63" s="2451"/>
      <c r="G63" s="2451"/>
      <c r="H63" s="2459"/>
      <c r="I63" s="137"/>
      <c r="J63" s="3289" t="s">
        <v>2212</v>
      </c>
      <c r="K63" s="2461" t="s">
        <v>2213</v>
      </c>
      <c r="L63" s="1751" t="e">
        <f>IF(M49&gt;10000,M49*0.5%,IF(AND(M49&gt;1000,M49&lt;=10000),M49*1%,IF(AND(M49&gt;100,M49&lt;=1000),M49*3%,IF(AND(M49&gt;10,M49&lt;=100),M49*5%,M49*8%))))</f>
        <v>#VALUE!</v>
      </c>
      <c r="M63" s="24" t="e">
        <f>ROUND(L63,1)</f>
        <v>#VALUE!</v>
      </c>
      <c r="Z63" s="2385"/>
      <c r="AI63" s="2386"/>
    </row>
    <row r="64" spans="1:35" ht="14.25" customHeight="1">
      <c r="A64" s="196" t="s">
        <v>770</v>
      </c>
      <c r="B64" s="197" t="s">
        <v>2214</v>
      </c>
      <c r="C64" s="198">
        <f ca="1">D45</f>
        <v>1368578</v>
      </c>
      <c r="D64" s="199" t="s">
        <v>32</v>
      </c>
      <c r="E64" s="200"/>
      <c r="F64" s="2451"/>
      <c r="G64" s="2451"/>
      <c r="H64" s="2459"/>
      <c r="I64" s="137"/>
      <c r="J64" s="3289"/>
      <c r="K64" s="2461" t="s">
        <v>2215</v>
      </c>
      <c r="L64" s="1751"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2216</v>
      </c>
      <c r="Z64" s="2385"/>
      <c r="AI64" s="2386"/>
    </row>
    <row r="65" spans="1:35" ht="14.25" customHeight="1">
      <c r="A65" s="196" t="s">
        <v>771</v>
      </c>
      <c r="B65" s="197" t="s">
        <v>2217</v>
      </c>
      <c r="C65" s="201"/>
      <c r="D65" s="199"/>
      <c r="E65" s="200"/>
      <c r="F65" s="2451"/>
      <c r="G65" s="2451"/>
      <c r="H65" s="2459"/>
      <c r="I65" s="137"/>
      <c r="J65" s="3289"/>
      <c r="K65" s="2461" t="s">
        <v>2218</v>
      </c>
      <c r="L65" s="1751" t="e">
        <f>IF(M49&gt;1000,M49*0.1%,IF(AND(M49&gt;500,M49&lt;=1000),M49*0.5%,IF(AND(M49&gt;50,M49&lt;=500),M49*1%,IF(AND(M49&gt;1,M49&lt;=50),M49*1.5%))))</f>
        <v>#VALUE!</v>
      </c>
      <c r="M65" s="24" t="e">
        <f t="shared" si="1"/>
        <v>#VALUE!</v>
      </c>
      <c r="N65" s="137" t="s">
        <v>2216</v>
      </c>
      <c r="Z65" s="2385"/>
      <c r="AI65" s="2386"/>
    </row>
    <row r="66" spans="1:35" ht="14.25" customHeight="1">
      <c r="A66" s="202" t="s">
        <v>772</v>
      </c>
      <c r="B66" s="203" t="s">
        <v>2219</v>
      </c>
      <c r="C66" s="204"/>
      <c r="D66" s="205" t="s">
        <v>32</v>
      </c>
      <c r="E66" s="1775" t="s">
        <v>1371</v>
      </c>
      <c r="F66" s="2451"/>
      <c r="G66" s="2451"/>
      <c r="H66" s="2459"/>
      <c r="I66" s="137"/>
      <c r="J66" s="3289"/>
      <c r="K66" s="2461" t="s">
        <v>2220</v>
      </c>
      <c r="L66" s="1751" t="e">
        <f>M49*0.5%</f>
        <v>#VALUE!</v>
      </c>
      <c r="M66" s="24" t="e">
        <f>IF(L66&gt;0.5,0.5,ROUND(L66,0))</f>
        <v>#VALUE!</v>
      </c>
      <c r="N66" s="137" t="s">
        <v>2221</v>
      </c>
      <c r="Z66" s="2385"/>
      <c r="AI66" s="2386"/>
    </row>
    <row r="67" spans="1:35" ht="14.25" customHeight="1">
      <c r="A67" s="202" t="s">
        <v>773</v>
      </c>
      <c r="B67" s="203" t="s">
        <v>2222</v>
      </c>
      <c r="C67" s="206">
        <f ca="1">C63-C66</f>
        <v>1303408</v>
      </c>
      <c r="D67" s="199" t="s">
        <v>32</v>
      </c>
      <c r="E67" s="200"/>
      <c r="F67" s="2451"/>
      <c r="G67" s="2451"/>
      <c r="H67" s="2459"/>
      <c r="I67" s="137"/>
      <c r="J67" s="3289"/>
      <c r="K67" s="2461" t="s">
        <v>2223</v>
      </c>
      <c r="L67" s="1751"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385"/>
      <c r="AI67" s="2386"/>
    </row>
    <row r="68" spans="1:35" ht="14.25" customHeight="1" thickBot="1">
      <c r="A68" s="207" t="s">
        <v>774</v>
      </c>
      <c r="B68" s="208" t="s">
        <v>2224</v>
      </c>
      <c r="C68" s="209">
        <f ca="1">IF(C67&lt;=0,0,ROUND(C67*D68,0))</f>
        <v>72991</v>
      </c>
      <c r="D68" s="210">
        <f>'数据-取费表'!B41</f>
        <v>5.6000000000000001E-2</v>
      </c>
      <c r="E68" s="211"/>
      <c r="F68" s="2451"/>
      <c r="G68" s="2451"/>
      <c r="H68" s="2459"/>
      <c r="I68" s="137"/>
      <c r="J68" s="3289"/>
      <c r="K68" s="2461" t="s">
        <v>2225</v>
      </c>
      <c r="L68" s="1751" t="e">
        <f>IF(M49&gt;10000,M49*0.5%,IF(AND(M49&gt;5000,M49&lt;=10000),M49*1%,IF(AND(M49&gt;1000,M49&lt;=5000),M49*2%,IF(AND(M49&gt;200,M49&lt;=1000),M49*3%,M49*5%))))</f>
        <v>#VALUE!</v>
      </c>
      <c r="M68" s="24" t="e">
        <f>ROUND(L68,1)</f>
        <v>#VALUE!</v>
      </c>
      <c r="Z68" s="2385"/>
      <c r="AI68" s="2386"/>
    </row>
    <row r="69" spans="1:35" s="2408" customFormat="1" ht="16.5" customHeight="1">
      <c r="A69" s="2462"/>
      <c r="B69" s="2463"/>
      <c r="C69" s="2464"/>
      <c r="D69" s="2465"/>
      <c r="E69" s="2466"/>
      <c r="F69" s="2168"/>
      <c r="G69" s="2168"/>
      <c r="H69" s="2167"/>
      <c r="I69" s="2380"/>
      <c r="J69" s="3289"/>
      <c r="K69" s="2461" t="s">
        <v>2226</v>
      </c>
      <c r="L69" s="2467"/>
      <c r="M69" s="24" t="e">
        <f>ROUND(SUM(M63:M68),0)</f>
        <v>#VALUE!</v>
      </c>
      <c r="N69" s="1752" t="e">
        <f>M69/M49</f>
        <v>#VALUE!</v>
      </c>
      <c r="O69" s="794"/>
      <c r="P69" s="794"/>
      <c r="Q69" s="794"/>
      <c r="R69" s="794"/>
      <c r="S69" s="794"/>
      <c r="T69" s="794"/>
      <c r="U69" s="794"/>
      <c r="V69" s="794"/>
      <c r="W69" s="794"/>
      <c r="X69" s="794"/>
      <c r="Y69" s="794"/>
      <c r="Z69" s="2385"/>
      <c r="AA69" s="2385"/>
      <c r="AB69" s="2385"/>
      <c r="AC69" s="2385"/>
      <c r="AD69" s="2385"/>
      <c r="AE69" s="2385"/>
      <c r="AF69" s="2385"/>
      <c r="AG69" s="2385"/>
      <c r="AH69" s="2385"/>
    </row>
    <row r="70" spans="1:35" s="2469" customFormat="1" ht="15" thickBot="1">
      <c r="A70" s="3248" t="s">
        <v>2227</v>
      </c>
      <c r="B70" s="3249"/>
      <c r="C70" s="3249"/>
      <c r="D70" s="3249"/>
      <c r="E70" s="3249"/>
      <c r="F70" s="3249"/>
      <c r="G70" s="3249"/>
      <c r="H70" s="3249"/>
      <c r="I70" s="2468"/>
      <c r="N70" s="2470"/>
      <c r="O70" s="2470"/>
      <c r="P70" s="2470"/>
      <c r="Q70" s="2470"/>
      <c r="R70" s="2470"/>
      <c r="S70" s="2470"/>
      <c r="T70" s="2470"/>
      <c r="U70" s="2470"/>
      <c r="V70" s="2470"/>
      <c r="W70" s="2470"/>
      <c r="X70" s="2470"/>
      <c r="Y70" s="2470"/>
      <c r="Z70" s="2470"/>
      <c r="AA70" s="2471"/>
      <c r="AB70" s="2471"/>
      <c r="AC70" s="2471"/>
      <c r="AD70" s="2471"/>
      <c r="AE70" s="2471"/>
      <c r="AF70" s="2471"/>
      <c r="AG70" s="2471"/>
      <c r="AH70" s="2471"/>
      <c r="AI70" s="2471"/>
    </row>
    <row r="71" spans="1:35" s="2469" customFormat="1" ht="14.25">
      <c r="A71" s="3227" t="s">
        <v>2208</v>
      </c>
      <c r="B71" s="3228"/>
      <c r="C71" s="1803"/>
      <c r="D71" s="1803" t="s">
        <v>2209</v>
      </c>
      <c r="E71" s="212" t="s">
        <v>2210</v>
      </c>
      <c r="F71" s="213"/>
      <c r="G71" s="213"/>
      <c r="H71" s="214"/>
      <c r="I71" s="2472"/>
      <c r="N71" s="2470"/>
      <c r="O71" s="2470"/>
      <c r="P71" s="2470"/>
      <c r="Q71" s="2470"/>
      <c r="R71" s="2470"/>
      <c r="S71" s="2470"/>
      <c r="T71" s="2470"/>
      <c r="U71" s="2470"/>
      <c r="V71" s="2470"/>
      <c r="W71" s="2470"/>
      <c r="X71" s="2470"/>
      <c r="Y71" s="2470"/>
      <c r="Z71" s="2470"/>
      <c r="AA71" s="2471"/>
      <c r="AB71" s="2471"/>
      <c r="AC71" s="2471"/>
      <c r="AD71" s="2471"/>
      <c r="AE71" s="2471"/>
      <c r="AF71" s="2471"/>
      <c r="AG71" s="2471"/>
      <c r="AH71" s="2471"/>
      <c r="AI71" s="2471"/>
    </row>
    <row r="72" spans="1:35" s="2469" customFormat="1" ht="14.25">
      <c r="A72" s="202" t="s">
        <v>775</v>
      </c>
      <c r="B72" s="203" t="s">
        <v>2228</v>
      </c>
      <c r="C72" s="206">
        <f ca="1">ROUND(D45/(1+'数据-取费表'!C42),0)</f>
        <v>1303408</v>
      </c>
      <c r="D72" s="199" t="s">
        <v>32</v>
      </c>
      <c r="E72" s="1802"/>
      <c r="F72" s="1796"/>
      <c r="G72" s="1796"/>
      <c r="H72" s="215"/>
      <c r="I72" s="2472"/>
      <c r="N72" s="2470"/>
      <c r="O72" s="2470"/>
      <c r="P72" s="2470"/>
      <c r="Q72" s="2470"/>
      <c r="R72" s="2470"/>
      <c r="S72" s="2470"/>
      <c r="T72" s="2470"/>
      <c r="U72" s="2470"/>
      <c r="V72" s="2470"/>
      <c r="W72" s="2470"/>
      <c r="X72" s="2470"/>
      <c r="Y72" s="2470"/>
      <c r="Z72" s="2470"/>
      <c r="AA72" s="2471"/>
      <c r="AB72" s="2471"/>
      <c r="AC72" s="2471"/>
      <c r="AD72" s="2471"/>
      <c r="AE72" s="2471"/>
      <c r="AF72" s="2471"/>
      <c r="AG72" s="2471"/>
      <c r="AH72" s="2471"/>
      <c r="AI72" s="2471"/>
    </row>
    <row r="73" spans="1:35" s="2469" customFormat="1" ht="14.25">
      <c r="A73" s="202" t="s">
        <v>772</v>
      </c>
      <c r="B73" s="172" t="s">
        <v>2229</v>
      </c>
      <c r="C73" s="206">
        <f ca="1">C74+C78</f>
        <v>7820</v>
      </c>
      <c r="D73" s="199" t="s">
        <v>32</v>
      </c>
      <c r="E73" s="1802"/>
      <c r="F73" s="1796"/>
      <c r="G73" s="1796"/>
      <c r="H73" s="215"/>
      <c r="I73" s="2472"/>
      <c r="J73" s="2470"/>
      <c r="K73" s="2470"/>
      <c r="L73" s="2470"/>
      <c r="M73" s="2470"/>
      <c r="N73" s="2470"/>
      <c r="O73" s="2470"/>
      <c r="P73" s="2470"/>
      <c r="Q73" s="2470"/>
      <c r="R73" s="2470"/>
      <c r="S73" s="2470"/>
      <c r="T73" s="2470"/>
      <c r="U73" s="2470"/>
      <c r="V73" s="2470"/>
      <c r="W73" s="2470"/>
      <c r="X73" s="2470"/>
      <c r="Y73" s="2470"/>
      <c r="Z73" s="2470"/>
      <c r="AA73" s="2471"/>
      <c r="AB73" s="2471"/>
      <c r="AC73" s="2471"/>
      <c r="AD73" s="2471"/>
      <c r="AE73" s="2471"/>
      <c r="AF73" s="2471"/>
      <c r="AG73" s="2471"/>
      <c r="AH73" s="2471"/>
      <c r="AI73" s="2471"/>
    </row>
    <row r="74" spans="1:35" s="2469" customFormat="1" ht="24">
      <c r="A74" s="216" t="s">
        <v>770</v>
      </c>
      <c r="B74" s="197" t="s">
        <v>2230</v>
      </c>
      <c r="C74" s="199">
        <f>ROUND(IF(G77="2016年5月1日后购买",C75/(1+'数据-取费表'!C42)+C76+C77,C75+C76+C77),0)</f>
        <v>0</v>
      </c>
      <c r="D74" s="199" t="s">
        <v>32</v>
      </c>
      <c r="E74" s="1802"/>
      <c r="F74" s="1796"/>
      <c r="G74" s="1796"/>
      <c r="H74" s="215"/>
      <c r="I74" s="2472"/>
      <c r="J74" s="2470"/>
      <c r="K74" s="2470"/>
      <c r="L74" s="2470"/>
      <c r="M74" s="2470"/>
      <c r="N74" s="2470"/>
      <c r="O74" s="2470"/>
      <c r="P74" s="2470"/>
      <c r="Q74" s="2470"/>
      <c r="R74" s="2470"/>
      <c r="S74" s="2470"/>
      <c r="T74" s="2470"/>
      <c r="U74" s="2470"/>
      <c r="V74" s="2470"/>
      <c r="W74" s="2470"/>
      <c r="X74" s="2470"/>
      <c r="Y74" s="2470"/>
      <c r="Z74" s="2470"/>
      <c r="AA74" s="2471"/>
      <c r="AB74" s="2471"/>
      <c r="AC74" s="2471"/>
      <c r="AD74" s="2471"/>
      <c r="AE74" s="2471"/>
      <c r="AF74" s="2471"/>
      <c r="AG74" s="2471"/>
      <c r="AH74" s="2471"/>
      <c r="AI74" s="2471"/>
    </row>
    <row r="75" spans="1:35" s="2469" customFormat="1" ht="14.25">
      <c r="A75" s="216" t="s">
        <v>776</v>
      </c>
      <c r="B75" s="197" t="s">
        <v>2231</v>
      </c>
      <c r="C75" s="217"/>
      <c r="D75" s="199" t="s">
        <v>32</v>
      </c>
      <c r="E75" s="218" t="s">
        <v>2232</v>
      </c>
      <c r="F75" s="2473" t="s">
        <v>2233</v>
      </c>
      <c r="G75" s="218" t="s">
        <v>2234</v>
      </c>
      <c r="H75" s="219"/>
      <c r="I75" s="2474"/>
      <c r="J75" s="2470"/>
      <c r="K75" s="2470"/>
      <c r="L75" s="2470"/>
      <c r="M75" s="2470"/>
      <c r="N75" s="2470"/>
      <c r="O75" s="2470"/>
      <c r="P75" s="2470"/>
      <c r="Q75" s="2470"/>
      <c r="R75" s="2470"/>
      <c r="S75" s="2470"/>
      <c r="T75" s="2470"/>
      <c r="U75" s="2470"/>
      <c r="V75" s="2470"/>
      <c r="W75" s="2470"/>
      <c r="X75" s="2470"/>
      <c r="Y75" s="2470"/>
      <c r="Z75" s="2470"/>
      <c r="AA75" s="2471"/>
      <c r="AB75" s="2471"/>
      <c r="AC75" s="2471"/>
      <c r="AD75" s="2471"/>
      <c r="AE75" s="2471"/>
      <c r="AF75" s="2471"/>
      <c r="AG75" s="2471"/>
      <c r="AH75" s="2471"/>
      <c r="AI75" s="2471"/>
    </row>
    <row r="76" spans="1:35" s="2469" customFormat="1" ht="24.75" customHeight="1">
      <c r="A76" s="216" t="s">
        <v>777</v>
      </c>
      <c r="B76" s="220" t="s">
        <v>2235</v>
      </c>
      <c r="C76" s="199">
        <f>IF(F75="购房发票",ROUND(C75*H75*D76,0),0)</f>
        <v>0</v>
      </c>
      <c r="D76" s="221">
        <v>0.05</v>
      </c>
      <c r="E76" s="3222" t="s">
        <v>2236</v>
      </c>
      <c r="F76" s="3199"/>
      <c r="G76" s="3199"/>
      <c r="H76" s="3247"/>
      <c r="I76" s="2472"/>
      <c r="J76" s="2470"/>
      <c r="K76" s="2470"/>
      <c r="L76" s="2470"/>
      <c r="M76" s="2470"/>
      <c r="N76" s="2470"/>
      <c r="O76" s="2470"/>
      <c r="P76" s="2470"/>
      <c r="Q76" s="2470"/>
      <c r="R76" s="2470"/>
      <c r="S76" s="2470"/>
      <c r="T76" s="2470"/>
      <c r="U76" s="2470"/>
      <c r="V76" s="2470"/>
      <c r="W76" s="2470"/>
      <c r="X76" s="2470"/>
      <c r="Y76" s="2470"/>
      <c r="Z76" s="2470"/>
      <c r="AA76" s="2471"/>
      <c r="AB76" s="2471"/>
      <c r="AC76" s="2471"/>
      <c r="AD76" s="2471"/>
      <c r="AE76" s="2471"/>
      <c r="AF76" s="2471"/>
      <c r="AG76" s="2471"/>
      <c r="AH76" s="2471"/>
      <c r="AI76" s="2471"/>
    </row>
    <row r="77" spans="1:35" s="2469" customFormat="1" ht="24.75" customHeight="1">
      <c r="A77" s="216" t="s">
        <v>778</v>
      </c>
      <c r="B77" s="197" t="s">
        <v>2237</v>
      </c>
      <c r="C77" s="199">
        <f>ROUND(IF(G77="个人住宅",0,IF(G77="2016年5月1日前购买",C75*D77,C75*D77/(1+'数据-取费表'!C42))),0)</f>
        <v>0</v>
      </c>
      <c r="D77" s="222">
        <f>'数据-取费表'!B48+'数据-取费表'!B49</f>
        <v>3.0499999999999999E-2</v>
      </c>
      <c r="E77" s="15" t="s">
        <v>2238</v>
      </c>
      <c r="F77" s="223"/>
      <c r="G77" s="2475" t="s">
        <v>2239</v>
      </c>
      <c r="H77" s="1807" t="str">
        <f>IF(G77="个人买卖住房","免征印花税"," ")</f>
        <v xml:space="preserve"> </v>
      </c>
      <c r="I77" s="2472"/>
      <c r="J77" s="2470"/>
      <c r="K77" s="2470"/>
      <c r="L77" s="2470"/>
      <c r="M77" s="2470"/>
      <c r="N77" s="2470"/>
      <c r="O77" s="2470"/>
      <c r="P77" s="2470"/>
      <c r="Q77" s="2470"/>
      <c r="R77" s="2470"/>
      <c r="S77" s="2470"/>
      <c r="T77" s="2470"/>
      <c r="U77" s="2470"/>
      <c r="V77" s="2470"/>
      <c r="W77" s="2470"/>
      <c r="X77" s="2470"/>
      <c r="Y77" s="2470"/>
      <c r="Z77" s="2470"/>
      <c r="AA77" s="2471"/>
      <c r="AB77" s="2471"/>
      <c r="AC77" s="2471"/>
      <c r="AD77" s="2471"/>
      <c r="AE77" s="2471"/>
      <c r="AF77" s="2471"/>
      <c r="AG77" s="2471"/>
      <c r="AH77" s="2471"/>
      <c r="AI77" s="2471"/>
    </row>
    <row r="78" spans="1:35" s="2469" customFormat="1" ht="24.75" customHeight="1">
      <c r="A78" s="216" t="s">
        <v>771</v>
      </c>
      <c r="B78" s="197" t="s">
        <v>2240</v>
      </c>
      <c r="C78" s="224">
        <f ca="1">ROUND(D45*D78/(1+'数据-取费表'!C42),0)</f>
        <v>7820</v>
      </c>
      <c r="D78" s="225">
        <f>'数据-取费表'!B43</f>
        <v>6.000000000000001E-3</v>
      </c>
      <c r="E78" s="3208" t="s">
        <v>2241</v>
      </c>
      <c r="F78" s="3209"/>
      <c r="G78" s="3209"/>
      <c r="H78" s="3218"/>
      <c r="I78" s="2476"/>
      <c r="J78" s="2470"/>
      <c r="K78" s="2470"/>
      <c r="L78" s="2470"/>
      <c r="M78" s="2470"/>
      <c r="N78" s="2470"/>
      <c r="O78" s="2470"/>
      <c r="P78" s="2470"/>
      <c r="Q78" s="2470"/>
      <c r="R78" s="2470"/>
      <c r="S78" s="2470"/>
      <c r="T78" s="2470"/>
      <c r="U78" s="2470"/>
      <c r="V78" s="2470"/>
      <c r="W78" s="2470"/>
      <c r="X78" s="2470"/>
      <c r="Y78" s="2470"/>
      <c r="Z78" s="2470"/>
      <c r="AA78" s="2471"/>
      <c r="AB78" s="2471"/>
      <c r="AC78" s="2471"/>
      <c r="AD78" s="2471"/>
      <c r="AE78" s="2471"/>
      <c r="AF78" s="2471"/>
      <c r="AG78" s="2471"/>
      <c r="AH78" s="2471"/>
      <c r="AI78" s="2471"/>
    </row>
    <row r="79" spans="1:35" s="2469" customFormat="1" ht="14.25">
      <c r="A79" s="2477" t="s">
        <v>779</v>
      </c>
      <c r="B79" s="203" t="s">
        <v>2242</v>
      </c>
      <c r="C79" s="206">
        <f ca="1">C72-C73</f>
        <v>1295588</v>
      </c>
      <c r="D79" s="199" t="s">
        <v>32</v>
      </c>
      <c r="E79" s="1802"/>
      <c r="F79" s="1796"/>
      <c r="G79" s="1796"/>
      <c r="H79" s="215"/>
      <c r="I79" s="2472"/>
      <c r="J79" s="2470"/>
      <c r="K79" s="2470"/>
      <c r="L79" s="2470"/>
      <c r="M79" s="2470"/>
      <c r="N79" s="2470"/>
      <c r="O79" s="2470"/>
      <c r="P79" s="2470"/>
      <c r="Q79" s="2470"/>
      <c r="R79" s="2470"/>
      <c r="S79" s="2470"/>
      <c r="T79" s="2470"/>
      <c r="U79" s="2470"/>
      <c r="V79" s="2470"/>
      <c r="W79" s="2470"/>
      <c r="X79" s="2470"/>
      <c r="Y79" s="2470"/>
      <c r="Z79" s="2470"/>
      <c r="AA79" s="2471"/>
      <c r="AB79" s="2471"/>
      <c r="AC79" s="2471"/>
      <c r="AD79" s="2471"/>
      <c r="AE79" s="2471"/>
      <c r="AF79" s="2471"/>
      <c r="AG79" s="2471"/>
      <c r="AH79" s="2471"/>
      <c r="AI79" s="2471"/>
    </row>
    <row r="80" spans="1:35" s="2469" customFormat="1" ht="24">
      <c r="A80" s="2477" t="s">
        <v>780</v>
      </c>
      <c r="B80" s="203" t="s">
        <v>2243</v>
      </c>
      <c r="C80" s="226">
        <f ca="1">IF(C79&lt;=0,0,C79/C73)</f>
        <v>165.67621483375959</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472"/>
      <c r="J80" s="2470"/>
      <c r="K80" s="2470"/>
      <c r="L80" s="2470"/>
      <c r="M80" s="2470"/>
      <c r="N80" s="2470"/>
      <c r="O80" s="2470"/>
      <c r="P80" s="2470"/>
      <c r="Q80" s="2470"/>
      <c r="R80" s="2470"/>
      <c r="S80" s="2470"/>
      <c r="T80" s="2470"/>
      <c r="U80" s="2470"/>
      <c r="V80" s="2470"/>
      <c r="W80" s="2470"/>
      <c r="X80" s="2470"/>
      <c r="Y80" s="2470"/>
      <c r="Z80" s="2470"/>
      <c r="AA80" s="2471"/>
      <c r="AB80" s="2471"/>
      <c r="AC80" s="2471"/>
      <c r="AD80" s="2471"/>
      <c r="AE80" s="2471"/>
      <c r="AF80" s="2471"/>
      <c r="AG80" s="2471"/>
      <c r="AH80" s="2471"/>
      <c r="AI80" s="2471"/>
    </row>
    <row r="81" spans="1:35" s="2469" customFormat="1" ht="24.75" thickBot="1">
      <c r="A81" s="2478" t="s">
        <v>781</v>
      </c>
      <c r="B81" s="208" t="s">
        <v>2244</v>
      </c>
      <c r="C81" s="227">
        <f ca="1">ROUND(IF(C79&lt;=0,0,IF(C80&gt;=200%,C79*60%-C73*35%,IF(C80&gt;=100%,C79*50%-C73*15%,IF(C80&gt;=50%,C79*40%-C73*5%,IF(C80&lt;50%,C79*30%,0))))),0)</f>
        <v>774616</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472"/>
      <c r="J81" s="2470"/>
      <c r="K81" s="2470"/>
      <c r="L81" s="2470"/>
      <c r="M81" s="2470"/>
      <c r="N81" s="2470"/>
      <c r="O81" s="2470"/>
      <c r="P81" s="2470"/>
      <c r="Q81" s="2470"/>
      <c r="R81" s="2470"/>
      <c r="S81" s="2470"/>
      <c r="T81" s="2470"/>
      <c r="U81" s="2470"/>
      <c r="V81" s="2470"/>
      <c r="W81" s="2470"/>
      <c r="X81" s="2470"/>
      <c r="Y81" s="2470"/>
      <c r="Z81" s="2470"/>
      <c r="AA81" s="2471"/>
      <c r="AB81" s="2471"/>
      <c r="AC81" s="2471"/>
      <c r="AD81" s="2471"/>
      <c r="AE81" s="2471"/>
      <c r="AF81" s="2471"/>
      <c r="AG81" s="2471"/>
      <c r="AH81" s="2471"/>
      <c r="AI81" s="2471"/>
    </row>
    <row r="82" spans="1:35" s="2469" customFormat="1" ht="7.5" customHeight="1">
      <c r="A82" s="732"/>
      <c r="B82" s="733"/>
      <c r="C82" s="7"/>
      <c r="D82" s="7"/>
      <c r="E82" s="733"/>
      <c r="F82" s="733"/>
      <c r="G82" s="733"/>
      <c r="H82" s="734"/>
      <c r="I82" s="2476"/>
      <c r="J82" s="2470"/>
      <c r="K82" s="2470"/>
      <c r="L82" s="2470"/>
      <c r="M82" s="2470"/>
      <c r="N82" s="2470"/>
      <c r="O82" s="2470"/>
      <c r="P82" s="2470"/>
      <c r="Q82" s="2470"/>
      <c r="R82" s="2470"/>
      <c r="S82" s="2470"/>
      <c r="T82" s="2470"/>
      <c r="U82" s="2470"/>
      <c r="V82" s="2470"/>
      <c r="W82" s="2470"/>
      <c r="X82" s="2470"/>
      <c r="Y82" s="2470"/>
      <c r="Z82" s="2470"/>
      <c r="AA82" s="2471"/>
      <c r="AB82" s="2471"/>
      <c r="AC82" s="2471"/>
      <c r="AD82" s="2471"/>
      <c r="AE82" s="2471"/>
      <c r="AF82" s="2471"/>
      <c r="AG82" s="2471"/>
      <c r="AH82" s="2471"/>
      <c r="AI82" s="2471"/>
    </row>
    <row r="83" spans="1:35" s="2469" customFormat="1" ht="15" thickBot="1">
      <c r="A83" s="3248" t="s">
        <v>2245</v>
      </c>
      <c r="B83" s="3249"/>
      <c r="C83" s="3249"/>
      <c r="D83" s="3249"/>
      <c r="E83" s="3249"/>
      <c r="F83" s="3249"/>
      <c r="G83" s="3249"/>
      <c r="H83" s="3249"/>
      <c r="I83" s="2474"/>
      <c r="J83" s="2470"/>
      <c r="K83" s="2470"/>
      <c r="L83" s="2470"/>
      <c r="M83" s="2470"/>
      <c r="N83" s="2470"/>
      <c r="O83" s="2470"/>
      <c r="P83" s="2470"/>
      <c r="Q83" s="2470"/>
      <c r="R83" s="2470"/>
      <c r="S83" s="2470"/>
      <c r="T83" s="2470"/>
      <c r="U83" s="2470"/>
      <c r="V83" s="2470"/>
      <c r="W83" s="2470"/>
      <c r="X83" s="2470"/>
      <c r="Y83" s="2470"/>
      <c r="Z83" s="2470"/>
      <c r="AA83" s="2471"/>
      <c r="AB83" s="2471"/>
      <c r="AC83" s="2471"/>
      <c r="AD83" s="2471"/>
      <c r="AE83" s="2471"/>
      <c r="AF83" s="2471"/>
      <c r="AG83" s="2471"/>
      <c r="AH83" s="2471"/>
      <c r="AI83" s="2471"/>
    </row>
    <row r="84" spans="1:35" s="2469" customFormat="1" ht="14.25">
      <c r="A84" s="3227" t="s">
        <v>2208</v>
      </c>
      <c r="B84" s="3228"/>
      <c r="C84" s="1803"/>
      <c r="D84" s="1803" t="s">
        <v>2209</v>
      </c>
      <c r="E84" s="212" t="s">
        <v>2210</v>
      </c>
      <c r="F84" s="213"/>
      <c r="G84" s="213"/>
      <c r="H84" s="232"/>
      <c r="I84" s="2474"/>
      <c r="J84" s="2470"/>
      <c r="K84" s="2470"/>
      <c r="L84" s="2470"/>
      <c r="M84" s="2470"/>
      <c r="N84" s="2470"/>
      <c r="O84" s="2470"/>
      <c r="P84" s="2470"/>
      <c r="Q84" s="2470"/>
      <c r="R84" s="2470"/>
      <c r="S84" s="2470"/>
      <c r="T84" s="2470"/>
      <c r="U84" s="2470"/>
      <c r="V84" s="2470"/>
      <c r="W84" s="2470"/>
      <c r="X84" s="2470"/>
      <c r="Y84" s="2470"/>
      <c r="Z84" s="2470"/>
      <c r="AA84" s="2471"/>
      <c r="AB84" s="2471"/>
      <c r="AC84" s="2471"/>
      <c r="AD84" s="2471"/>
      <c r="AE84" s="2471"/>
      <c r="AF84" s="2471"/>
      <c r="AG84" s="2471"/>
      <c r="AH84" s="2471"/>
      <c r="AI84" s="2471"/>
    </row>
    <row r="85" spans="1:35" s="2469" customFormat="1" ht="14.25">
      <c r="A85" s="202" t="s">
        <v>775</v>
      </c>
      <c r="B85" s="203" t="s">
        <v>2228</v>
      </c>
      <c r="C85" s="206">
        <f ca="1">ROUND(D45/(1+'数据-取费表'!C42),0)</f>
        <v>1303408</v>
      </c>
      <c r="D85" s="199" t="s">
        <v>32</v>
      </c>
      <c r="E85" s="1802"/>
      <c r="F85" s="1796"/>
      <c r="G85" s="1796"/>
      <c r="H85" s="233"/>
      <c r="I85" s="2474"/>
      <c r="J85" s="2470"/>
      <c r="K85" s="2470"/>
      <c r="L85" s="2470"/>
      <c r="M85" s="2470"/>
      <c r="N85" s="2470"/>
      <c r="O85" s="2470"/>
      <c r="P85" s="2470"/>
      <c r="Q85" s="2470"/>
      <c r="R85" s="2470"/>
      <c r="S85" s="2470"/>
      <c r="T85" s="2470"/>
      <c r="U85" s="2470"/>
      <c r="V85" s="2470"/>
      <c r="W85" s="2470"/>
      <c r="X85" s="2470"/>
      <c r="Y85" s="2470"/>
      <c r="Z85" s="2470"/>
      <c r="AA85" s="2471"/>
      <c r="AB85" s="2471"/>
      <c r="AC85" s="2471"/>
      <c r="AD85" s="2471"/>
      <c r="AE85" s="2471"/>
      <c r="AF85" s="2471"/>
      <c r="AG85" s="2471"/>
      <c r="AH85" s="2471"/>
      <c r="AI85" s="2471"/>
    </row>
    <row r="86" spans="1:35" s="2469" customFormat="1" ht="14.25">
      <c r="A86" s="202" t="s">
        <v>772</v>
      </c>
      <c r="B86" s="172" t="s">
        <v>2229</v>
      </c>
      <c r="C86" s="206">
        <f ca="1">IF(H88="仅含出让金",C87+C90+C91+C92+C93+C94,C87+C91+C92+C93+C94)</f>
        <v>7820</v>
      </c>
      <c r="D86" s="234"/>
      <c r="E86" s="1802"/>
      <c r="F86" s="1796"/>
      <c r="G86" s="1796"/>
      <c r="H86" s="233"/>
      <c r="I86" s="2474"/>
      <c r="J86" s="2470"/>
      <c r="K86" s="2470"/>
      <c r="L86" s="2470"/>
      <c r="M86" s="2470"/>
      <c r="N86" s="2470"/>
      <c r="O86" s="2470"/>
      <c r="P86" s="2470"/>
      <c r="Q86" s="2470"/>
      <c r="R86" s="2470"/>
      <c r="S86" s="2470"/>
      <c r="T86" s="2470"/>
      <c r="U86" s="2470"/>
      <c r="V86" s="2470"/>
      <c r="W86" s="2470"/>
      <c r="X86" s="2470"/>
      <c r="Y86" s="2470"/>
      <c r="Z86" s="2470"/>
      <c r="AA86" s="2471"/>
      <c r="AB86" s="2471"/>
      <c r="AC86" s="2471"/>
      <c r="AD86" s="2471"/>
      <c r="AE86" s="2471"/>
      <c r="AF86" s="2471"/>
      <c r="AG86" s="2471"/>
      <c r="AH86" s="2471"/>
      <c r="AI86" s="2471"/>
    </row>
    <row r="87" spans="1:35" s="2469" customFormat="1" ht="14.25">
      <c r="A87" s="216" t="s">
        <v>770</v>
      </c>
      <c r="B87" s="197" t="s">
        <v>2246</v>
      </c>
      <c r="C87" s="224">
        <f>C88+C89</f>
        <v>0</v>
      </c>
      <c r="D87" s="225"/>
      <c r="E87" s="1798"/>
      <c r="F87" s="1799"/>
      <c r="G87" s="1799"/>
      <c r="H87" s="1801"/>
      <c r="I87" s="2474"/>
      <c r="J87" s="2470"/>
      <c r="K87" s="2470"/>
      <c r="L87" s="2470"/>
      <c r="M87" s="2470"/>
      <c r="N87" s="2470"/>
      <c r="O87" s="2470"/>
      <c r="P87" s="2470"/>
      <c r="Q87" s="2470"/>
      <c r="R87" s="2470"/>
      <c r="S87" s="2470"/>
      <c r="T87" s="2470"/>
      <c r="U87" s="2470"/>
      <c r="V87" s="2470"/>
      <c r="W87" s="2470"/>
      <c r="X87" s="2470"/>
      <c r="Y87" s="2470"/>
      <c r="Z87" s="2470"/>
      <c r="AA87" s="2471"/>
      <c r="AB87" s="2471"/>
      <c r="AC87" s="2471"/>
      <c r="AD87" s="2471"/>
      <c r="AE87" s="2471"/>
      <c r="AF87" s="2471"/>
      <c r="AG87" s="2471"/>
      <c r="AH87" s="2471"/>
      <c r="AI87" s="2471"/>
    </row>
    <row r="88" spans="1:35" s="2469" customFormat="1" ht="14.25">
      <c r="A88" s="216" t="s">
        <v>776</v>
      </c>
      <c r="B88" s="197" t="s">
        <v>2247</v>
      </c>
      <c r="C88" s="235"/>
      <c r="D88" s="225"/>
      <c r="E88" s="236" t="s">
        <v>2248</v>
      </c>
      <c r="F88" s="1799"/>
      <c r="G88" s="237" t="s">
        <v>2249</v>
      </c>
      <c r="H88" s="2479"/>
      <c r="I88" s="2474"/>
      <c r="J88" s="2470"/>
      <c r="K88" s="2470"/>
      <c r="L88" s="2470"/>
      <c r="M88" s="2470"/>
      <c r="N88" s="2470"/>
      <c r="O88" s="2470"/>
      <c r="P88" s="2470"/>
      <c r="Q88" s="2470"/>
      <c r="R88" s="2470"/>
      <c r="S88" s="2470"/>
      <c r="T88" s="2470"/>
      <c r="U88" s="2470"/>
      <c r="V88" s="2470"/>
      <c r="W88" s="2470"/>
      <c r="X88" s="2470"/>
      <c r="Y88" s="2470"/>
      <c r="Z88" s="2470"/>
      <c r="AA88" s="2471"/>
      <c r="AB88" s="2471"/>
      <c r="AC88" s="2471"/>
      <c r="AD88" s="2471"/>
      <c r="AE88" s="2471"/>
      <c r="AF88" s="2471"/>
      <c r="AG88" s="2471"/>
      <c r="AH88" s="2471"/>
      <c r="AI88" s="2471"/>
    </row>
    <row r="89" spans="1:35" s="2469" customFormat="1" ht="14.25">
      <c r="A89" s="216" t="s">
        <v>777</v>
      </c>
      <c r="B89" s="197" t="s">
        <v>2237</v>
      </c>
      <c r="C89" s="224">
        <f>ROUND(C88*D89,0)</f>
        <v>0</v>
      </c>
      <c r="D89" s="225">
        <f>'数据-取费表'!B48+'数据-取费表'!B49</f>
        <v>3.0499999999999999E-2</v>
      </c>
      <c r="E89" s="236" t="s">
        <v>2250</v>
      </c>
      <c r="F89" s="1799"/>
      <c r="G89" s="1799"/>
      <c r="H89" s="1801"/>
      <c r="I89" s="2474"/>
      <c r="J89" s="2470"/>
      <c r="K89" s="2470"/>
      <c r="L89" s="2470"/>
      <c r="M89" s="2470"/>
      <c r="N89" s="2470"/>
      <c r="O89" s="2470"/>
      <c r="P89" s="2470"/>
      <c r="Q89" s="2470"/>
      <c r="R89" s="2470"/>
      <c r="S89" s="2470"/>
      <c r="T89" s="2470"/>
      <c r="U89" s="2470"/>
      <c r="V89" s="2470"/>
      <c r="W89" s="2470"/>
      <c r="X89" s="2470"/>
      <c r="Y89" s="2470"/>
      <c r="Z89" s="2470"/>
      <c r="AA89" s="2471"/>
      <c r="AB89" s="2471"/>
      <c r="AC89" s="2471"/>
      <c r="AD89" s="2471"/>
      <c r="AE89" s="2471"/>
      <c r="AF89" s="2471"/>
      <c r="AG89" s="2471"/>
      <c r="AH89" s="2471"/>
      <c r="AI89" s="2471"/>
    </row>
    <row r="90" spans="1:35" s="2469" customFormat="1" ht="14.25">
      <c r="A90" s="216" t="s">
        <v>771</v>
      </c>
      <c r="B90" s="197" t="s">
        <v>2251</v>
      </c>
      <c r="C90" s="235"/>
      <c r="D90" s="225"/>
      <c r="E90" s="236" t="str">
        <f>IF(H88="-","土地取得成本中已包含该笔费用"," ")</f>
        <v xml:space="preserve"> </v>
      </c>
      <c r="F90" s="1799"/>
      <c r="G90" s="1799"/>
      <c r="H90" s="1801"/>
      <c r="I90" s="2474"/>
      <c r="J90" s="2470"/>
      <c r="K90" s="2470"/>
      <c r="L90" s="2470"/>
      <c r="M90" s="2470"/>
      <c r="N90" s="2470"/>
      <c r="O90" s="2470"/>
      <c r="P90" s="2470"/>
      <c r="Q90" s="2470"/>
      <c r="R90" s="2470"/>
      <c r="S90" s="2470"/>
      <c r="T90" s="2470"/>
      <c r="U90" s="2470"/>
      <c r="V90" s="2470"/>
      <c r="W90" s="2470"/>
      <c r="X90" s="2470"/>
      <c r="Y90" s="2470"/>
      <c r="Z90" s="2470"/>
      <c r="AA90" s="2471"/>
      <c r="AB90" s="2471"/>
      <c r="AC90" s="2471"/>
      <c r="AD90" s="2471"/>
      <c r="AE90" s="2471"/>
      <c r="AF90" s="2471"/>
      <c r="AG90" s="2471"/>
      <c r="AH90" s="2471"/>
      <c r="AI90" s="2471"/>
    </row>
    <row r="91" spans="1:35" s="2469" customFormat="1" ht="27.75" customHeight="1">
      <c r="A91" s="216" t="s">
        <v>2252</v>
      </c>
      <c r="B91" s="197" t="s">
        <v>2253</v>
      </c>
      <c r="C91" s="224">
        <f>IF(H91="——",'成本法（车库）'!C33,I91)</f>
        <v>0</v>
      </c>
      <c r="D91" s="225"/>
      <c r="E91" s="3208" t="s">
        <v>2254</v>
      </c>
      <c r="F91" s="3209"/>
      <c r="G91" s="3209"/>
      <c r="H91" s="2480" t="s">
        <v>2255</v>
      </c>
      <c r="I91" s="2481"/>
      <c r="J91" s="2470"/>
      <c r="K91" s="2470"/>
      <c r="L91" s="2470"/>
      <c r="M91" s="2470"/>
      <c r="N91" s="2470"/>
      <c r="O91" s="2470"/>
      <c r="P91" s="2470"/>
      <c r="Q91" s="2470"/>
      <c r="R91" s="2470"/>
      <c r="S91" s="2470"/>
      <c r="T91" s="2470"/>
      <c r="U91" s="2470"/>
      <c r="V91" s="2470"/>
      <c r="W91" s="2470"/>
      <c r="X91" s="2470"/>
      <c r="Y91" s="2470"/>
      <c r="Z91" s="2470"/>
      <c r="AA91" s="2471"/>
      <c r="AB91" s="2471"/>
      <c r="AC91" s="2471"/>
      <c r="AD91" s="2471"/>
      <c r="AE91" s="2471"/>
      <c r="AF91" s="2471"/>
      <c r="AG91" s="2471"/>
      <c r="AH91" s="2471"/>
      <c r="AI91" s="2471"/>
    </row>
    <row r="92" spans="1:35" s="2469" customFormat="1" ht="25.5" customHeight="1">
      <c r="A92" s="216" t="s">
        <v>2256</v>
      </c>
      <c r="B92" s="197" t="s">
        <v>2257</v>
      </c>
      <c r="C92" s="224">
        <f>ROUND((C87+C90+C91)*D92,0)</f>
        <v>0</v>
      </c>
      <c r="D92" s="225">
        <v>0.1</v>
      </c>
      <c r="E92" s="3208" t="s">
        <v>2258</v>
      </c>
      <c r="F92" s="3209"/>
      <c r="G92" s="3209"/>
      <c r="H92" s="3218"/>
      <c r="I92" s="2474"/>
      <c r="J92" s="2470"/>
      <c r="K92" s="2470"/>
      <c r="L92" s="2470"/>
      <c r="M92" s="2470"/>
      <c r="N92" s="2470"/>
      <c r="O92" s="2470"/>
      <c r="P92" s="2470"/>
      <c r="Q92" s="2470"/>
      <c r="R92" s="2470"/>
      <c r="S92" s="2470"/>
      <c r="T92" s="2470"/>
      <c r="U92" s="2470"/>
      <c r="V92" s="2470"/>
      <c r="W92" s="2470"/>
      <c r="X92" s="2470"/>
      <c r="Y92" s="2470"/>
      <c r="Z92" s="2470"/>
      <c r="AA92" s="2471"/>
      <c r="AB92" s="2471"/>
      <c r="AC92" s="2471"/>
      <c r="AD92" s="2471"/>
      <c r="AE92" s="2471"/>
      <c r="AF92" s="2471"/>
      <c r="AG92" s="2471"/>
      <c r="AH92" s="2471"/>
      <c r="AI92" s="2471"/>
    </row>
    <row r="93" spans="1:35" s="2469" customFormat="1" ht="25.5" customHeight="1">
      <c r="A93" s="216" t="s">
        <v>2259</v>
      </c>
      <c r="B93" s="197" t="s">
        <v>2240</v>
      </c>
      <c r="C93" s="224">
        <f ca="1">ROUND(D45*D93/(1+'数据-取费表'!C42),0)</f>
        <v>7820</v>
      </c>
      <c r="D93" s="225">
        <f>'数据-取费表'!B43</f>
        <v>6.000000000000001E-3</v>
      </c>
      <c r="E93" s="3208" t="s">
        <v>2241</v>
      </c>
      <c r="F93" s="3209"/>
      <c r="G93" s="3209"/>
      <c r="H93" s="3218"/>
      <c r="I93" s="2474"/>
      <c r="J93" s="2470"/>
      <c r="K93" s="2470"/>
      <c r="L93" s="2470"/>
      <c r="M93" s="2470"/>
      <c r="N93" s="2470"/>
      <c r="O93" s="2470"/>
      <c r="P93" s="2470"/>
      <c r="Q93" s="2470"/>
      <c r="R93" s="2470"/>
      <c r="S93" s="2470"/>
      <c r="T93" s="2470"/>
      <c r="U93" s="2470"/>
      <c r="V93" s="2470"/>
      <c r="W93" s="2470"/>
      <c r="X93" s="2470"/>
      <c r="Y93" s="2470"/>
      <c r="Z93" s="2470"/>
      <c r="AA93" s="2471"/>
      <c r="AB93" s="2471"/>
      <c r="AC93" s="2471"/>
      <c r="AD93" s="2471"/>
      <c r="AE93" s="2471"/>
      <c r="AF93" s="2471"/>
      <c r="AG93" s="2471"/>
      <c r="AH93" s="2471"/>
      <c r="AI93" s="2471"/>
    </row>
    <row r="94" spans="1:35" s="2469" customFormat="1" ht="36.75" customHeight="1">
      <c r="A94" s="216" t="s">
        <v>2260</v>
      </c>
      <c r="B94" s="197" t="s">
        <v>2261</v>
      </c>
      <c r="C94" s="235">
        <f>ROUND((C87+C90+C91)*D94,0)</f>
        <v>0</v>
      </c>
      <c r="D94" s="225">
        <v>0.2</v>
      </c>
      <c r="E94" s="3219" t="s">
        <v>2262</v>
      </c>
      <c r="F94" s="3220"/>
      <c r="G94" s="3220"/>
      <c r="H94" s="3221"/>
      <c r="I94" s="2474"/>
      <c r="J94" s="2470"/>
      <c r="K94" s="2470"/>
      <c r="L94" s="2470"/>
      <c r="M94" s="2470"/>
      <c r="N94" s="2470"/>
      <c r="O94" s="2470"/>
      <c r="P94" s="2470"/>
      <c r="Q94" s="2470"/>
      <c r="R94" s="2470"/>
      <c r="S94" s="2470"/>
      <c r="T94" s="2470"/>
      <c r="U94" s="2470"/>
      <c r="V94" s="2470"/>
      <c r="W94" s="2470"/>
      <c r="X94" s="2470"/>
      <c r="Y94" s="2470"/>
      <c r="Z94" s="2470"/>
      <c r="AA94" s="2471"/>
      <c r="AB94" s="2471"/>
      <c r="AC94" s="2471"/>
      <c r="AD94" s="2471"/>
      <c r="AE94" s="2471"/>
      <c r="AF94" s="2471"/>
      <c r="AG94" s="2471"/>
      <c r="AH94" s="2471"/>
      <c r="AI94" s="2471"/>
    </row>
    <row r="95" spans="1:35" s="2469" customFormat="1" ht="14.25">
      <c r="A95" s="2477" t="s">
        <v>779</v>
      </c>
      <c r="B95" s="203" t="s">
        <v>2242</v>
      </c>
      <c r="C95" s="206">
        <f ca="1">ROUND(C85-C86,0)</f>
        <v>1295588</v>
      </c>
      <c r="D95" s="199" t="s">
        <v>32</v>
      </c>
      <c r="E95" s="1802"/>
      <c r="F95" s="1796"/>
      <c r="G95" s="1796"/>
      <c r="H95" s="233"/>
      <c r="I95" s="2474"/>
      <c r="J95" s="2470"/>
      <c r="K95" s="2470"/>
      <c r="L95" s="2470"/>
      <c r="M95" s="2470"/>
      <c r="N95" s="2470"/>
      <c r="O95" s="2470"/>
      <c r="P95" s="2470"/>
      <c r="Q95" s="2470"/>
      <c r="R95" s="2470"/>
      <c r="S95" s="2470"/>
      <c r="T95" s="2470"/>
      <c r="U95" s="2470"/>
      <c r="V95" s="2470"/>
      <c r="W95" s="2470"/>
      <c r="X95" s="2470"/>
      <c r="Y95" s="2470"/>
      <c r="Z95" s="2470"/>
      <c r="AA95" s="2471"/>
      <c r="AB95" s="2471"/>
      <c r="AC95" s="2471"/>
      <c r="AD95" s="2471"/>
      <c r="AE95" s="2471"/>
      <c r="AF95" s="2471"/>
      <c r="AG95" s="2471"/>
      <c r="AH95" s="2471"/>
      <c r="AI95" s="2471"/>
    </row>
    <row r="96" spans="1:35" s="2469" customFormat="1" ht="24">
      <c r="A96" s="2477" t="s">
        <v>780</v>
      </c>
      <c r="B96" s="203" t="s">
        <v>2243</v>
      </c>
      <c r="C96" s="226">
        <f ca="1">IF(C95&lt;=0,0,C95/C86)</f>
        <v>165.67621483375959</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474"/>
      <c r="J96" s="2470"/>
      <c r="K96" s="2470"/>
      <c r="L96" s="2470"/>
      <c r="M96" s="2470"/>
      <c r="N96" s="2470"/>
      <c r="O96" s="2470"/>
      <c r="P96" s="2470"/>
      <c r="Q96" s="2470"/>
      <c r="R96" s="2470"/>
      <c r="S96" s="2470"/>
      <c r="T96" s="2470"/>
      <c r="U96" s="2470"/>
      <c r="V96" s="2470"/>
      <c r="W96" s="2470"/>
      <c r="X96" s="2470"/>
      <c r="Y96" s="2470"/>
      <c r="Z96" s="2470"/>
      <c r="AA96" s="2471"/>
      <c r="AB96" s="2471"/>
      <c r="AC96" s="2471"/>
      <c r="AD96" s="2471"/>
      <c r="AE96" s="2471"/>
      <c r="AF96" s="2471"/>
      <c r="AG96" s="2471"/>
      <c r="AH96" s="2471"/>
      <c r="AI96" s="2471"/>
    </row>
    <row r="97" spans="1:35" s="2469" customFormat="1" ht="24.75" thickBot="1">
      <c r="A97" s="2478" t="s">
        <v>781</v>
      </c>
      <c r="B97" s="208" t="s">
        <v>2244</v>
      </c>
      <c r="C97" s="227">
        <f ca="1">ROUND(IF(C95&lt;=0,0,IF(C96&gt;=200%,C95*60%-C86*35%,IF(C96&gt;=100%,C95*50%-C86*15%,IF(C96&gt;=50%,C95*40%-C86*5%,IF(C96&lt;50%,C95*30%,0))))),0)</f>
        <v>774616</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474"/>
      <c r="J97" s="2470"/>
      <c r="K97" s="2470"/>
      <c r="L97" s="2470"/>
      <c r="M97" s="2470"/>
      <c r="N97" s="2470"/>
      <c r="O97" s="2470"/>
      <c r="P97" s="2470"/>
      <c r="Q97" s="2470"/>
      <c r="R97" s="2470"/>
      <c r="S97" s="2470"/>
      <c r="T97" s="2470"/>
      <c r="U97" s="2470"/>
      <c r="V97" s="2470"/>
      <c r="W97" s="2470"/>
      <c r="X97" s="2470"/>
      <c r="Y97" s="2470"/>
      <c r="Z97" s="2470"/>
      <c r="AA97" s="2471"/>
      <c r="AB97" s="2471"/>
      <c r="AC97" s="2471"/>
      <c r="AD97" s="2471"/>
      <c r="AE97" s="2471"/>
      <c r="AF97" s="2471"/>
      <c r="AG97" s="2471"/>
      <c r="AH97" s="2471"/>
      <c r="AI97" s="2471"/>
    </row>
    <row r="98" spans="1:35" ht="21.75" customHeight="1">
      <c r="A98" s="2458"/>
      <c r="B98" s="2380"/>
      <c r="C98" s="2380"/>
      <c r="D98" s="2380"/>
      <c r="E98" s="2168"/>
      <c r="F98" s="2168"/>
      <c r="G98" s="2168"/>
      <c r="H98" s="2167"/>
      <c r="I98" s="137"/>
    </row>
    <row r="99" spans="1:35" ht="21.75" customHeight="1" thickBot="1">
      <c r="A99" s="2436" t="s">
        <v>2263</v>
      </c>
      <c r="B99" s="2380"/>
      <c r="C99" s="2380"/>
      <c r="D99" s="2380"/>
      <c r="E99" s="2168"/>
      <c r="F99" s="2168"/>
      <c r="G99" s="2168"/>
      <c r="H99" s="2167"/>
      <c r="I99" s="137"/>
    </row>
    <row r="100" spans="1:35" ht="18.75" customHeight="1">
      <c r="A100" s="3193" t="s">
        <v>2264</v>
      </c>
      <c r="B100" s="3194"/>
      <c r="C100" s="3194"/>
      <c r="D100" s="3210"/>
      <c r="E100" s="3194" t="s">
        <v>2265</v>
      </c>
      <c r="F100" s="3194"/>
      <c r="G100" s="3194"/>
      <c r="H100" s="3210"/>
      <c r="I100" s="137"/>
    </row>
    <row r="101" spans="1:35" ht="18.75" customHeight="1">
      <c r="A101" s="3272" t="s">
        <v>2266</v>
      </c>
      <c r="B101" s="3273"/>
      <c r="C101" s="735" t="str">
        <f>C4</f>
        <v>比较法-办公</v>
      </c>
      <c r="D101" s="736" t="str">
        <f>D4</f>
        <v>收益法 (办公)</v>
      </c>
      <c r="E101" s="3286" t="s">
        <v>2267</v>
      </c>
      <c r="F101" s="3240"/>
      <c r="G101" s="2482" t="s">
        <v>2268</v>
      </c>
      <c r="H101" s="1047">
        <f ca="1">H118</f>
        <v>1368578</v>
      </c>
      <c r="I101" s="137"/>
    </row>
    <row r="102" spans="1:35" ht="18.75" customHeight="1">
      <c r="A102" s="3242" t="s">
        <v>2269</v>
      </c>
      <c r="B102" s="2482" t="s">
        <v>2268</v>
      </c>
      <c r="C102" s="735">
        <f ca="1">C19</f>
        <v>1011549</v>
      </c>
      <c r="D102" s="736">
        <f ca="1">D19</f>
        <v>1521591</v>
      </c>
      <c r="E102" s="3286"/>
      <c r="F102" s="3240"/>
      <c r="G102" s="2482" t="s">
        <v>2270</v>
      </c>
      <c r="H102" s="370">
        <f ca="1">I118</f>
        <v>127675</v>
      </c>
      <c r="I102" s="137"/>
    </row>
    <row r="103" spans="1:35" ht="42.75" customHeight="1">
      <c r="A103" s="3242"/>
      <c r="B103" s="2482" t="s">
        <v>2270</v>
      </c>
      <c r="C103" s="737">
        <f ca="1">C20</f>
        <v>94368</v>
      </c>
      <c r="D103" s="738">
        <f ca="1">D20</f>
        <v>141950</v>
      </c>
      <c r="E103" s="3281" t="s">
        <v>2271</v>
      </c>
      <c r="F103" s="3282"/>
      <c r="G103" s="2483" t="s">
        <v>2272</v>
      </c>
      <c r="H103" s="1047">
        <f>IF(D36="正常操作",H104+H105+H106,H105+H106)</f>
        <v>0</v>
      </c>
      <c r="I103" s="137"/>
    </row>
    <row r="104" spans="1:35" ht="18.75" customHeight="1">
      <c r="A104" s="3242" t="s">
        <v>2273</v>
      </c>
      <c r="B104" s="2484" t="s">
        <v>2268</v>
      </c>
      <c r="C104" s="739">
        <f ca="1">H118</f>
        <v>1368578</v>
      </c>
      <c r="D104" s="740"/>
      <c r="E104" s="2268" t="s">
        <v>2274</v>
      </c>
      <c r="F104" s="2260"/>
      <c r="G104" s="2483" t="s">
        <v>2272</v>
      </c>
      <c r="H104" s="1048">
        <f>IF(D36="同一抵押权人同一抵押物续贷",C36&amp;"（未扣减，详见特别提示）",C36)</f>
        <v>0</v>
      </c>
      <c r="I104" s="137"/>
    </row>
    <row r="105" spans="1:35" ht="18.75" customHeight="1" thickBot="1">
      <c r="A105" s="3243"/>
      <c r="B105" s="2485" t="s">
        <v>2270</v>
      </c>
      <c r="C105" s="741">
        <f ca="1">I118</f>
        <v>127675</v>
      </c>
      <c r="D105" s="742"/>
      <c r="E105" s="2268" t="s">
        <v>2275</v>
      </c>
      <c r="F105" s="2260"/>
      <c r="G105" s="2483" t="s">
        <v>2272</v>
      </c>
      <c r="H105" s="1048">
        <f>C37</f>
        <v>0</v>
      </c>
      <c r="I105" s="137"/>
    </row>
    <row r="106" spans="1:35" ht="18.75" customHeight="1">
      <c r="A106" s="2380" t="s">
        <v>2276</v>
      </c>
      <c r="B106" s="2380"/>
      <c r="C106" s="2380"/>
      <c r="D106" s="2380"/>
      <c r="E106" s="2486" t="s">
        <v>2277</v>
      </c>
      <c r="F106" s="2260"/>
      <c r="G106" s="2483" t="s">
        <v>2272</v>
      </c>
      <c r="H106" s="1048">
        <f>C38</f>
        <v>0</v>
      </c>
      <c r="I106" s="137"/>
    </row>
    <row r="107" spans="1:35" ht="18.75" customHeight="1">
      <c r="A107" s="137"/>
      <c r="B107" s="137"/>
      <c r="C107" s="137"/>
      <c r="D107" s="137"/>
      <c r="E107" s="3239" t="str">
        <f>IF(项目基本情况!E8="已注销","——","3.房地产抵押价值")</f>
        <v>3.房地产抵押价值</v>
      </c>
      <c r="F107" s="3240"/>
      <c r="G107" s="2482" t="s">
        <v>2268</v>
      </c>
      <c r="H107" s="1047">
        <f ca="1">IF(E107="——","——",H101-H103)</f>
        <v>1368578</v>
      </c>
      <c r="I107" s="137"/>
    </row>
    <row r="108" spans="1:35" ht="18.75" customHeight="1">
      <c r="A108" s="137"/>
      <c r="B108" s="137"/>
      <c r="C108" s="137"/>
      <c r="D108" s="137"/>
      <c r="E108" s="3239"/>
      <c r="F108" s="3240"/>
      <c r="G108" s="2482" t="s">
        <v>2270</v>
      </c>
      <c r="H108" s="370">
        <f ca="1">ROUND(H107*10000/'数据-汇总表'!E3,0)</f>
        <v>95042</v>
      </c>
      <c r="I108" s="137"/>
    </row>
    <row r="109" spans="1:35" ht="18.75" customHeight="1">
      <c r="A109" s="137"/>
      <c r="B109" s="137"/>
      <c r="C109" s="137"/>
      <c r="D109" s="137"/>
      <c r="E109" s="3239" t="str">
        <f>IF(项目基本情况!E8="已注销及未注销","4.抵押担保权已注销时的房地产抵押价值",IF(项目基本情况!E8="已注销","3.抵押担保权已注销时的房地产抵押价值","——"))</f>
        <v>——</v>
      </c>
      <c r="F109" s="3240"/>
      <c r="G109" s="2482" t="s">
        <v>2268</v>
      </c>
      <c r="H109" s="347" t="str">
        <f>IF(E109="——","——",H101-H105-H106)</f>
        <v>——</v>
      </c>
      <c r="I109" s="137"/>
    </row>
    <row r="110" spans="1:35" ht="18.75" customHeight="1">
      <c r="A110" s="137"/>
      <c r="B110" s="137"/>
      <c r="C110" s="137"/>
      <c r="D110" s="137"/>
      <c r="E110" s="3239"/>
      <c r="F110" s="3240"/>
      <c r="G110" s="2482" t="s">
        <v>2270</v>
      </c>
      <c r="H110" s="370" t="str">
        <f>IF(H109="——","——",ROUND(H109*10000/'数据-汇总表'!E3,0))</f>
        <v>——</v>
      </c>
      <c r="I110" s="137"/>
    </row>
    <row r="111" spans="1:35" ht="18.75" customHeight="1">
      <c r="A111" s="137"/>
      <c r="B111" s="137"/>
      <c r="C111" s="137"/>
      <c r="D111" s="137"/>
      <c r="E111" s="3274" t="str">
        <f>IF(项目基本情况!E9="抵押净值",IF(OR(项目基本情况!E8="已注销",项目基本情况!E8="房地产抵押价值"),"4.抵押净值","5.抵押净值"),"——")</f>
        <v>——</v>
      </c>
      <c r="F111" s="3275"/>
      <c r="G111" s="2482" t="s">
        <v>2268</v>
      </c>
      <c r="H111" s="1047" t="str">
        <f>IF(E111="——","——",N59)</f>
        <v>——</v>
      </c>
      <c r="I111" s="137"/>
    </row>
    <row r="112" spans="1:35" ht="18.75" customHeight="1" thickBot="1">
      <c r="A112" s="137"/>
      <c r="B112" s="137"/>
      <c r="C112" s="137"/>
      <c r="D112" s="137"/>
      <c r="E112" s="3276"/>
      <c r="F112" s="3277"/>
      <c r="G112" s="2487" t="s">
        <v>2270</v>
      </c>
      <c r="H112" s="789" t="str">
        <f>IF(E111="——","——",N61)</f>
        <v>——</v>
      </c>
      <c r="I112" s="137"/>
    </row>
    <row r="113" spans="1:11" ht="18.75" customHeight="1">
      <c r="A113" s="137"/>
      <c r="B113" s="137"/>
      <c r="C113" s="137"/>
      <c r="D113" s="137"/>
      <c r="E113" s="3244" t="s">
        <v>2276</v>
      </c>
      <c r="F113" s="3244"/>
      <c r="G113" s="3244"/>
      <c r="H113" s="3244"/>
      <c r="I113" s="137"/>
    </row>
    <row r="114" spans="1:11" ht="3.75" customHeight="1">
      <c r="A114" s="2380"/>
      <c r="B114" s="2380"/>
      <c r="C114" s="2380"/>
      <c r="D114" s="2380"/>
      <c r="E114" s="2458"/>
      <c r="F114" s="2458"/>
      <c r="G114" s="2458"/>
      <c r="H114" s="2458"/>
      <c r="I114" s="2380"/>
    </row>
    <row r="115" spans="1:11" ht="18.75" customHeight="1">
      <c r="A115" s="3257" t="s">
        <v>2278</v>
      </c>
      <c r="B115" s="3258"/>
      <c r="C115" s="3258"/>
      <c r="D115" s="3258"/>
      <c r="E115" s="3258"/>
      <c r="F115" s="3258"/>
      <c r="G115" s="3258"/>
      <c r="H115" s="3258"/>
      <c r="I115" s="3259"/>
    </row>
    <row r="116" spans="1:11" ht="27" customHeight="1">
      <c r="A116" s="3150" t="s">
        <v>2279</v>
      </c>
      <c r="B116" s="3245" t="s">
        <v>2280</v>
      </c>
      <c r="C116" s="3245" t="s">
        <v>2281</v>
      </c>
      <c r="D116" s="3261" t="s">
        <v>2282</v>
      </c>
      <c r="E116" s="3262"/>
      <c r="F116" s="3253" t="s">
        <v>2283</v>
      </c>
      <c r="G116" s="3253"/>
      <c r="H116" s="3150" t="s">
        <v>2284</v>
      </c>
      <c r="I116" s="3150"/>
    </row>
    <row r="117" spans="1:11" ht="18.75" customHeight="1">
      <c r="A117" s="3150"/>
      <c r="B117" s="3246"/>
      <c r="C117" s="3246"/>
      <c r="D117" s="1797" t="s">
        <v>2285</v>
      </c>
      <c r="E117" s="1797" t="s">
        <v>2286</v>
      </c>
      <c r="F117" s="1797" t="s">
        <v>2285</v>
      </c>
      <c r="G117" s="1797" t="s">
        <v>2287</v>
      </c>
      <c r="H117" s="1797" t="s">
        <v>2285</v>
      </c>
      <c r="I117" s="1797" t="s">
        <v>2287</v>
      </c>
    </row>
    <row r="118" spans="1:11" ht="24.75" customHeight="1">
      <c r="A118" s="2488" t="str">
        <f>项目基本情况!S2</f>
        <v>北京市财源国际大厦A、B座房地产</v>
      </c>
      <c r="B118" s="1797">
        <f>M18</f>
        <v>107191.97</v>
      </c>
      <c r="C118" s="1797">
        <f>M19</f>
        <v>6988.34</v>
      </c>
      <c r="D118" s="1797">
        <f ca="1">ROUND(IF(D32="总价",C34,E118*B118/10000),0)</f>
        <v>1185189</v>
      </c>
      <c r="E118" s="1797">
        <f ca="1">ROUND(IF(C33="自定义",IF(D32="楼面单价",C34,D118*10000/B118),I118-G118),0)</f>
        <v>110567</v>
      </c>
      <c r="F118" s="1797">
        <f ca="1">ROUND(IF(D32="总价",C35,G118*B118/10000),0)</f>
        <v>183389</v>
      </c>
      <c r="G118" s="1797">
        <f ca="1">ROUND(IF(D32="楼面单价",C35,F118*10000/B118),0)</f>
        <v>17108</v>
      </c>
      <c r="H118" s="1797">
        <f ca="1">ROUND(IF(D32="总价",C32,I118*B118/10000),0)</f>
        <v>1368578</v>
      </c>
      <c r="I118" s="1797">
        <f ca="1">ROUND(IF(D32="楼面单价",C32,H118*10000/B118),0)</f>
        <v>127675</v>
      </c>
    </row>
    <row r="119" spans="1:11" ht="18.75" customHeight="1">
      <c r="A119" s="3150" t="s">
        <v>2288</v>
      </c>
      <c r="B119" s="3150"/>
      <c r="C119" s="3150"/>
      <c r="D119" s="3250" t="str">
        <f ca="1">NUMBERSTRING(INT(D118*10000),2)&amp;"元整"</f>
        <v>壹佰壹拾捌亿伍仟壹佰捌拾玖万元整</v>
      </c>
      <c r="E119" s="3252"/>
      <c r="F119" s="3250" t="str">
        <f ca="1">NUMBERSTRING(INT(F118*10000),2)&amp;"元整"</f>
        <v>壹拾捌亿叁仟叁佰捌拾玖万元整</v>
      </c>
      <c r="G119" s="3252"/>
      <c r="H119" s="3250" t="str">
        <f ca="1">NUMBERSTRING(INT(H118*10000),2)&amp;"元整"</f>
        <v>壹佰叁拾陆亿捌仟伍佰柒拾捌万元整</v>
      </c>
      <c r="I119" s="3252"/>
    </row>
    <row r="120" spans="1:11" ht="18.75" customHeight="1">
      <c r="A120" s="3278" t="str">
        <f>IF(项目基本情况!B9="房地产市场价值","",MID(E103,3,LEN(E103)-2))</f>
        <v>估价师知悉的法定优先受偿款</v>
      </c>
      <c r="B120" s="3279"/>
      <c r="C120" s="3280"/>
      <c r="D120" s="3278">
        <f>H103</f>
        <v>0</v>
      </c>
      <c r="E120" s="3279"/>
      <c r="F120" s="3279"/>
      <c r="G120" s="3279"/>
      <c r="H120" s="3279"/>
      <c r="I120" s="3280"/>
      <c r="K120" s="2385" t="str">
        <f>IF(D120=0,"故，本次评估不存在"&amp;A120,"故，本次评估"&amp;A120&amp;"为人民币"&amp;D120&amp;"万元整。")</f>
        <v>故，本次评估不存在估价师知悉的法定优先受偿款</v>
      </c>
    </row>
    <row r="121" spans="1:11" ht="18.75" customHeight="1">
      <c r="A121" s="3254" t="s">
        <v>2288</v>
      </c>
      <c r="B121" s="3255"/>
      <c r="C121" s="3256"/>
      <c r="D121" s="3250" t="str">
        <f>IF(D120=0,"零元整",NUMBERSTRING(INT(D120*10000),2)&amp;"元整")</f>
        <v>零元整</v>
      </c>
      <c r="E121" s="3251"/>
      <c r="F121" s="3251"/>
      <c r="G121" s="3251"/>
      <c r="H121" s="3251"/>
      <c r="I121" s="3252"/>
    </row>
    <row r="122" spans="1:11" ht="18.75" customHeight="1">
      <c r="A122" s="3241" t="str">
        <f>IF(项目基本情况!B9="房地产市场价值","",MID(E107,3,LEN(E107)-2))</f>
        <v>房地产抵押价值</v>
      </c>
      <c r="B122" s="3241"/>
      <c r="C122" s="3241"/>
      <c r="D122" s="3278">
        <f ca="1">H107</f>
        <v>1368578</v>
      </c>
      <c r="E122" s="3279"/>
      <c r="F122" s="3279"/>
      <c r="G122" s="3279"/>
      <c r="H122" s="3279"/>
      <c r="I122" s="3280"/>
    </row>
    <row r="123" spans="1:11" ht="18.75" customHeight="1">
      <c r="A123" s="3150" t="s">
        <v>2288</v>
      </c>
      <c r="B123" s="3150"/>
      <c r="C123" s="3150"/>
      <c r="D123" s="3250" t="str">
        <f ca="1">NUMBERSTRING(INT(D122*10000),2)&amp;"元整"</f>
        <v>壹佰叁拾陆亿捌仟伍佰柒拾捌万元整</v>
      </c>
      <c r="E123" s="3251"/>
      <c r="F123" s="3251"/>
      <c r="G123" s="3251"/>
      <c r="H123" s="3251"/>
      <c r="I123" s="3252"/>
    </row>
    <row r="124" spans="1:11" ht="18.75" customHeight="1">
      <c r="A124" s="3241" t="str">
        <f>IF(项目基本情况!B9="房地产市场价值","",MID(E109,3,LEN(E109)-2))</f>
        <v/>
      </c>
      <c r="B124" s="3241"/>
      <c r="C124" s="3241"/>
      <c r="D124" s="3278" t="str">
        <f>H109</f>
        <v>——</v>
      </c>
      <c r="E124" s="3279"/>
      <c r="F124" s="3279"/>
      <c r="G124" s="3279"/>
      <c r="H124" s="3279"/>
      <c r="I124" s="3280"/>
    </row>
    <row r="125" spans="1:11" ht="18.75" customHeight="1">
      <c r="A125" s="3150" t="s">
        <v>2288</v>
      </c>
      <c r="B125" s="3150"/>
      <c r="C125" s="3150"/>
      <c r="D125" s="3250" t="e">
        <f>NUMBERSTRING(INT(D124*10000),2)&amp;"元整"</f>
        <v>#VALUE!</v>
      </c>
      <c r="E125" s="3251"/>
      <c r="F125" s="3251"/>
      <c r="G125" s="3251"/>
      <c r="H125" s="3251"/>
      <c r="I125" s="3252"/>
    </row>
    <row r="126" spans="1:11" ht="18.75" customHeight="1">
      <c r="A126" s="3241" t="str">
        <f>IF(项目基本情况!B9="房地产市场价值","",MID(E111,3,LEN(E111)-2))</f>
        <v/>
      </c>
      <c r="B126" s="3241"/>
      <c r="C126" s="3241"/>
      <c r="D126" s="3278" t="str">
        <f>H111</f>
        <v>——</v>
      </c>
      <c r="E126" s="3279"/>
      <c r="F126" s="3279"/>
      <c r="G126" s="3279"/>
      <c r="H126" s="3279"/>
      <c r="I126" s="3280"/>
    </row>
    <row r="127" spans="1:11" ht="18.75" customHeight="1">
      <c r="A127" s="3150" t="s">
        <v>2288</v>
      </c>
      <c r="B127" s="3150"/>
      <c r="C127" s="3150"/>
      <c r="D127" s="3250" t="e">
        <f>NUMBERSTRING(INT(D126*10000),2)&amp;"元整"</f>
        <v>#VALUE!</v>
      </c>
      <c r="E127" s="3251"/>
      <c r="F127" s="3251"/>
      <c r="G127" s="3251"/>
      <c r="H127" s="3251"/>
      <c r="I127" s="3252"/>
    </row>
    <row r="128" spans="1:11" ht="21.75" customHeight="1">
      <c r="A128" s="3260" t="s">
        <v>2289</v>
      </c>
      <c r="B128" s="3260"/>
      <c r="C128" s="3260"/>
      <c r="D128" s="3260"/>
      <c r="E128" s="3260"/>
      <c r="F128" s="3260"/>
      <c r="G128" s="3260"/>
      <c r="H128" s="3260"/>
      <c r="I128" s="3260"/>
    </row>
    <row r="129" spans="1:35" ht="21.75" customHeight="1">
      <c r="A129" s="2489" t="s">
        <v>2290</v>
      </c>
      <c r="B129" s="2490"/>
      <c r="C129" s="2491" t="s">
        <v>2291</v>
      </c>
      <c r="D129" s="2492"/>
      <c r="E129" s="2492"/>
      <c r="F129" s="2492"/>
      <c r="G129" s="2492"/>
      <c r="H129" s="2493"/>
      <c r="I129" s="2494"/>
    </row>
    <row r="130" spans="1:35" ht="21.75" customHeight="1">
      <c r="A130" s="2495">
        <v>1</v>
      </c>
      <c r="B130" s="2496"/>
      <c r="C130" s="2496"/>
      <c r="D130" s="2497"/>
      <c r="E130" s="2497"/>
      <c r="F130" s="2497"/>
      <c r="G130" s="2497"/>
      <c r="H130" s="2498"/>
      <c r="I130" s="2499"/>
    </row>
    <row r="131" spans="1:35" ht="21.75" customHeight="1">
      <c r="A131" s="2495">
        <v>2</v>
      </c>
      <c r="B131" s="2496"/>
      <c r="C131" s="2496"/>
      <c r="D131" s="2497"/>
      <c r="E131" s="2497"/>
      <c r="F131" s="2497"/>
      <c r="G131" s="2497"/>
      <c r="H131" s="2498"/>
      <c r="I131" s="2499"/>
    </row>
    <row r="132" spans="1:35" ht="21.75" customHeight="1">
      <c r="A132" s="2495">
        <v>3</v>
      </c>
      <c r="B132" s="2496"/>
      <c r="C132" s="2496"/>
      <c r="D132" s="2497"/>
      <c r="E132" s="2497"/>
      <c r="F132" s="2497"/>
      <c r="G132" s="2497"/>
      <c r="H132" s="2498"/>
      <c r="I132" s="2499"/>
    </row>
    <row r="133" spans="1:35" ht="21.75" customHeight="1">
      <c r="A133" s="2500"/>
      <c r="B133" s="2501"/>
      <c r="C133" s="2501"/>
      <c r="D133" s="2502"/>
      <c r="E133" s="2502"/>
      <c r="F133" s="2502"/>
      <c r="G133" s="2502"/>
      <c r="H133" s="2503"/>
      <c r="I133" s="2504"/>
    </row>
    <row r="134" spans="1:35" ht="21.75" customHeight="1">
      <c r="A134" s="2496"/>
      <c r="B134" s="2496"/>
      <c r="C134" s="2496"/>
      <c r="D134" s="2497"/>
      <c r="E134" s="2497"/>
      <c r="F134" s="2497"/>
      <c r="G134" s="2497"/>
      <c r="H134" s="2498"/>
      <c r="I134" s="794"/>
    </row>
    <row r="135" spans="1:35" ht="21.75" customHeight="1">
      <c r="A135" s="794"/>
      <c r="B135" s="794"/>
      <c r="C135" s="794"/>
      <c r="D135" s="794"/>
      <c r="E135" s="794"/>
      <c r="F135" s="2505" t="s">
        <v>2292</v>
      </c>
      <c r="G135" s="2506"/>
      <c r="H135" s="2506"/>
      <c r="I135" s="2507" t="s">
        <v>2293</v>
      </c>
    </row>
    <row r="136" spans="1:35" ht="21.75" customHeight="1">
      <c r="A136" s="794"/>
      <c r="B136" s="2508" t="s">
        <v>2294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06"/>
      <c r="C138" s="2506"/>
      <c r="D138" s="2506"/>
      <c r="E138" s="2506"/>
      <c r="F138" s="2506"/>
      <c r="G138" s="2506"/>
      <c r="H138" s="2506"/>
      <c r="I138" s="2507" t="s">
        <v>2295</v>
      </c>
    </row>
    <row r="139" spans="1:35" ht="21.75" customHeight="1">
      <c r="A139" s="794"/>
      <c r="B139" s="2508" t="s">
        <v>2296</v>
      </c>
      <c r="C139" s="794"/>
      <c r="D139" s="794"/>
      <c r="E139" s="794"/>
      <c r="F139" s="794"/>
      <c r="G139" s="794"/>
      <c r="H139" s="794"/>
      <c r="I139" s="794"/>
    </row>
    <row r="140" spans="1:35" ht="21.75" customHeight="1">
      <c r="A140" s="794"/>
      <c r="B140" s="2508"/>
      <c r="C140" s="794"/>
      <c r="D140" s="794"/>
      <c r="E140" s="794"/>
      <c r="F140" s="794"/>
      <c r="G140" s="794"/>
      <c r="H140" s="794"/>
      <c r="I140" s="794"/>
    </row>
    <row r="141" spans="1:35" ht="21.75" customHeight="1">
      <c r="A141" s="794"/>
      <c r="B141" s="2506"/>
      <c r="C141" s="2506"/>
      <c r="D141" s="2506"/>
      <c r="E141" s="2506"/>
      <c r="F141" s="2506"/>
      <c r="G141" s="2506"/>
      <c r="H141" s="2506"/>
      <c r="I141" s="2507" t="s">
        <v>2295</v>
      </c>
    </row>
    <row r="142" spans="1:35" ht="21.75" customHeight="1">
      <c r="A142" s="794"/>
      <c r="B142" s="2508"/>
      <c r="C142" s="2509"/>
      <c r="D142" s="2510"/>
      <c r="E142" s="2510"/>
      <c r="F142" s="2342"/>
      <c r="G142" s="794"/>
      <c r="H142" s="794"/>
      <c r="I142" s="794"/>
    </row>
    <row r="143" spans="1:35" s="138" customFormat="1" ht="21.75" customHeight="1">
      <c r="A143" s="794"/>
      <c r="B143" s="2508"/>
      <c r="C143" s="2509"/>
      <c r="D143" s="2510"/>
      <c r="E143" s="2510"/>
      <c r="F143" s="2342"/>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38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38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38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38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38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38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38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38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38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38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38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38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38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38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38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38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38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38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38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38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38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38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38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38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38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38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38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38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38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38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38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38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38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38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38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38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38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38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38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38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38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38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38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38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38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38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38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38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38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38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38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38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38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38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38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38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38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38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38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38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38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38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38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38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38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38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38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38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38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38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38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38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38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38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38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38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38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38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38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38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38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38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38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38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38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38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38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38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38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38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38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38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38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38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38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38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38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38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38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38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38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38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38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38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5" zoomScale="90" zoomScaleNormal="90" workbookViewId="0">
      <selection activeCell="K24" sqref="K24"/>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2499</v>
      </c>
      <c r="B1" s="2633" t="s">
        <v>2657</v>
      </c>
      <c r="C1" s="1622" t="s">
        <v>2501</v>
      </c>
      <c r="D1" s="1623" t="s">
        <v>27</v>
      </c>
      <c r="E1" s="1632"/>
      <c r="F1" s="2548" t="s">
        <v>3373</v>
      </c>
      <c r="G1" s="1633" t="s">
        <v>2614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2298</v>
      </c>
      <c r="B2" s="1420">
        <f>IF(C2="——",ROUND(C50*D3/10000,0),ROUND(C50*D3/10000,0)-D2)</f>
        <v>1011549</v>
      </c>
      <c r="C2" s="2550" t="s">
        <v>70</v>
      </c>
      <c r="D2" s="1367" t="e">
        <f ca="1">SUMIF(INDIRECT("'"&amp;F2&amp;"'"&amp;"!A:A"),"承租人权益价值",INDIRECT("'"&amp;F2&amp;"'"&amp;"!c:c"))</f>
        <v>#REF!</v>
      </c>
      <c r="E2" s="2551" t="s">
        <v>2299</v>
      </c>
      <c r="F2" s="2552"/>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2300</v>
      </c>
      <c r="B3" s="608">
        <f>IF(C2="——",C50,ROUND(B2*10000/D3,0))</f>
        <v>94368</v>
      </c>
      <c r="C3" s="399" t="s">
        <v>2615</v>
      </c>
      <c r="D3" s="398">
        <f>IF(D1="",'数据-汇总表'!E3,SUMIF('数据-汇总表'!$C19:$C33,D1,'数据-汇总表'!$E19:$E33))</f>
        <v>107191.97</v>
      </c>
      <c r="E3" s="2627"/>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2616</v>
      </c>
      <c r="B4" s="401"/>
      <c r="C4" s="3310" t="s">
        <v>2617</v>
      </c>
      <c r="D4" s="3311"/>
      <c r="E4" s="3312" t="s">
        <v>2618</v>
      </c>
      <c r="F4" s="3313"/>
      <c r="G4" s="3310" t="s">
        <v>2619</v>
      </c>
      <c r="H4" s="3311"/>
      <c r="I4" s="3310" t="s">
        <v>2620</v>
      </c>
      <c r="J4" s="3311"/>
      <c r="K4" s="609" t="s">
        <v>2621</v>
      </c>
      <c r="L4" s="1132"/>
      <c r="M4" s="1133"/>
      <c r="N4" s="1133"/>
      <c r="O4" s="1133"/>
      <c r="P4" s="3314" t="s">
        <v>2622</v>
      </c>
      <c r="Q4" s="3315"/>
      <c r="R4" s="3320" t="s">
        <v>2618</v>
      </c>
      <c r="S4" s="3321"/>
      <c r="T4" s="3320" t="s">
        <v>2619</v>
      </c>
      <c r="U4" s="3321"/>
      <c r="V4" s="3326" t="s">
        <v>2620</v>
      </c>
      <c r="W4" s="3326"/>
      <c r="X4" s="2634"/>
      <c r="Y4" s="3320" t="s">
        <v>2622</v>
      </c>
      <c r="Z4" s="3321"/>
      <c r="AA4" s="3338" t="s">
        <v>2618</v>
      </c>
      <c r="AB4" s="3338" t="s">
        <v>2619</v>
      </c>
      <c r="AC4" s="3307" t="s">
        <v>2620</v>
      </c>
    </row>
    <row r="5" spans="1:29" ht="15">
      <c r="A5" s="403"/>
      <c r="B5" s="404"/>
      <c r="C5" s="3330" t="s">
        <v>3326</v>
      </c>
      <c r="D5" s="3331"/>
      <c r="E5" s="3341" t="s">
        <v>3361</v>
      </c>
      <c r="F5" s="3342"/>
      <c r="G5" s="3330" t="s">
        <v>3381</v>
      </c>
      <c r="H5" s="3331"/>
      <c r="I5" s="3330" t="s">
        <v>3325</v>
      </c>
      <c r="J5" s="3331"/>
      <c r="K5" s="609"/>
      <c r="L5" s="1132"/>
      <c r="M5" s="1133"/>
      <c r="N5" s="1133"/>
      <c r="O5" s="1133"/>
      <c r="P5" s="3316"/>
      <c r="Q5" s="3317"/>
      <c r="R5" s="3322"/>
      <c r="S5" s="3323"/>
      <c r="T5" s="3322"/>
      <c r="U5" s="3323"/>
      <c r="V5" s="3327"/>
      <c r="W5" s="3327"/>
      <c r="X5" s="1815"/>
      <c r="Y5" s="3322"/>
      <c r="Z5" s="3323"/>
      <c r="AA5" s="3339"/>
      <c r="AB5" s="3339"/>
      <c r="AC5" s="3308"/>
    </row>
    <row r="6" spans="1:29" ht="15.75" thickBot="1">
      <c r="A6" s="405"/>
      <c r="B6" s="406"/>
      <c r="C6" s="3328" t="s">
        <v>2768</v>
      </c>
      <c r="D6" s="3329"/>
      <c r="E6" s="3336" t="s">
        <v>2768</v>
      </c>
      <c r="F6" s="3337"/>
      <c r="G6" s="3328" t="s">
        <v>2768</v>
      </c>
      <c r="H6" s="3329"/>
      <c r="I6" s="3328" t="s">
        <v>2768</v>
      </c>
      <c r="J6" s="3329"/>
      <c r="K6" s="609" t="s">
        <v>2518</v>
      </c>
      <c r="L6" s="1132"/>
      <c r="M6" s="1133"/>
      <c r="N6" s="1133"/>
      <c r="O6" s="1133"/>
      <c r="P6" s="3318"/>
      <c r="Q6" s="3319"/>
      <c r="R6" s="3322"/>
      <c r="S6" s="3323"/>
      <c r="T6" s="3324"/>
      <c r="U6" s="3325"/>
      <c r="V6" s="3327"/>
      <c r="W6" s="3327"/>
      <c r="X6" s="1815"/>
      <c r="Y6" s="3324"/>
      <c r="Z6" s="3325"/>
      <c r="AA6" s="3340"/>
      <c r="AB6" s="3340"/>
      <c r="AC6" s="3309"/>
    </row>
    <row r="7" spans="1:29" s="117" customFormat="1" ht="15.75" thickBot="1">
      <c r="A7" s="407" t="s">
        <v>2519</v>
      </c>
      <c r="B7" s="408"/>
      <c r="C7" s="409">
        <f>'数据-取费表'!B2</f>
        <v>43395</v>
      </c>
      <c r="D7" s="410">
        <v>100</v>
      </c>
      <c r="E7" s="411">
        <f>C7</f>
        <v>43395</v>
      </c>
      <c r="F7" s="412">
        <f>SUMIF(59:59,YEAR(E7)&amp;"-"&amp;MONTH(E7),60:60)</f>
        <v>100</v>
      </c>
      <c r="G7" s="411">
        <f>C7</f>
        <v>43395</v>
      </c>
      <c r="H7" s="410">
        <f>SUMIF(59:59,YEAR(G7)&amp;"-"&amp;MONTH(G7),60:60)</f>
        <v>100</v>
      </c>
      <c r="I7" s="411">
        <f>C7</f>
        <v>43395</v>
      </c>
      <c r="J7" s="410">
        <f>SUMIF(59:59,YEAR(I7)&amp;"-"&amp;MONTH(I7),60:60)</f>
        <v>100</v>
      </c>
      <c r="K7" s="610"/>
      <c r="L7" s="1134"/>
      <c r="M7" s="1135"/>
      <c r="N7" s="1135"/>
      <c r="O7" s="1135"/>
      <c r="P7" s="3332" t="s">
        <v>2520</v>
      </c>
      <c r="Q7" s="3335"/>
      <c r="R7" s="769" t="s">
        <v>17</v>
      </c>
      <c r="S7" s="770">
        <f t="shared" ref="S7:S15" si="0">F7</f>
        <v>100</v>
      </c>
      <c r="T7" s="769" t="s">
        <v>17</v>
      </c>
      <c r="U7" s="770">
        <f t="shared" ref="U7:U15" si="1">H7</f>
        <v>100</v>
      </c>
      <c r="V7" s="769" t="s">
        <v>17</v>
      </c>
      <c r="W7" s="770">
        <f t="shared" ref="W7:W15" si="2">J7</f>
        <v>100</v>
      </c>
      <c r="X7" s="771"/>
      <c r="Y7" s="3334" t="s">
        <v>2520</v>
      </c>
      <c r="Z7" s="3333"/>
      <c r="AA7" s="772">
        <f>D7/F7</f>
        <v>1</v>
      </c>
      <c r="AB7" s="772">
        <f>D7/H7</f>
        <v>1</v>
      </c>
      <c r="AC7" s="2635">
        <f>D7/J7</f>
        <v>1</v>
      </c>
    </row>
    <row r="8" spans="1:29" s="117" customFormat="1" ht="15.75" thickBot="1">
      <c r="A8" s="407" t="s">
        <v>2521</v>
      </c>
      <c r="B8" s="408"/>
      <c r="C8" s="413" t="s">
        <v>2623</v>
      </c>
      <c r="D8" s="410">
        <v>100</v>
      </c>
      <c r="E8" s="413" t="s">
        <v>3327</v>
      </c>
      <c r="F8" s="412">
        <f>SUMIF(62:62,E8,63:63)-SUMIF(62:62,C8,63:63)+100</f>
        <v>100</v>
      </c>
      <c r="G8" s="413" t="s">
        <v>3327</v>
      </c>
      <c r="H8" s="410">
        <f>SUMIF(62:62,G8,63:63)-SUMIF(62:62,C8,63:63)+100</f>
        <v>100</v>
      </c>
      <c r="I8" s="413" t="s">
        <v>3327</v>
      </c>
      <c r="J8" s="410">
        <f>SUMIF(62:62,I8,63:63)-SUMIF(62:62,C8,63:63)+100</f>
        <v>100</v>
      </c>
      <c r="K8" s="610"/>
      <c r="L8" s="1134"/>
      <c r="M8" s="1135"/>
      <c r="N8" s="1135"/>
      <c r="O8" s="1135"/>
      <c r="P8" s="3332" t="s">
        <v>2523</v>
      </c>
      <c r="Q8" s="3333"/>
      <c r="R8" s="769" t="s">
        <v>17</v>
      </c>
      <c r="S8" s="770">
        <f t="shared" si="0"/>
        <v>100</v>
      </c>
      <c r="T8" s="769" t="s">
        <v>17</v>
      </c>
      <c r="U8" s="770">
        <f t="shared" si="1"/>
        <v>100</v>
      </c>
      <c r="V8" s="769" t="s">
        <v>17</v>
      </c>
      <c r="W8" s="770">
        <f t="shared" si="2"/>
        <v>100</v>
      </c>
      <c r="X8" s="771"/>
      <c r="Y8" s="3334" t="s">
        <v>2523</v>
      </c>
      <c r="Z8" s="3333"/>
      <c r="AA8" s="772">
        <f t="shared" ref="AA8:AA47" si="3">D8/F8</f>
        <v>1</v>
      </c>
      <c r="AB8" s="772">
        <f t="shared" ref="AB8:AB47" si="4">D8/H8</f>
        <v>1</v>
      </c>
      <c r="AC8" s="2635">
        <f t="shared" ref="AC8:AC47" si="5">D8/J8</f>
        <v>1</v>
      </c>
    </row>
    <row r="9" spans="1:29" s="117" customFormat="1">
      <c r="A9" s="414" t="s">
        <v>2524</v>
      </c>
      <c r="B9" s="71" t="s">
        <v>2525</v>
      </c>
      <c r="C9" s="3096" t="s">
        <v>3328</v>
      </c>
      <c r="D9" s="134">
        <v>100</v>
      </c>
      <c r="E9" s="418" t="s">
        <v>27</v>
      </c>
      <c r="F9" s="134">
        <f>SUMIF(64:64,E9,65:65)-SUMIF(64:64,C9,65:65)+100</f>
        <v>100</v>
      </c>
      <c r="G9" s="416" t="s">
        <v>27</v>
      </c>
      <c r="H9" s="134">
        <f>SUMIF(64:64,G9,65:65)-SUMIF(64:64,C9,65:65)+100</f>
        <v>100</v>
      </c>
      <c r="I9" s="416" t="s">
        <v>27</v>
      </c>
      <c r="J9" s="134">
        <f>SUMIF(64:64,I9,65:65)-SUMIF(64:64,C9,65:65)+100</f>
        <v>100</v>
      </c>
      <c r="K9" s="610"/>
      <c r="L9" s="1134"/>
      <c r="M9" s="1135"/>
      <c r="N9" s="1135"/>
      <c r="O9" s="1135"/>
      <c r="P9" s="3292" t="s">
        <v>2526</v>
      </c>
      <c r="Q9" s="1797" t="str">
        <f t="shared" ref="Q9:Q15" si="6">B9</f>
        <v>用途</v>
      </c>
      <c r="R9" s="769" t="s">
        <v>17</v>
      </c>
      <c r="S9" s="770">
        <f t="shared" si="0"/>
        <v>100</v>
      </c>
      <c r="T9" s="769" t="s">
        <v>17</v>
      </c>
      <c r="U9" s="770">
        <f t="shared" si="1"/>
        <v>100</v>
      </c>
      <c r="V9" s="769" t="s">
        <v>17</v>
      </c>
      <c r="W9" s="770">
        <f t="shared" si="2"/>
        <v>100</v>
      </c>
      <c r="X9" s="771"/>
      <c r="Y9" s="3150" t="s">
        <v>2527</v>
      </c>
      <c r="Z9" s="55" t="str">
        <f t="shared" ref="Z9:Z15" si="7">Q9</f>
        <v>用途</v>
      </c>
      <c r="AA9" s="772">
        <f t="shared" si="3"/>
        <v>1</v>
      </c>
      <c r="AB9" s="772">
        <f t="shared" si="4"/>
        <v>1</v>
      </c>
      <c r="AC9" s="2635">
        <f t="shared" si="5"/>
        <v>1</v>
      </c>
    </row>
    <row r="10" spans="1:29" s="426" customFormat="1" ht="27.75" thickBot="1">
      <c r="A10" s="420"/>
      <c r="B10" s="421" t="s">
        <v>2528</v>
      </c>
      <c r="C10" s="422" t="s">
        <v>3329</v>
      </c>
      <c r="D10" s="135">
        <v>100</v>
      </c>
      <c r="E10" s="422" t="s">
        <v>3329</v>
      </c>
      <c r="F10" s="135">
        <f>SUMIF(66:66,E10,67:67)-SUMIF(66:66,C10,67:67)+100</f>
        <v>100</v>
      </c>
      <c r="G10" s="423" t="s">
        <v>3329</v>
      </c>
      <c r="H10" s="135">
        <f>SUMIF(66:66,G10,67:67)-SUMIF(66:66,C10,67:67)+100</f>
        <v>100</v>
      </c>
      <c r="I10" s="422" t="s">
        <v>3330</v>
      </c>
      <c r="J10" s="135">
        <f>SUMIF(66:66,I10,67:67)-SUMIF(66:66,C10,67:67)+100</f>
        <v>102</v>
      </c>
      <c r="K10" s="611">
        <v>2</v>
      </c>
      <c r="L10" s="1137"/>
      <c r="M10" s="1138"/>
      <c r="N10" s="1138"/>
      <c r="O10" s="1138"/>
      <c r="P10" s="3292"/>
      <c r="Q10" s="1797" t="str">
        <f t="shared" si="6"/>
        <v>土地使用年限（年）</v>
      </c>
      <c r="R10" s="769" t="s">
        <v>17</v>
      </c>
      <c r="S10" s="770">
        <f t="shared" si="0"/>
        <v>100</v>
      </c>
      <c r="T10" s="769" t="s">
        <v>17</v>
      </c>
      <c r="U10" s="770">
        <f t="shared" si="1"/>
        <v>100</v>
      </c>
      <c r="V10" s="769" t="s">
        <v>17</v>
      </c>
      <c r="W10" s="770">
        <f t="shared" si="2"/>
        <v>102</v>
      </c>
      <c r="X10" s="771"/>
      <c r="Y10" s="3150"/>
      <c r="Z10" s="55" t="str">
        <f t="shared" si="7"/>
        <v>土地使用年限（年）</v>
      </c>
      <c r="AA10" s="772">
        <f t="shared" si="3"/>
        <v>1</v>
      </c>
      <c r="AB10" s="772">
        <f t="shared" si="4"/>
        <v>1</v>
      </c>
      <c r="AC10" s="2635">
        <f t="shared" si="5"/>
        <v>0.98039215686274506</v>
      </c>
    </row>
    <row r="11" spans="1:29" ht="15" hidden="1">
      <c r="A11" s="427"/>
      <c r="B11" s="421" t="s">
        <v>2529</v>
      </c>
      <c r="C11" s="428"/>
      <c r="D11" s="135">
        <v>100</v>
      </c>
      <c r="E11" s="428"/>
      <c r="F11" s="135">
        <f>LOOKUP(E11,69:69,70:70)-LOOKUP(C11,69:69,70:70)+100</f>
        <v>100</v>
      </c>
      <c r="G11" s="429"/>
      <c r="H11" s="135">
        <f>LOOKUP(G11,69:69,70:70)-LOOKUP(C11,69:69,70:70)+100</f>
        <v>100</v>
      </c>
      <c r="I11" s="428"/>
      <c r="J11" s="135">
        <f>LOOKUP(I11,69:69,70:70)-LOOKUP(C11,69:69,70:70)+100</f>
        <v>100</v>
      </c>
      <c r="K11" s="611"/>
      <c r="L11" s="1140"/>
      <c r="M11" s="1133"/>
      <c r="N11" s="1133"/>
      <c r="O11" s="1133"/>
      <c r="P11" s="3292"/>
      <c r="Q11" s="1797" t="str">
        <f t="shared" si="6"/>
        <v>容积率</v>
      </c>
      <c r="R11" s="769" t="s">
        <v>17</v>
      </c>
      <c r="S11" s="770">
        <f t="shared" si="0"/>
        <v>100</v>
      </c>
      <c r="T11" s="769" t="s">
        <v>17</v>
      </c>
      <c r="U11" s="770">
        <f t="shared" si="1"/>
        <v>100</v>
      </c>
      <c r="V11" s="769" t="s">
        <v>17</v>
      </c>
      <c r="W11" s="770">
        <f t="shared" si="2"/>
        <v>100</v>
      </c>
      <c r="X11" s="771"/>
      <c r="Y11" s="3150"/>
      <c r="Z11" s="55" t="str">
        <f t="shared" si="7"/>
        <v>容积率</v>
      </c>
      <c r="AA11" s="772">
        <f t="shared" si="3"/>
        <v>1</v>
      </c>
      <c r="AB11" s="772">
        <f t="shared" si="4"/>
        <v>1</v>
      </c>
      <c r="AC11" s="2635">
        <f t="shared" si="5"/>
        <v>1</v>
      </c>
    </row>
    <row r="12" spans="1:29" s="117" customFormat="1" ht="15" hidden="1">
      <c r="A12" s="430"/>
      <c r="B12" s="2564">
        <v>111</v>
      </c>
      <c r="C12" s="431"/>
      <c r="D12" s="432">
        <v>100</v>
      </c>
      <c r="E12" s="431"/>
      <c r="F12" s="135">
        <f>SUMIF(71:71,E12,72:72)-SUMIF(71:71,C12,72:72)+100</f>
        <v>100</v>
      </c>
      <c r="G12" s="2636"/>
      <c r="H12" s="135">
        <f>SUMIF(71:71,G12,72:72)-SUMIF(71:71,C12,72:72)+100</f>
        <v>100</v>
      </c>
      <c r="I12" s="431"/>
      <c r="J12" s="135">
        <f>SUMIF(71:71,I12,72:72)-SUMIF(71:71,C12,72:72)+100</f>
        <v>100</v>
      </c>
      <c r="K12" s="612"/>
      <c r="L12" s="1134"/>
      <c r="M12" s="1135"/>
      <c r="N12" s="1135"/>
      <c r="O12" s="1135"/>
      <c r="P12" s="3292"/>
      <c r="Q12" s="1797">
        <f t="shared" si="6"/>
        <v>111</v>
      </c>
      <c r="R12" s="769" t="s">
        <v>17</v>
      </c>
      <c r="S12" s="770">
        <f t="shared" si="0"/>
        <v>100</v>
      </c>
      <c r="T12" s="769" t="s">
        <v>17</v>
      </c>
      <c r="U12" s="770">
        <f t="shared" si="1"/>
        <v>100</v>
      </c>
      <c r="V12" s="769" t="s">
        <v>17</v>
      </c>
      <c r="W12" s="770">
        <f t="shared" si="2"/>
        <v>100</v>
      </c>
      <c r="X12" s="771"/>
      <c r="Y12" s="3150"/>
      <c r="Z12" s="55">
        <f t="shared" si="7"/>
        <v>111</v>
      </c>
      <c r="AA12" s="772">
        <f>D12/F12</f>
        <v>1</v>
      </c>
      <c r="AB12" s="772">
        <f>D12/H12</f>
        <v>1</v>
      </c>
      <c r="AC12" s="2635">
        <f>D12/J12</f>
        <v>1</v>
      </c>
    </row>
    <row r="13" spans="1:29" ht="15" hidden="1">
      <c r="A13" s="427"/>
      <c r="B13" s="2564">
        <v>111</v>
      </c>
      <c r="C13" s="433"/>
      <c r="D13" s="434">
        <v>100</v>
      </c>
      <c r="E13" s="431"/>
      <c r="F13" s="135">
        <f>SUMIF(73:73,E13,74:74)-SUMIF(73:73,C13,74:74)+100</f>
        <v>100</v>
      </c>
      <c r="G13" s="2636"/>
      <c r="H13" s="434">
        <f>SUMIF(73:73,G13,74:74)-SUMIF(73:73,C13,74:74)+100</f>
        <v>100</v>
      </c>
      <c r="I13" s="431"/>
      <c r="J13" s="434">
        <f>SUMIF(73:73,I13,74:74)-SUMIF(73:73,C13,74:74)+100</f>
        <v>100</v>
      </c>
      <c r="K13" s="612"/>
      <c r="L13" s="1142"/>
      <c r="M13" s="1133"/>
      <c r="N13" s="1133"/>
      <c r="O13" s="1133"/>
      <c r="P13" s="3292"/>
      <c r="Q13" s="1797">
        <f t="shared" si="6"/>
        <v>111</v>
      </c>
      <c r="R13" s="769" t="s">
        <v>17</v>
      </c>
      <c r="S13" s="770">
        <f t="shared" si="0"/>
        <v>100</v>
      </c>
      <c r="T13" s="769" t="s">
        <v>17</v>
      </c>
      <c r="U13" s="770">
        <f t="shared" si="1"/>
        <v>100</v>
      </c>
      <c r="V13" s="769" t="s">
        <v>17</v>
      </c>
      <c r="W13" s="770">
        <f t="shared" si="2"/>
        <v>100</v>
      </c>
      <c r="X13" s="771"/>
      <c r="Y13" s="3150"/>
      <c r="Z13" s="55">
        <f t="shared" si="7"/>
        <v>111</v>
      </c>
      <c r="AA13" s="772">
        <f t="shared" si="3"/>
        <v>1</v>
      </c>
      <c r="AB13" s="772">
        <f t="shared" si="4"/>
        <v>1</v>
      </c>
      <c r="AC13" s="2635">
        <f t="shared" si="5"/>
        <v>1</v>
      </c>
    </row>
    <row r="14" spans="1:29" ht="15.75" hidden="1" thickBot="1">
      <c r="A14" s="435"/>
      <c r="B14" s="2566">
        <v>111</v>
      </c>
      <c r="C14" s="436"/>
      <c r="D14" s="437">
        <v>100</v>
      </c>
      <c r="E14" s="627"/>
      <c r="F14" s="437">
        <f>SUMIF(75:75,E14,76:76)-SUMIF(75:75,C14,76:76)+100</f>
        <v>100</v>
      </c>
      <c r="G14" s="2636"/>
      <c r="H14" s="437">
        <f>SUMIF(75:75,G14,76:76)-SUMIF(75:75,C14,76:76)+100</f>
        <v>100</v>
      </c>
      <c r="I14" s="431"/>
      <c r="J14" s="437">
        <f>SUMIF(75:75,I14,76:76)-SUMIF(75:75,C14,76:76)+100</f>
        <v>100</v>
      </c>
      <c r="K14" s="612"/>
      <c r="L14" s="1142"/>
      <c r="M14" s="1133"/>
      <c r="N14" s="1133"/>
      <c r="O14" s="1133"/>
      <c r="P14" s="3292"/>
      <c r="Q14" s="1797">
        <f t="shared" si="6"/>
        <v>111</v>
      </c>
      <c r="R14" s="769" t="s">
        <v>17</v>
      </c>
      <c r="S14" s="770">
        <f t="shared" si="0"/>
        <v>100</v>
      </c>
      <c r="T14" s="769" t="s">
        <v>17</v>
      </c>
      <c r="U14" s="770">
        <f t="shared" si="1"/>
        <v>100</v>
      </c>
      <c r="V14" s="769" t="s">
        <v>17</v>
      </c>
      <c r="W14" s="770">
        <f t="shared" si="2"/>
        <v>100</v>
      </c>
      <c r="X14" s="771"/>
      <c r="Y14" s="3150"/>
      <c r="Z14" s="55">
        <f t="shared" si="7"/>
        <v>111</v>
      </c>
      <c r="AA14" s="772">
        <f t="shared" si="3"/>
        <v>1</v>
      </c>
      <c r="AB14" s="772">
        <f t="shared" si="4"/>
        <v>1</v>
      </c>
      <c r="AC14" s="2635">
        <f t="shared" si="5"/>
        <v>1</v>
      </c>
    </row>
    <row r="15" spans="1:29" ht="15">
      <c r="A15" s="439" t="s">
        <v>2530</v>
      </c>
      <c r="B15" s="628" t="s">
        <v>2658</v>
      </c>
      <c r="C15" s="2637" t="str">
        <f>估价对象房地状况!C5</f>
        <v>好</v>
      </c>
      <c r="D15" s="440">
        <v>100</v>
      </c>
      <c r="E15" s="443"/>
      <c r="F15" s="440">
        <f>SUMIF(77:77,E16,78:78)-SUMIF(77:77,C16,78:78)+100</f>
        <v>100</v>
      </c>
      <c r="G15" s="441"/>
      <c r="H15" s="440">
        <f>SUMIF(77:77,G16,78:78)-SUMIF(77:77,C16,78:78)+100</f>
        <v>100</v>
      </c>
      <c r="I15" s="441"/>
      <c r="J15" s="440">
        <f>SUMIF(77:77,I16,78:78)-SUMIF(77:77,C16,78:78)+100</f>
        <v>95</v>
      </c>
      <c r="K15" s="613">
        <v>5</v>
      </c>
      <c r="L15" s="1142"/>
      <c r="M15" s="1133"/>
      <c r="N15" s="1133"/>
      <c r="O15" s="1133"/>
      <c r="P15" s="3298" t="s">
        <v>2531</v>
      </c>
      <c r="Q15" s="1812" t="str">
        <f t="shared" si="6"/>
        <v>办公集聚程度</v>
      </c>
      <c r="R15" s="773" t="s">
        <v>17</v>
      </c>
      <c r="S15" s="774">
        <f t="shared" si="0"/>
        <v>100</v>
      </c>
      <c r="T15" s="773" t="s">
        <v>17</v>
      </c>
      <c r="U15" s="774">
        <f t="shared" si="1"/>
        <v>100</v>
      </c>
      <c r="V15" s="773" t="s">
        <v>17</v>
      </c>
      <c r="W15" s="774">
        <f t="shared" si="2"/>
        <v>95</v>
      </c>
      <c r="X15" s="1815"/>
      <c r="Y15" s="3300" t="s">
        <v>2531</v>
      </c>
      <c r="Z15" s="1816" t="str">
        <f t="shared" si="7"/>
        <v>办公集聚程度</v>
      </c>
      <c r="AA15" s="1813">
        <f t="shared" si="3"/>
        <v>1</v>
      </c>
      <c r="AB15" s="1813">
        <f t="shared" si="4"/>
        <v>1</v>
      </c>
      <c r="AC15" s="2638">
        <f t="shared" si="5"/>
        <v>1.0526315789473684</v>
      </c>
    </row>
    <row r="16" spans="1:29" ht="15">
      <c r="A16" s="427"/>
      <c r="B16" s="629"/>
      <c r="C16" s="2575" t="s">
        <v>3363</v>
      </c>
      <c r="D16" s="447"/>
      <c r="E16" s="446" t="s">
        <v>3363</v>
      </c>
      <c r="F16" s="447"/>
      <c r="G16" s="2575" t="s">
        <v>3363</v>
      </c>
      <c r="H16" s="449"/>
      <c r="I16" s="446" t="s">
        <v>3362</v>
      </c>
      <c r="J16" s="447"/>
      <c r="K16" s="614"/>
      <c r="L16" s="1142"/>
      <c r="M16" s="1133"/>
      <c r="N16" s="1133"/>
      <c r="O16" s="1133"/>
      <c r="P16" s="3299"/>
      <c r="Q16" s="1812"/>
      <c r="R16" s="773"/>
      <c r="S16" s="774"/>
      <c r="T16" s="773"/>
      <c r="U16" s="774"/>
      <c r="V16" s="773"/>
      <c r="W16" s="774"/>
      <c r="X16" s="1815"/>
      <c r="Y16" s="3301"/>
      <c r="Z16" s="1816"/>
      <c r="AA16" s="1813">
        <v>1</v>
      </c>
      <c r="AB16" s="1813">
        <v>1</v>
      </c>
      <c r="AC16" s="2638">
        <v>1</v>
      </c>
    </row>
    <row r="17" spans="1:29" ht="15">
      <c r="A17" s="427"/>
      <c r="B17" s="630" t="s">
        <v>2085</v>
      </c>
      <c r="C17" s="2639" t="str">
        <f>估价对象房地状况!C6</f>
        <v>好</v>
      </c>
      <c r="D17" s="449">
        <v>100</v>
      </c>
      <c r="E17" s="453"/>
      <c r="F17" s="449">
        <f>SUMIF(79:79,E18,80:80)-SUMIF(79:79,C18,80:80)+100</f>
        <v>100</v>
      </c>
      <c r="G17" s="451"/>
      <c r="H17" s="454">
        <f>SUMIF(79:79,G18,80:80)-SUMIF(79:79,C18,80:80)+100</f>
        <v>100</v>
      </c>
      <c r="I17" s="451"/>
      <c r="J17" s="454">
        <f>SUMIF(79:79,I18,80:80)-SUMIF(79:79,C18,80:80)+100</f>
        <v>97</v>
      </c>
      <c r="K17" s="613">
        <v>3</v>
      </c>
      <c r="L17" s="1142"/>
      <c r="M17" s="1133"/>
      <c r="N17" s="1133"/>
      <c r="O17" s="1133"/>
      <c r="P17" s="3299"/>
      <c r="Q17" s="1812" t="str">
        <f>B17</f>
        <v>交通便捷度</v>
      </c>
      <c r="R17" s="773" t="s">
        <v>17</v>
      </c>
      <c r="S17" s="774">
        <f>F17</f>
        <v>100</v>
      </c>
      <c r="T17" s="773" t="s">
        <v>17</v>
      </c>
      <c r="U17" s="774">
        <f>H17</f>
        <v>100</v>
      </c>
      <c r="V17" s="773" t="s">
        <v>17</v>
      </c>
      <c r="W17" s="774">
        <f>J17</f>
        <v>97</v>
      </c>
      <c r="X17" s="1815"/>
      <c r="Y17" s="3301"/>
      <c r="Z17" s="1816" t="str">
        <f>Q17</f>
        <v>交通便捷度</v>
      </c>
      <c r="AA17" s="1813">
        <f t="shared" si="3"/>
        <v>1</v>
      </c>
      <c r="AB17" s="1813">
        <f t="shared" si="4"/>
        <v>1</v>
      </c>
      <c r="AC17" s="2638">
        <f t="shared" si="5"/>
        <v>1.0309278350515463</v>
      </c>
    </row>
    <row r="18" spans="1:29" ht="15">
      <c r="A18" s="427"/>
      <c r="B18" s="631"/>
      <c r="C18" s="2640" t="s">
        <v>3363</v>
      </c>
      <c r="D18" s="449"/>
      <c r="E18" s="2573" t="s">
        <v>3363</v>
      </c>
      <c r="F18" s="449"/>
      <c r="G18" s="2574" t="s">
        <v>3363</v>
      </c>
      <c r="H18" s="447"/>
      <c r="I18" s="2574" t="s">
        <v>3362</v>
      </c>
      <c r="J18" s="447"/>
      <c r="K18" s="614"/>
      <c r="L18" s="1142"/>
      <c r="M18" s="1133"/>
      <c r="N18" s="1133"/>
      <c r="O18" s="1133"/>
      <c r="P18" s="3299"/>
      <c r="Q18" s="1812"/>
      <c r="R18" s="773"/>
      <c r="S18" s="774"/>
      <c r="T18" s="773"/>
      <c r="U18" s="774"/>
      <c r="V18" s="773"/>
      <c r="W18" s="774"/>
      <c r="X18" s="1815"/>
      <c r="Y18" s="3301"/>
      <c r="Z18" s="1816"/>
      <c r="AA18" s="1813">
        <v>1</v>
      </c>
      <c r="AB18" s="1813">
        <v>1</v>
      </c>
      <c r="AC18" s="2638">
        <v>1</v>
      </c>
    </row>
    <row r="19" spans="1:29" ht="15">
      <c r="A19" s="427"/>
      <c r="B19" s="630" t="s">
        <v>2659</v>
      </c>
      <c r="C19" s="2639" t="str">
        <f>估价对象房地状况!C7</f>
        <v>好</v>
      </c>
      <c r="D19" s="454">
        <v>100</v>
      </c>
      <c r="E19" s="458"/>
      <c r="F19" s="454">
        <f>SUMIF(81:81,E20,82:82)-SUMIF(81:81,C20,82:82)+100</f>
        <v>100</v>
      </c>
      <c r="G19" s="456"/>
      <c r="H19" s="449">
        <f>SUMIF(81:81,G20,82:82)-SUMIF(81:81,C20,82:82)+100</f>
        <v>100</v>
      </c>
      <c r="I19" s="456"/>
      <c r="J19" s="449">
        <f>SUMIF(81:81,I20,82:82)-SUMIF(81:81,C20,82:82)+100</f>
        <v>97</v>
      </c>
      <c r="K19" s="613">
        <v>3</v>
      </c>
      <c r="L19" s="1142"/>
      <c r="M19" s="1133"/>
      <c r="N19" s="1133"/>
      <c r="O19" s="1133"/>
      <c r="P19" s="3299"/>
      <c r="Q19" s="1812" t="str">
        <f>B19</f>
        <v>公共配套设施</v>
      </c>
      <c r="R19" s="773" t="s">
        <v>17</v>
      </c>
      <c r="S19" s="774">
        <f>F19</f>
        <v>100</v>
      </c>
      <c r="T19" s="773" t="s">
        <v>17</v>
      </c>
      <c r="U19" s="774">
        <f>H19</f>
        <v>100</v>
      </c>
      <c r="V19" s="773" t="s">
        <v>17</v>
      </c>
      <c r="W19" s="774">
        <f>J19</f>
        <v>97</v>
      </c>
      <c r="X19" s="1815"/>
      <c r="Y19" s="3301"/>
      <c r="Z19" s="1816" t="str">
        <f>Q19</f>
        <v>公共配套设施</v>
      </c>
      <c r="AA19" s="1813">
        <f t="shared" si="3"/>
        <v>1</v>
      </c>
      <c r="AB19" s="1813">
        <f t="shared" si="4"/>
        <v>1</v>
      </c>
      <c r="AC19" s="2638">
        <f t="shared" si="5"/>
        <v>1.0309278350515463</v>
      </c>
    </row>
    <row r="20" spans="1:29" ht="15">
      <c r="A20" s="427"/>
      <c r="B20" s="631"/>
      <c r="C20" s="2575" t="s">
        <v>3363</v>
      </c>
      <c r="D20" s="447"/>
      <c r="E20" s="2568" t="s">
        <v>3363</v>
      </c>
      <c r="F20" s="447"/>
      <c r="G20" s="2569" t="s">
        <v>3363</v>
      </c>
      <c r="H20" s="447"/>
      <c r="I20" s="2569" t="s">
        <v>3362</v>
      </c>
      <c r="J20" s="447"/>
      <c r="K20" s="614"/>
      <c r="L20" s="1142"/>
      <c r="M20" s="1133"/>
      <c r="N20" s="1133"/>
      <c r="O20" s="1133"/>
      <c r="P20" s="3299"/>
      <c r="Q20" s="1812"/>
      <c r="R20" s="773"/>
      <c r="S20" s="774"/>
      <c r="T20" s="773"/>
      <c r="U20" s="774"/>
      <c r="V20" s="773"/>
      <c r="W20" s="774"/>
      <c r="X20" s="1815"/>
      <c r="Y20" s="3301"/>
      <c r="Z20" s="1816"/>
      <c r="AA20" s="1813">
        <v>1</v>
      </c>
      <c r="AB20" s="1813">
        <v>1</v>
      </c>
      <c r="AC20" s="2638">
        <v>1</v>
      </c>
    </row>
    <row r="21" spans="1:29" ht="15">
      <c r="A21" s="427"/>
      <c r="B21" s="632" t="s">
        <v>2660</v>
      </c>
      <c r="C21" s="2639" t="str">
        <f>估价对象房地状况!C8</f>
        <v>七通</v>
      </c>
      <c r="D21" s="449">
        <v>100</v>
      </c>
      <c r="E21" s="458"/>
      <c r="F21" s="454">
        <f>SUMIF(83:83,E22,84:84)-SUMIF(83:83,C22,84:84)+100</f>
        <v>100</v>
      </c>
      <c r="G21" s="456"/>
      <c r="H21" s="449">
        <f>SUMIF(83:83,G22,84:84)-SUMIF(83:83,C22,84:84)+100</f>
        <v>100</v>
      </c>
      <c r="I21" s="456"/>
      <c r="J21" s="449">
        <f>SUMIF(83:83,I22,84:84)-SUMIF(83:83,C22,84:84)+100</f>
        <v>100</v>
      </c>
      <c r="K21" s="613">
        <v>1</v>
      </c>
      <c r="L21" s="1142"/>
      <c r="M21" s="1133"/>
      <c r="N21" s="1133"/>
      <c r="O21" s="1133"/>
      <c r="P21" s="3299"/>
      <c r="Q21" s="1812" t="str">
        <f>B21</f>
        <v>基础设施水平</v>
      </c>
      <c r="R21" s="773" t="s">
        <v>17</v>
      </c>
      <c r="S21" s="774">
        <f>F21</f>
        <v>100</v>
      </c>
      <c r="T21" s="773" t="s">
        <v>17</v>
      </c>
      <c r="U21" s="774">
        <f>H21</f>
        <v>100</v>
      </c>
      <c r="V21" s="773" t="s">
        <v>17</v>
      </c>
      <c r="W21" s="774">
        <f>J21</f>
        <v>100</v>
      </c>
      <c r="X21" s="1815"/>
      <c r="Y21" s="3301"/>
      <c r="Z21" s="1816" t="str">
        <f>Q21</f>
        <v>基础设施水平</v>
      </c>
      <c r="AA21" s="1813">
        <f t="shared" ref="AA21" si="8">D21/F21</f>
        <v>1</v>
      </c>
      <c r="AB21" s="1813">
        <f t="shared" ref="AB21" si="9">D21/H21</f>
        <v>1</v>
      </c>
      <c r="AC21" s="2638">
        <f t="shared" ref="AC21" si="10">D21/J21</f>
        <v>1</v>
      </c>
    </row>
    <row r="22" spans="1:29" ht="15">
      <c r="A22" s="427"/>
      <c r="B22" s="632"/>
      <c r="C22" s="2640" t="s">
        <v>3364</v>
      </c>
      <c r="D22" s="447"/>
      <c r="E22" s="446" t="s">
        <v>3364</v>
      </c>
      <c r="F22" s="447"/>
      <c r="G22" s="2575" t="s">
        <v>3364</v>
      </c>
      <c r="H22" s="447"/>
      <c r="I22" s="2575" t="s">
        <v>3364</v>
      </c>
      <c r="J22" s="447"/>
      <c r="K22" s="1385"/>
      <c r="L22" s="1142"/>
      <c r="M22" s="1133"/>
      <c r="N22" s="1133"/>
      <c r="O22" s="1133"/>
      <c r="P22" s="3299"/>
      <c r="Q22" s="1812"/>
      <c r="R22" s="773"/>
      <c r="S22" s="774"/>
      <c r="T22" s="773"/>
      <c r="U22" s="774"/>
      <c r="V22" s="773"/>
      <c r="W22" s="774"/>
      <c r="X22" s="1815"/>
      <c r="Y22" s="3301"/>
      <c r="Z22" s="1816"/>
      <c r="AA22" s="1813">
        <v>1</v>
      </c>
      <c r="AB22" s="1813">
        <v>1</v>
      </c>
      <c r="AC22" s="2638">
        <v>1</v>
      </c>
    </row>
    <row r="23" spans="1:29" ht="15">
      <c r="A23" s="427"/>
      <c r="B23" s="630" t="s">
        <v>2661</v>
      </c>
      <c r="C23" s="2639" t="str">
        <f>估价对象房地状况!C9</f>
        <v>好</v>
      </c>
      <c r="D23" s="449">
        <v>100</v>
      </c>
      <c r="E23" s="453"/>
      <c r="F23" s="449">
        <f>SUMIF(85:85,E24,86:86)-SUMIF(85:85,C24,86:86)+100</f>
        <v>100</v>
      </c>
      <c r="G23" s="451"/>
      <c r="H23" s="449">
        <f>SUMIF(85:85,G24,86:86)-SUMIF(85:85,C24,86:86)+100</f>
        <v>100</v>
      </c>
      <c r="I23" s="451"/>
      <c r="J23" s="449">
        <f>SUMIF(85:85,I24,86:86)-SUMIF(85:85,C24,86:86)+100</f>
        <v>97</v>
      </c>
      <c r="K23" s="613">
        <v>3</v>
      </c>
      <c r="L23" s="1142"/>
      <c r="M23" s="1133"/>
      <c r="N23" s="1133"/>
      <c r="O23" s="1133"/>
      <c r="P23" s="3299"/>
      <c r="Q23" s="1812" t="str">
        <f>B23</f>
        <v>环境质量</v>
      </c>
      <c r="R23" s="773" t="s">
        <v>17</v>
      </c>
      <c r="S23" s="774">
        <f>F23</f>
        <v>100</v>
      </c>
      <c r="T23" s="773" t="s">
        <v>17</v>
      </c>
      <c r="U23" s="774">
        <f>H23</f>
        <v>100</v>
      </c>
      <c r="V23" s="773" t="s">
        <v>17</v>
      </c>
      <c r="W23" s="774">
        <f>J23</f>
        <v>97</v>
      </c>
      <c r="X23" s="1815"/>
      <c r="Y23" s="3301"/>
      <c r="Z23" s="1816" t="str">
        <f>Q23</f>
        <v>环境质量</v>
      </c>
      <c r="AA23" s="1813">
        <f t="shared" si="3"/>
        <v>1</v>
      </c>
      <c r="AB23" s="1813">
        <f t="shared" si="4"/>
        <v>1</v>
      </c>
      <c r="AC23" s="2638">
        <f t="shared" si="5"/>
        <v>1.0309278350515463</v>
      </c>
    </row>
    <row r="24" spans="1:29" ht="15">
      <c r="A24" s="427"/>
      <c r="B24" s="632"/>
      <c r="C24" s="2575" t="s">
        <v>3363</v>
      </c>
      <c r="D24" s="447"/>
      <c r="E24" s="2568" t="s">
        <v>3363</v>
      </c>
      <c r="F24" s="447"/>
      <c r="G24" s="2569" t="s">
        <v>3363</v>
      </c>
      <c r="H24" s="447"/>
      <c r="I24" s="2569" t="s">
        <v>3362</v>
      </c>
      <c r="J24" s="447"/>
      <c r="K24" s="614"/>
      <c r="L24" s="1142"/>
      <c r="M24" s="1133"/>
      <c r="N24" s="1133"/>
      <c r="O24" s="1133"/>
      <c r="P24" s="3299"/>
      <c r="Q24" s="1812"/>
      <c r="R24" s="773"/>
      <c r="S24" s="774"/>
      <c r="T24" s="773"/>
      <c r="U24" s="774"/>
      <c r="V24" s="773"/>
      <c r="W24" s="774"/>
      <c r="X24" s="1815"/>
      <c r="Y24" s="3301"/>
      <c r="Z24" s="1816"/>
      <c r="AA24" s="1813">
        <v>1</v>
      </c>
      <c r="AB24" s="1813">
        <v>1</v>
      </c>
      <c r="AC24" s="2638">
        <v>1</v>
      </c>
    </row>
    <row r="25" spans="1:29" ht="27">
      <c r="A25" s="403"/>
      <c r="B25" s="630" t="s">
        <v>2662</v>
      </c>
      <c r="C25" s="2579"/>
      <c r="D25" s="434">
        <v>100</v>
      </c>
      <c r="E25" s="433"/>
      <c r="F25" s="434">
        <f>SUMIF(87:87,E26,88:88)-SUMIF(87:87,C26,88:88)+100</f>
        <v>100</v>
      </c>
      <c r="G25" s="2579"/>
      <c r="H25" s="434">
        <f>SUMIF(87:87,G26,88:88)-SUMIF(87:87,C26,88:88)+100</f>
        <v>100</v>
      </c>
      <c r="I25" s="433"/>
      <c r="J25" s="434">
        <f>SUMIF(87:87,I26,88:88)-SUMIF(87:87,C26,88:88)+100</f>
        <v>95</v>
      </c>
      <c r="K25" s="613">
        <v>5</v>
      </c>
      <c r="L25" s="1142"/>
      <c r="M25" s="1133"/>
      <c r="N25" s="1133"/>
      <c r="O25" s="1133"/>
      <c r="P25" s="3299"/>
      <c r="Q25" s="1812" t="str">
        <f>B25</f>
        <v>毗邻道路的类型与等级</v>
      </c>
      <c r="R25" s="773" t="s">
        <v>17</v>
      </c>
      <c r="S25" s="774">
        <f>F25</f>
        <v>100</v>
      </c>
      <c r="T25" s="773" t="s">
        <v>17</v>
      </c>
      <c r="U25" s="774">
        <f>H25</f>
        <v>100</v>
      </c>
      <c r="V25" s="773" t="s">
        <v>17</v>
      </c>
      <c r="W25" s="774">
        <f>J25</f>
        <v>95</v>
      </c>
      <c r="X25" s="1815"/>
      <c r="Y25" s="3301"/>
      <c r="Z25" s="1816" t="str">
        <f>Q25</f>
        <v>毗邻道路的类型与等级</v>
      </c>
      <c r="AA25" s="1813">
        <f t="shared" si="3"/>
        <v>1</v>
      </c>
      <c r="AB25" s="1813">
        <f t="shared" si="4"/>
        <v>1</v>
      </c>
      <c r="AC25" s="2638">
        <f t="shared" si="5"/>
        <v>1.0526315789473684</v>
      </c>
    </row>
    <row r="26" spans="1:29" ht="15">
      <c r="A26" s="403"/>
      <c r="B26" s="631"/>
      <c r="C26" s="633" t="s">
        <v>3332</v>
      </c>
      <c r="D26" s="434"/>
      <c r="E26" s="615" t="s">
        <v>3332</v>
      </c>
      <c r="F26" s="434"/>
      <c r="G26" s="633" t="s">
        <v>3332</v>
      </c>
      <c r="H26" s="434"/>
      <c r="I26" s="615" t="s">
        <v>3334</v>
      </c>
      <c r="J26" s="434"/>
      <c r="K26" s="614"/>
      <c r="L26" s="1142"/>
      <c r="M26" s="1133"/>
      <c r="N26" s="1133"/>
      <c r="O26" s="1133"/>
      <c r="P26" s="3299"/>
      <c r="Q26" s="1812"/>
      <c r="R26" s="773"/>
      <c r="S26" s="774"/>
      <c r="T26" s="773"/>
      <c r="U26" s="774"/>
      <c r="V26" s="773"/>
      <c r="W26" s="774"/>
      <c r="X26" s="1815"/>
      <c r="Y26" s="3301"/>
      <c r="Z26" s="1816"/>
      <c r="AA26" s="1813">
        <v>1</v>
      </c>
      <c r="AB26" s="1813">
        <v>1</v>
      </c>
      <c r="AC26" s="2638">
        <v>1</v>
      </c>
    </row>
    <row r="27" spans="1:29" ht="15.75" thickBot="1">
      <c r="A27" s="427"/>
      <c r="B27" s="631" t="s">
        <v>2630</v>
      </c>
      <c r="C27" s="633" t="s">
        <v>3338</v>
      </c>
      <c r="D27" s="434">
        <v>100</v>
      </c>
      <c r="E27" s="615" t="s">
        <v>3338</v>
      </c>
      <c r="F27" s="434">
        <f>SUMIF(89:89,E27,90:90)-SUMIF(89:89,C27,90:90)+100</f>
        <v>100</v>
      </c>
      <c r="G27" s="633" t="s">
        <v>3382</v>
      </c>
      <c r="H27" s="434">
        <f>SUMIF(89:89,G27,90:90)-SUMIF(89:89,C27,90:90)+100</f>
        <v>98</v>
      </c>
      <c r="I27" s="615" t="s">
        <v>3338</v>
      </c>
      <c r="J27" s="434">
        <f>SUMIF(89:89,I27,90:90)-SUMIF(89:89,C27,90:90)+100</f>
        <v>100</v>
      </c>
      <c r="K27" s="611">
        <v>2</v>
      </c>
      <c r="L27" s="1142"/>
      <c r="M27" s="1133"/>
      <c r="N27" s="1133"/>
      <c r="O27" s="1133"/>
      <c r="P27" s="3299"/>
      <c r="Q27" s="1812" t="str">
        <f t="shared" ref="Q27:Q47" si="11">B27</f>
        <v>楼层</v>
      </c>
      <c r="R27" s="773" t="s">
        <v>17</v>
      </c>
      <c r="S27" s="774">
        <f>F27</f>
        <v>100</v>
      </c>
      <c r="T27" s="773" t="s">
        <v>17</v>
      </c>
      <c r="U27" s="774">
        <f>H27</f>
        <v>98</v>
      </c>
      <c r="V27" s="773" t="s">
        <v>17</v>
      </c>
      <c r="W27" s="774">
        <f>J27</f>
        <v>100</v>
      </c>
      <c r="X27" s="1815"/>
      <c r="Y27" s="3301"/>
      <c r="Z27" s="1816" t="str">
        <f>Q27</f>
        <v>楼层</v>
      </c>
      <c r="AA27" s="1813">
        <f t="shared" si="3"/>
        <v>1</v>
      </c>
      <c r="AB27" s="1813">
        <f t="shared" si="4"/>
        <v>1.0204081632653061</v>
      </c>
      <c r="AC27" s="2638">
        <f t="shared" si="5"/>
        <v>1</v>
      </c>
    </row>
    <row r="28" spans="1:29" s="117" customFormat="1" ht="15" hidden="1">
      <c r="A28" s="430"/>
      <c r="B28" s="630" t="s">
        <v>2663</v>
      </c>
      <c r="C28" s="2641"/>
      <c r="D28" s="461">
        <v>100</v>
      </c>
      <c r="E28" s="2629"/>
      <c r="F28" s="461">
        <f>SUMIF(91:91,E28,92:92)-SUMIF(91:91,C28,92:92)+100</f>
        <v>100</v>
      </c>
      <c r="G28" s="2641"/>
      <c r="H28" s="461">
        <f>SUMIF(91:91,G28,92:92)-SUMIF(91:91,C28,92:92)+100</f>
        <v>100</v>
      </c>
      <c r="I28" s="2629"/>
      <c r="J28" s="461">
        <f>SUMIF(91:91,I28,92:92)-SUMIF(91:91,C28,92:92)+100</f>
        <v>100</v>
      </c>
      <c r="K28" s="611"/>
      <c r="L28" s="1134"/>
      <c r="M28" s="1135"/>
      <c r="N28" s="1135"/>
      <c r="O28" s="1135"/>
      <c r="P28" s="3299"/>
      <c r="Q28" s="1797" t="str">
        <f t="shared" si="11"/>
        <v>朝向</v>
      </c>
      <c r="R28" s="769" t="s">
        <v>17</v>
      </c>
      <c r="S28" s="770">
        <f>F28</f>
        <v>100</v>
      </c>
      <c r="T28" s="769" t="s">
        <v>17</v>
      </c>
      <c r="U28" s="770">
        <f>H28</f>
        <v>100</v>
      </c>
      <c r="V28" s="769" t="s">
        <v>17</v>
      </c>
      <c r="W28" s="770">
        <f>J28</f>
        <v>100</v>
      </c>
      <c r="X28" s="771"/>
      <c r="Y28" s="3301"/>
      <c r="Z28" s="55" t="str">
        <f>Q28</f>
        <v>朝向</v>
      </c>
      <c r="AA28" s="1813">
        <f>D28/F28</f>
        <v>1</v>
      </c>
      <c r="AB28" s="1813">
        <f>D28/H28</f>
        <v>1</v>
      </c>
      <c r="AC28" s="2638">
        <f>D28/J28</f>
        <v>1</v>
      </c>
    </row>
    <row r="29" spans="1:29" ht="15" hidden="1">
      <c r="A29" s="427"/>
      <c r="B29" s="2642">
        <v>111</v>
      </c>
      <c r="C29" s="2579"/>
      <c r="D29" s="434">
        <v>100</v>
      </c>
      <c r="E29" s="431"/>
      <c r="F29" s="434">
        <f>SUMIF(93:93,E29,94:94)-SUMIF(93:93,C29,94:94)+100</f>
        <v>100</v>
      </c>
      <c r="G29" s="2636"/>
      <c r="H29" s="434">
        <f>SUMIF(93:93,G29,94:94)-SUMIF(93:93,C29,94:94)+100</f>
        <v>100</v>
      </c>
      <c r="I29" s="431"/>
      <c r="J29" s="434">
        <f>SUMIF(93:93,I29,94:94)-SUMIF(93:93,C29,94:94)+100</f>
        <v>100</v>
      </c>
      <c r="K29" s="612"/>
      <c r="L29" s="1142"/>
      <c r="M29" s="1133"/>
      <c r="N29" s="1133"/>
      <c r="O29" s="1133"/>
      <c r="P29" s="3299"/>
      <c r="Q29" s="1812">
        <f t="shared" si="11"/>
        <v>111</v>
      </c>
      <c r="R29" s="773" t="s">
        <v>17</v>
      </c>
      <c r="S29" s="774">
        <f t="shared" ref="S29:S47" si="12">F29</f>
        <v>100</v>
      </c>
      <c r="T29" s="773" t="s">
        <v>17</v>
      </c>
      <c r="U29" s="774">
        <f t="shared" ref="U29:U47" si="13">H29</f>
        <v>100</v>
      </c>
      <c r="V29" s="773" t="s">
        <v>17</v>
      </c>
      <c r="W29" s="774">
        <f t="shared" ref="W29:W47" si="14">J29</f>
        <v>100</v>
      </c>
      <c r="X29" s="1815"/>
      <c r="Y29" s="3301"/>
      <c r="Z29" s="1816">
        <f t="shared" ref="Z29:Z47" si="15">Q29</f>
        <v>111</v>
      </c>
      <c r="AA29" s="1813">
        <f t="shared" si="3"/>
        <v>1</v>
      </c>
      <c r="AB29" s="1813">
        <f t="shared" si="4"/>
        <v>1</v>
      </c>
      <c r="AC29" s="2638">
        <f t="shared" si="5"/>
        <v>1</v>
      </c>
    </row>
    <row r="30" spans="1:29" ht="15" hidden="1">
      <c r="A30" s="427"/>
      <c r="B30" s="2642">
        <v>111</v>
      </c>
      <c r="C30" s="2579"/>
      <c r="D30" s="434">
        <v>100</v>
      </c>
      <c r="E30" s="431"/>
      <c r="F30" s="434">
        <f>SUMIF(95:95,E30,96:96)-SUMIF(95:95,C30,96:96)+100</f>
        <v>100</v>
      </c>
      <c r="G30" s="2636"/>
      <c r="H30" s="434">
        <f>SUMIF(95:95,G30,96:96)-SUMIF(95:95,C30,96:96)+100</f>
        <v>100</v>
      </c>
      <c r="I30" s="431"/>
      <c r="J30" s="434">
        <f>SUMIF(95:95,I30,96:96)-SUMIF(95:95,C30,96:96)+100</f>
        <v>100</v>
      </c>
      <c r="K30" s="612"/>
      <c r="L30" s="1142"/>
      <c r="M30" s="1133"/>
      <c r="N30" s="1133"/>
      <c r="O30" s="1133"/>
      <c r="P30" s="3299"/>
      <c r="Q30" s="1812">
        <f t="shared" si="11"/>
        <v>111</v>
      </c>
      <c r="R30" s="773" t="s">
        <v>17</v>
      </c>
      <c r="S30" s="774">
        <f t="shared" si="12"/>
        <v>100</v>
      </c>
      <c r="T30" s="773" t="s">
        <v>17</v>
      </c>
      <c r="U30" s="774">
        <f t="shared" si="13"/>
        <v>100</v>
      </c>
      <c r="V30" s="773" t="s">
        <v>17</v>
      </c>
      <c r="W30" s="774">
        <f t="shared" si="14"/>
        <v>100</v>
      </c>
      <c r="X30" s="1815"/>
      <c r="Y30" s="3301"/>
      <c r="Z30" s="1816">
        <f t="shared" si="15"/>
        <v>111</v>
      </c>
      <c r="AA30" s="1813">
        <f t="shared" si="3"/>
        <v>1</v>
      </c>
      <c r="AB30" s="1813">
        <f t="shared" si="4"/>
        <v>1</v>
      </c>
      <c r="AC30" s="2638">
        <f t="shared" si="5"/>
        <v>1</v>
      </c>
    </row>
    <row r="31" spans="1:29" ht="15" hidden="1">
      <c r="A31" s="427"/>
      <c r="B31" s="2642">
        <v>111</v>
      </c>
      <c r="C31" s="2579"/>
      <c r="D31" s="434">
        <v>100</v>
      </c>
      <c r="E31" s="431"/>
      <c r="F31" s="434">
        <f>SUMIF(97:97,E31,98:98)-SUMIF(97:97,C31,98:98)+100</f>
        <v>100</v>
      </c>
      <c r="G31" s="2636"/>
      <c r="H31" s="434">
        <f>SUMIF(97:97,G31,98:98)-SUMIF(97:97,C31,98:98)+100</f>
        <v>100</v>
      </c>
      <c r="I31" s="431"/>
      <c r="J31" s="434">
        <f>SUMIF(97:97,I31,98:98)-SUMIF(97:97,C31,98:98)+100</f>
        <v>100</v>
      </c>
      <c r="K31" s="612"/>
      <c r="L31" s="1142"/>
      <c r="M31" s="1133"/>
      <c r="N31" s="1133"/>
      <c r="O31" s="1133"/>
      <c r="P31" s="3299"/>
      <c r="Q31" s="1812">
        <f t="shared" si="11"/>
        <v>111</v>
      </c>
      <c r="R31" s="773" t="s">
        <v>17</v>
      </c>
      <c r="S31" s="774">
        <f t="shared" si="12"/>
        <v>100</v>
      </c>
      <c r="T31" s="773" t="s">
        <v>17</v>
      </c>
      <c r="U31" s="774">
        <f t="shared" si="13"/>
        <v>100</v>
      </c>
      <c r="V31" s="773" t="s">
        <v>17</v>
      </c>
      <c r="W31" s="774">
        <f t="shared" si="14"/>
        <v>100</v>
      </c>
      <c r="X31" s="1815"/>
      <c r="Y31" s="3301"/>
      <c r="Z31" s="1816">
        <f t="shared" si="15"/>
        <v>111</v>
      </c>
      <c r="AA31" s="1813">
        <f t="shared" si="3"/>
        <v>1</v>
      </c>
      <c r="AB31" s="1813">
        <f t="shared" si="4"/>
        <v>1</v>
      </c>
      <c r="AC31" s="2638">
        <f t="shared" si="5"/>
        <v>1</v>
      </c>
    </row>
    <row r="32" spans="1:29" ht="15.75" hidden="1" thickBot="1">
      <c r="A32" s="435"/>
      <c r="B32" s="634">
        <v>111</v>
      </c>
      <c r="C32" s="2580"/>
      <c r="D32" s="437">
        <v>100</v>
      </c>
      <c r="E32" s="627"/>
      <c r="F32" s="437">
        <f>SUMIF(99:99,E32,100:100)-SUMIF(99:99,C32,100:100)+100</f>
        <v>100</v>
      </c>
      <c r="G32" s="2636"/>
      <c r="H32" s="437">
        <f>SUMIF(99:99,G32,100:100)-SUMIF(99:99,C32,100:100)+100</f>
        <v>100</v>
      </c>
      <c r="I32" s="431"/>
      <c r="J32" s="437">
        <f>SUMIF(99:99,I32,100:100)-SUMIF(99:99,C32,100:100)+100</f>
        <v>100</v>
      </c>
      <c r="K32" s="612"/>
      <c r="L32" s="1142"/>
      <c r="M32" s="1133"/>
      <c r="N32" s="1133"/>
      <c r="O32" s="1133"/>
      <c r="P32" s="3299"/>
      <c r="Q32" s="1812">
        <f t="shared" si="11"/>
        <v>111</v>
      </c>
      <c r="R32" s="773" t="s">
        <v>17</v>
      </c>
      <c r="S32" s="774">
        <f t="shared" si="12"/>
        <v>100</v>
      </c>
      <c r="T32" s="773" t="s">
        <v>17</v>
      </c>
      <c r="U32" s="774">
        <f t="shared" si="13"/>
        <v>100</v>
      </c>
      <c r="V32" s="773" t="s">
        <v>17</v>
      </c>
      <c r="W32" s="774">
        <f t="shared" si="14"/>
        <v>100</v>
      </c>
      <c r="X32" s="1815"/>
      <c r="Y32" s="3301"/>
      <c r="Z32" s="1816">
        <f t="shared" si="15"/>
        <v>111</v>
      </c>
      <c r="AA32" s="1813">
        <f t="shared" si="3"/>
        <v>1</v>
      </c>
      <c r="AB32" s="1813">
        <f t="shared" si="4"/>
        <v>1</v>
      </c>
      <c r="AC32" s="2638">
        <f t="shared" si="5"/>
        <v>1</v>
      </c>
    </row>
    <row r="33" spans="1:29" ht="15">
      <c r="A33" s="439" t="s">
        <v>2534</v>
      </c>
      <c r="B33" s="71" t="s">
        <v>2664</v>
      </c>
      <c r="C33" s="2643" t="s">
        <v>3341</v>
      </c>
      <c r="D33" s="466">
        <v>100</v>
      </c>
      <c r="E33" s="2643" t="s">
        <v>3341</v>
      </c>
      <c r="F33" s="460">
        <f>SUMIF(101:101,E33,102:102)-SUMIF(101:101,C33,102:102)+100</f>
        <v>100</v>
      </c>
      <c r="G33" s="2643" t="s">
        <v>3341</v>
      </c>
      <c r="H33" s="434">
        <f>SUMIF(101:101,G33,102:102)-SUMIF(101:101,C33,102:102)+100</f>
        <v>100</v>
      </c>
      <c r="I33" s="2643" t="s">
        <v>3341</v>
      </c>
      <c r="J33" s="466">
        <f>SUMIF(101:101,I33,102:102)-SUMIF(101:101,C33,102:102)+100</f>
        <v>100</v>
      </c>
      <c r="K33" s="611">
        <v>2</v>
      </c>
      <c r="L33" s="1142"/>
      <c r="M33" s="1133"/>
      <c r="N33" s="1133"/>
      <c r="O33" s="1133"/>
      <c r="P33" s="3302" t="s">
        <v>2536</v>
      </c>
      <c r="Q33" s="1812" t="str">
        <f t="shared" si="11"/>
        <v>建筑类型</v>
      </c>
      <c r="R33" s="773" t="s">
        <v>17</v>
      </c>
      <c r="S33" s="774">
        <f t="shared" si="12"/>
        <v>100</v>
      </c>
      <c r="T33" s="773" t="s">
        <v>17</v>
      </c>
      <c r="U33" s="774">
        <f t="shared" si="13"/>
        <v>100</v>
      </c>
      <c r="V33" s="773" t="s">
        <v>17</v>
      </c>
      <c r="W33" s="774">
        <f t="shared" si="14"/>
        <v>100</v>
      </c>
      <c r="X33" s="1815"/>
      <c r="Y33" s="3305" t="s">
        <v>2536</v>
      </c>
      <c r="Z33" s="1816" t="str">
        <f t="shared" si="15"/>
        <v>建筑类型</v>
      </c>
      <c r="AA33" s="1813">
        <f t="shared" si="3"/>
        <v>1</v>
      </c>
      <c r="AB33" s="1813">
        <f t="shared" si="4"/>
        <v>1</v>
      </c>
      <c r="AC33" s="2638">
        <f t="shared" si="5"/>
        <v>1</v>
      </c>
    </row>
    <row r="34" spans="1:29" s="470" customFormat="1" ht="15">
      <c r="A34" s="467"/>
      <c r="B34" s="421" t="s">
        <v>2537</v>
      </c>
      <c r="C34" s="468">
        <v>3200</v>
      </c>
      <c r="D34" s="135">
        <v>100</v>
      </c>
      <c r="E34" s="429">
        <v>1379</v>
      </c>
      <c r="F34" s="424">
        <f>LOOKUP(E34,104:104,105:105)-LOOKUP(C34,104:104,105:105)+100</f>
        <v>102</v>
      </c>
      <c r="G34" s="428">
        <v>2400</v>
      </c>
      <c r="H34" s="135">
        <f>LOOKUP(G34,104:104,105:105)-LOOKUP(C34,104:104,105:105)+100</f>
        <v>100</v>
      </c>
      <c r="I34" s="428">
        <v>2100</v>
      </c>
      <c r="J34" s="135">
        <f>LOOKUP(I34,104:104,105:105)-LOOKUP(C34,104:104,105:105)+100</f>
        <v>100</v>
      </c>
      <c r="K34" s="612"/>
      <c r="L34" s="1140"/>
      <c r="M34" s="1143"/>
      <c r="N34" s="1143"/>
      <c r="O34" s="1143"/>
      <c r="P34" s="3303"/>
      <c r="Q34" s="775" t="str">
        <f t="shared" si="11"/>
        <v>项目建筑规模</v>
      </c>
      <c r="R34" s="776" t="s">
        <v>17</v>
      </c>
      <c r="S34" s="777">
        <f t="shared" si="12"/>
        <v>102</v>
      </c>
      <c r="T34" s="776" t="s">
        <v>17</v>
      </c>
      <c r="U34" s="777">
        <f t="shared" si="13"/>
        <v>100</v>
      </c>
      <c r="V34" s="776" t="s">
        <v>17</v>
      </c>
      <c r="W34" s="777">
        <f t="shared" si="14"/>
        <v>100</v>
      </c>
      <c r="X34" s="778"/>
      <c r="Y34" s="3305"/>
      <c r="Z34" s="779" t="str">
        <f t="shared" si="15"/>
        <v>项目建筑规模</v>
      </c>
      <c r="AA34" s="1813">
        <f t="shared" si="3"/>
        <v>0.98039215686274506</v>
      </c>
      <c r="AB34" s="1813">
        <f t="shared" si="4"/>
        <v>1</v>
      </c>
      <c r="AC34" s="2638">
        <f t="shared" si="5"/>
        <v>1</v>
      </c>
    </row>
    <row r="35" spans="1:29" ht="15">
      <c r="A35" s="471"/>
      <c r="B35" s="421" t="s">
        <v>2538</v>
      </c>
      <c r="C35" s="459" t="s">
        <v>3252</v>
      </c>
      <c r="D35" s="434">
        <v>100</v>
      </c>
      <c r="E35" s="459" t="s">
        <v>3252</v>
      </c>
      <c r="F35" s="460">
        <f>SUMIF(106:106,E35,107:107)-SUMIF(106:106,C35,107:107)+100</f>
        <v>100</v>
      </c>
      <c r="G35" s="459" t="s">
        <v>3252</v>
      </c>
      <c r="H35" s="434">
        <f>SUMIF(106:106,G35,107:107)-SUMIF(106:106,C35,107:107)+100</f>
        <v>100</v>
      </c>
      <c r="I35" s="459" t="s">
        <v>3252</v>
      </c>
      <c r="J35" s="434">
        <f>SUMIF(106:106,I35,107:107)-SUMIF(106:106,C35,107:107)+100</f>
        <v>100</v>
      </c>
      <c r="K35" s="611">
        <v>2</v>
      </c>
      <c r="L35" s="1142"/>
      <c r="M35" s="1133"/>
      <c r="N35" s="1133"/>
      <c r="O35" s="1133"/>
      <c r="P35" s="3303"/>
      <c r="Q35" s="1812" t="str">
        <f t="shared" si="11"/>
        <v>建筑结构</v>
      </c>
      <c r="R35" s="773" t="s">
        <v>17</v>
      </c>
      <c r="S35" s="774">
        <f t="shared" si="12"/>
        <v>100</v>
      </c>
      <c r="T35" s="773" t="s">
        <v>17</v>
      </c>
      <c r="U35" s="774">
        <f t="shared" si="13"/>
        <v>100</v>
      </c>
      <c r="V35" s="773" t="s">
        <v>17</v>
      </c>
      <c r="W35" s="774">
        <f t="shared" si="14"/>
        <v>100</v>
      </c>
      <c r="X35" s="1815"/>
      <c r="Y35" s="3305"/>
      <c r="Z35" s="1816" t="str">
        <f t="shared" si="15"/>
        <v>建筑结构</v>
      </c>
      <c r="AA35" s="1813">
        <f t="shared" si="3"/>
        <v>1</v>
      </c>
      <c r="AB35" s="1813">
        <f t="shared" si="4"/>
        <v>1</v>
      </c>
      <c r="AC35" s="2638">
        <f t="shared" si="5"/>
        <v>1</v>
      </c>
    </row>
    <row r="36" spans="1:29" ht="15">
      <c r="A36" s="471"/>
      <c r="B36" s="421" t="s">
        <v>2632</v>
      </c>
      <c r="C36" s="459" t="s">
        <v>3345</v>
      </c>
      <c r="D36" s="434">
        <v>100</v>
      </c>
      <c r="E36" s="459" t="s">
        <v>3345</v>
      </c>
      <c r="F36" s="460">
        <f>SUMIF(108:108,E36,109:109)-SUMIF(108:108,C36,109:109)+100</f>
        <v>100</v>
      </c>
      <c r="G36" s="459" t="s">
        <v>3345</v>
      </c>
      <c r="H36" s="434">
        <f>SUMIF(108:108,G36,109:109)-SUMIF(108:108,C36,109:109)+100</f>
        <v>100</v>
      </c>
      <c r="I36" s="459" t="s">
        <v>3345</v>
      </c>
      <c r="J36" s="434">
        <f>SUMIF(108:108,I36,109:109)-SUMIF(108:108,C36,109:109)+100</f>
        <v>100</v>
      </c>
      <c r="K36" s="611">
        <v>5</v>
      </c>
      <c r="L36" s="1142"/>
      <c r="M36" s="1133"/>
      <c r="N36" s="1133"/>
      <c r="O36" s="1133"/>
      <c r="P36" s="3303"/>
      <c r="Q36" s="1812" t="str">
        <f t="shared" si="11"/>
        <v>公共部分装修</v>
      </c>
      <c r="R36" s="773" t="s">
        <v>17</v>
      </c>
      <c r="S36" s="774">
        <f t="shared" si="12"/>
        <v>100</v>
      </c>
      <c r="T36" s="773" t="s">
        <v>17</v>
      </c>
      <c r="U36" s="774">
        <f t="shared" si="13"/>
        <v>100</v>
      </c>
      <c r="V36" s="773" t="s">
        <v>17</v>
      </c>
      <c r="W36" s="774">
        <f t="shared" si="14"/>
        <v>100</v>
      </c>
      <c r="X36" s="1815"/>
      <c r="Y36" s="3305"/>
      <c r="Z36" s="1816" t="str">
        <f t="shared" si="15"/>
        <v>公共部分装修</v>
      </c>
      <c r="AA36" s="1813">
        <f t="shared" si="3"/>
        <v>1</v>
      </c>
      <c r="AB36" s="1813">
        <f t="shared" si="4"/>
        <v>1</v>
      </c>
      <c r="AC36" s="2638">
        <f t="shared" si="5"/>
        <v>1</v>
      </c>
    </row>
    <row r="37" spans="1:29" ht="15">
      <c r="A37" s="471"/>
      <c r="B37" s="421" t="s">
        <v>2633</v>
      </c>
      <c r="C37" s="473">
        <v>0.88</v>
      </c>
      <c r="D37" s="434">
        <v>100</v>
      </c>
      <c r="E37" s="473">
        <v>0.78</v>
      </c>
      <c r="F37" s="460">
        <f>LOOKUP(E37,111:111,112:112)-LOOKUP(C37,111:111,112:112)+100</f>
        <v>95</v>
      </c>
      <c r="G37" s="473">
        <v>0.78</v>
      </c>
      <c r="H37" s="460">
        <f>LOOKUP(G37,111:111,112:112)-LOOKUP(C37,111:111,112:112)+100</f>
        <v>95</v>
      </c>
      <c r="I37" s="473">
        <v>0.9</v>
      </c>
      <c r="J37" s="434">
        <f>LOOKUP(I37,111:111,112:112)-LOOKUP(C37,111:111,112:112)+100</f>
        <v>105</v>
      </c>
      <c r="K37" s="611">
        <v>5</v>
      </c>
      <c r="L37" s="1142"/>
      <c r="M37" s="1133"/>
      <c r="N37" s="1133"/>
      <c r="O37" s="1133"/>
      <c r="P37" s="3303"/>
      <c r="Q37" s="1812" t="str">
        <f t="shared" si="11"/>
        <v>成新度</v>
      </c>
      <c r="R37" s="773" t="s">
        <v>17</v>
      </c>
      <c r="S37" s="774">
        <f t="shared" si="12"/>
        <v>95</v>
      </c>
      <c r="T37" s="773" t="s">
        <v>17</v>
      </c>
      <c r="U37" s="774">
        <f t="shared" si="13"/>
        <v>95</v>
      </c>
      <c r="V37" s="773" t="s">
        <v>17</v>
      </c>
      <c r="W37" s="774">
        <f t="shared" si="14"/>
        <v>105</v>
      </c>
      <c r="X37" s="1815"/>
      <c r="Y37" s="3305"/>
      <c r="Z37" s="1816" t="str">
        <f t="shared" si="15"/>
        <v>成新度</v>
      </c>
      <c r="AA37" s="1813">
        <f t="shared" si="3"/>
        <v>1.0526315789473684</v>
      </c>
      <c r="AB37" s="1813">
        <f t="shared" si="4"/>
        <v>1.0526315789473684</v>
      </c>
      <c r="AC37" s="2638">
        <f t="shared" si="5"/>
        <v>0.95238095238095233</v>
      </c>
    </row>
    <row r="38" spans="1:29" s="117" customFormat="1" ht="15">
      <c r="A38" s="472"/>
      <c r="B38" s="421" t="s">
        <v>2665</v>
      </c>
      <c r="C38" s="459" t="s">
        <v>3350</v>
      </c>
      <c r="D38" s="135">
        <v>100</v>
      </c>
      <c r="E38" s="459" t="s">
        <v>3350</v>
      </c>
      <c r="F38" s="460">
        <f>SUMIF(113:113,E38,114:114)-SUMIF(113:113,C38,114:114)+100</f>
        <v>100</v>
      </c>
      <c r="G38" s="459" t="s">
        <v>3350</v>
      </c>
      <c r="H38" s="434">
        <f>SUMIF(113:113,G38,114:114)-SUMIF(113:113,C38,114:114)+100</f>
        <v>100</v>
      </c>
      <c r="I38" s="459" t="s">
        <v>3350</v>
      </c>
      <c r="J38" s="434">
        <f>SUMIF(113:113,I38,114:114)-SUMIF(113:113,C38,114:114)+100</f>
        <v>100</v>
      </c>
      <c r="K38" s="611">
        <v>2</v>
      </c>
      <c r="L38" s="1134"/>
      <c r="M38" s="1135"/>
      <c r="N38" s="1135"/>
      <c r="O38" s="1135"/>
      <c r="P38" s="3303"/>
      <c r="Q38" s="1797" t="str">
        <f t="shared" si="11"/>
        <v>写字楼等级</v>
      </c>
      <c r="R38" s="769" t="s">
        <v>17</v>
      </c>
      <c r="S38" s="770">
        <f t="shared" si="12"/>
        <v>100</v>
      </c>
      <c r="T38" s="769" t="s">
        <v>17</v>
      </c>
      <c r="U38" s="770">
        <f t="shared" si="13"/>
        <v>100</v>
      </c>
      <c r="V38" s="769" t="s">
        <v>17</v>
      </c>
      <c r="W38" s="770">
        <f t="shared" si="14"/>
        <v>100</v>
      </c>
      <c r="X38" s="771"/>
      <c r="Y38" s="3305"/>
      <c r="Z38" s="55" t="str">
        <f t="shared" si="15"/>
        <v>写字楼等级</v>
      </c>
      <c r="AA38" s="772">
        <f t="shared" si="3"/>
        <v>1</v>
      </c>
      <c r="AB38" s="772">
        <f t="shared" si="4"/>
        <v>1</v>
      </c>
      <c r="AC38" s="2635">
        <f t="shared" si="5"/>
        <v>1</v>
      </c>
    </row>
    <row r="39" spans="1:29" ht="15">
      <c r="A39" s="471"/>
      <c r="B39" s="421" t="s">
        <v>2666</v>
      </c>
      <c r="C39" s="459" t="s">
        <v>3354</v>
      </c>
      <c r="D39" s="434">
        <v>100</v>
      </c>
      <c r="E39" s="459" t="s">
        <v>3354</v>
      </c>
      <c r="F39" s="460">
        <f>SUMIF(115:115,E39,116:116)-SUMIF(115:115,C39,116:116)+100</f>
        <v>100</v>
      </c>
      <c r="G39" s="459" t="s">
        <v>3354</v>
      </c>
      <c r="H39" s="434">
        <f>SUMIF(115:115,G39,116:116)-SUMIF(115:115,C39,116:116)+100</f>
        <v>100</v>
      </c>
      <c r="I39" s="459" t="s">
        <v>3354</v>
      </c>
      <c r="J39" s="434">
        <f>SUMIF(115:115,I39,116:116)-SUMIF(115:115,C39,116:116)+100</f>
        <v>100</v>
      </c>
      <c r="K39" s="611">
        <v>2</v>
      </c>
      <c r="L39" s="1142"/>
      <c r="M39" s="1133"/>
      <c r="N39" s="1133"/>
      <c r="O39" s="1133"/>
      <c r="P39" s="3303" t="s">
        <v>2536</v>
      </c>
      <c r="Q39" s="1812" t="str">
        <f t="shared" si="11"/>
        <v>物业管理</v>
      </c>
      <c r="R39" s="773" t="s">
        <v>17</v>
      </c>
      <c r="S39" s="774">
        <f t="shared" si="12"/>
        <v>100</v>
      </c>
      <c r="T39" s="773" t="s">
        <v>17</v>
      </c>
      <c r="U39" s="774">
        <f t="shared" si="13"/>
        <v>100</v>
      </c>
      <c r="V39" s="773" t="s">
        <v>17</v>
      </c>
      <c r="W39" s="774">
        <f t="shared" si="14"/>
        <v>100</v>
      </c>
      <c r="X39" s="1815"/>
      <c r="Y39" s="3305" t="s">
        <v>2536</v>
      </c>
      <c r="Z39" s="1816" t="str">
        <f t="shared" si="15"/>
        <v>物业管理</v>
      </c>
      <c r="AA39" s="1813">
        <f t="shared" si="3"/>
        <v>1</v>
      </c>
      <c r="AB39" s="1813">
        <f t="shared" si="4"/>
        <v>1</v>
      </c>
      <c r="AC39" s="2638">
        <f t="shared" si="5"/>
        <v>1</v>
      </c>
    </row>
    <row r="40" spans="1:29" ht="15" hidden="1">
      <c r="A40" s="471"/>
      <c r="B40" s="421" t="s">
        <v>2634</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303"/>
      <c r="Q40" s="1812" t="str">
        <f t="shared" si="11"/>
        <v>市政基础设施</v>
      </c>
      <c r="R40" s="773" t="s">
        <v>17</v>
      </c>
      <c r="S40" s="774">
        <f t="shared" si="12"/>
        <v>100</v>
      </c>
      <c r="T40" s="773" t="s">
        <v>17</v>
      </c>
      <c r="U40" s="774">
        <f t="shared" si="13"/>
        <v>100</v>
      </c>
      <c r="V40" s="773" t="s">
        <v>17</v>
      </c>
      <c r="W40" s="774">
        <f t="shared" si="14"/>
        <v>100</v>
      </c>
      <c r="X40" s="1815"/>
      <c r="Y40" s="3305"/>
      <c r="Z40" s="1816" t="str">
        <f t="shared" si="15"/>
        <v>市政基础设施</v>
      </c>
      <c r="AA40" s="1813">
        <f t="shared" si="3"/>
        <v>1</v>
      </c>
      <c r="AB40" s="1813">
        <f t="shared" si="4"/>
        <v>1</v>
      </c>
      <c r="AC40" s="2638">
        <f t="shared" si="5"/>
        <v>1</v>
      </c>
    </row>
    <row r="41" spans="1:29" ht="15">
      <c r="A41" s="471"/>
      <c r="B41" s="421" t="s">
        <v>2636</v>
      </c>
      <c r="C41" s="615" t="s">
        <v>3359</v>
      </c>
      <c r="D41" s="434">
        <v>100</v>
      </c>
      <c r="E41" s="615" t="s">
        <v>3359</v>
      </c>
      <c r="F41" s="460">
        <f>SUMIF(119:119,E41,120:120)-SUMIF(119:119,C41,120:120)+100</f>
        <v>100</v>
      </c>
      <c r="G41" s="615" t="s">
        <v>3359</v>
      </c>
      <c r="H41" s="434">
        <f>SUMIF(119:119,G41,120:120)-SUMIF(119:119,C41,120:120)+100</f>
        <v>100</v>
      </c>
      <c r="I41" s="615" t="s">
        <v>3359</v>
      </c>
      <c r="J41" s="434">
        <f>SUMIF(119:119,I41,120:120)-SUMIF(119:119,C41,120:120)+100</f>
        <v>100</v>
      </c>
      <c r="K41" s="611">
        <v>2</v>
      </c>
      <c r="L41" s="1142"/>
      <c r="M41" s="1133"/>
      <c r="N41" s="1133"/>
      <c r="O41" s="1133"/>
      <c r="P41" s="3303"/>
      <c r="Q41" s="1812" t="str">
        <f t="shared" si="11"/>
        <v>层高</v>
      </c>
      <c r="R41" s="773" t="s">
        <v>17</v>
      </c>
      <c r="S41" s="774">
        <f t="shared" si="12"/>
        <v>100</v>
      </c>
      <c r="T41" s="773" t="s">
        <v>17</v>
      </c>
      <c r="U41" s="774">
        <f t="shared" si="13"/>
        <v>100</v>
      </c>
      <c r="V41" s="773" t="s">
        <v>17</v>
      </c>
      <c r="W41" s="774">
        <f t="shared" si="14"/>
        <v>100</v>
      </c>
      <c r="X41" s="1815"/>
      <c r="Y41" s="3305"/>
      <c r="Z41" s="1816" t="str">
        <f t="shared" si="15"/>
        <v>层高</v>
      </c>
      <c r="AA41" s="1813">
        <f t="shared" si="3"/>
        <v>1</v>
      </c>
      <c r="AB41" s="1813">
        <f t="shared" si="4"/>
        <v>1</v>
      </c>
      <c r="AC41" s="2638">
        <f t="shared" si="5"/>
        <v>1</v>
      </c>
    </row>
    <row r="42" spans="1:29" s="470" customFormat="1" ht="15">
      <c r="A42" s="467"/>
      <c r="B42" s="1814" t="s">
        <v>2667</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303"/>
      <c r="Q42" s="775" t="str">
        <f t="shared" si="11"/>
        <v>单套建筑面积</v>
      </c>
      <c r="R42" s="776" t="s">
        <v>17</v>
      </c>
      <c r="S42" s="777">
        <f t="shared" si="12"/>
        <v>100</v>
      </c>
      <c r="T42" s="776" t="s">
        <v>17</v>
      </c>
      <c r="U42" s="777">
        <f t="shared" si="13"/>
        <v>100</v>
      </c>
      <c r="V42" s="776" t="s">
        <v>17</v>
      </c>
      <c r="W42" s="777">
        <f t="shared" si="14"/>
        <v>100</v>
      </c>
      <c r="X42" s="778"/>
      <c r="Y42" s="3305"/>
      <c r="Z42" s="779" t="str">
        <f t="shared" si="15"/>
        <v>单套建筑面积</v>
      </c>
      <c r="AA42" s="1813">
        <f t="shared" si="3"/>
        <v>1</v>
      </c>
      <c r="AB42" s="1813">
        <f t="shared" si="4"/>
        <v>1</v>
      </c>
      <c r="AC42" s="2638">
        <f t="shared" si="5"/>
        <v>1</v>
      </c>
    </row>
    <row r="43" spans="1:29" ht="15">
      <c r="A43" s="471"/>
      <c r="B43" s="421" t="s">
        <v>2639</v>
      </c>
      <c r="C43" s="459" t="s">
        <v>3345</v>
      </c>
      <c r="D43" s="434">
        <v>100</v>
      </c>
      <c r="E43" s="459" t="s">
        <v>3345</v>
      </c>
      <c r="F43" s="460">
        <f>SUMIF(123:123,E43,124:124)-SUMIF(123:123,C43,124:124)+100</f>
        <v>100</v>
      </c>
      <c r="G43" s="459" t="s">
        <v>3345</v>
      </c>
      <c r="H43" s="434">
        <f>SUMIF(123:123,G43,124:124)-SUMIF(123:123,C43,124:124)+100</f>
        <v>100</v>
      </c>
      <c r="I43" s="459" t="s">
        <v>3345</v>
      </c>
      <c r="J43" s="434">
        <f>SUMIF(123:123,I43,124:124)-SUMIF(123:123,C43,124:124)+100</f>
        <v>100</v>
      </c>
      <c r="K43" s="611">
        <v>2</v>
      </c>
      <c r="L43" s="1142"/>
      <c r="M43" s="1133"/>
      <c r="N43" s="1133"/>
      <c r="O43" s="1133"/>
      <c r="P43" s="3303"/>
      <c r="Q43" s="1812" t="str">
        <f t="shared" si="11"/>
        <v>内部装修</v>
      </c>
      <c r="R43" s="773" t="s">
        <v>17</v>
      </c>
      <c r="S43" s="774">
        <f t="shared" si="12"/>
        <v>100</v>
      </c>
      <c r="T43" s="773" t="s">
        <v>17</v>
      </c>
      <c r="U43" s="774">
        <f t="shared" si="13"/>
        <v>100</v>
      </c>
      <c r="V43" s="773" t="s">
        <v>17</v>
      </c>
      <c r="W43" s="774">
        <f t="shared" si="14"/>
        <v>100</v>
      </c>
      <c r="X43" s="1815"/>
      <c r="Y43" s="3305"/>
      <c r="Z43" s="1816" t="str">
        <f t="shared" si="15"/>
        <v>内部装修</v>
      </c>
      <c r="AA43" s="1813">
        <f t="shared" si="3"/>
        <v>1</v>
      </c>
      <c r="AB43" s="1813">
        <f t="shared" si="4"/>
        <v>1</v>
      </c>
      <c r="AC43" s="2638">
        <f t="shared" si="5"/>
        <v>1</v>
      </c>
    </row>
    <row r="44" spans="1:29" ht="15.75" thickBot="1">
      <c r="A44" s="471"/>
      <c r="B44" s="421" t="s">
        <v>2547</v>
      </c>
      <c r="C44" s="459" t="s">
        <v>3363</v>
      </c>
      <c r="D44" s="434">
        <v>100</v>
      </c>
      <c r="E44" s="2577" t="s">
        <v>3363</v>
      </c>
      <c r="F44" s="460">
        <f>SUMIF(125:125,E44,126:126)-SUMIF(125:125,C44,126:126)+100</f>
        <v>100</v>
      </c>
      <c r="G44" s="2577" t="s">
        <v>3363</v>
      </c>
      <c r="H44" s="434">
        <f>SUMIF(125:125,G44,126:126)-SUMIF(125:125,C44,126:126)+100</f>
        <v>100</v>
      </c>
      <c r="I44" s="2577" t="s">
        <v>3363</v>
      </c>
      <c r="J44" s="434">
        <f>SUMIF(125:125,I44,126:126)-SUMIF(125:125,C44,126:126)+100</f>
        <v>100</v>
      </c>
      <c r="K44" s="611"/>
      <c r="L44" s="1142"/>
      <c r="M44" s="1133"/>
      <c r="N44" s="1133"/>
      <c r="O44" s="1133"/>
      <c r="P44" s="3303"/>
      <c r="Q44" s="1812" t="str">
        <f t="shared" si="11"/>
        <v>内部装修维护情况</v>
      </c>
      <c r="R44" s="773" t="s">
        <v>17</v>
      </c>
      <c r="S44" s="774">
        <f t="shared" si="12"/>
        <v>100</v>
      </c>
      <c r="T44" s="773" t="s">
        <v>17</v>
      </c>
      <c r="U44" s="774">
        <f t="shared" si="13"/>
        <v>100</v>
      </c>
      <c r="V44" s="773" t="s">
        <v>17</v>
      </c>
      <c r="W44" s="774">
        <f t="shared" si="14"/>
        <v>100</v>
      </c>
      <c r="X44" s="1815"/>
      <c r="Y44" s="3305"/>
      <c r="Z44" s="1816" t="str">
        <f t="shared" si="15"/>
        <v>内部装修维护情况</v>
      </c>
      <c r="AA44" s="1813">
        <f t="shared" si="3"/>
        <v>1</v>
      </c>
      <c r="AB44" s="1813">
        <f t="shared" si="4"/>
        <v>1</v>
      </c>
      <c r="AC44" s="2638">
        <f t="shared" si="5"/>
        <v>1</v>
      </c>
    </row>
    <row r="45" spans="1:29" s="117" customFormat="1" ht="15" hidden="1">
      <c r="A45" s="472"/>
      <c r="B45" s="1388"/>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303"/>
      <c r="Q45" s="1797">
        <f t="shared" si="11"/>
        <v>0</v>
      </c>
      <c r="R45" s="769" t="s">
        <v>17</v>
      </c>
      <c r="S45" s="770">
        <f t="shared" si="12"/>
        <v>100</v>
      </c>
      <c r="T45" s="769" t="s">
        <v>17</v>
      </c>
      <c r="U45" s="770">
        <f t="shared" si="13"/>
        <v>100</v>
      </c>
      <c r="V45" s="769" t="s">
        <v>17</v>
      </c>
      <c r="W45" s="770">
        <f t="shared" si="14"/>
        <v>100</v>
      </c>
      <c r="X45" s="771"/>
      <c r="Y45" s="3305"/>
      <c r="Z45" s="55">
        <f t="shared" si="15"/>
        <v>0</v>
      </c>
      <c r="AA45" s="772">
        <f t="shared" si="3"/>
        <v>1</v>
      </c>
      <c r="AB45" s="772">
        <f t="shared" si="4"/>
        <v>1</v>
      </c>
      <c r="AC45" s="2635">
        <f t="shared" si="5"/>
        <v>1</v>
      </c>
    </row>
    <row r="46" spans="1:29" ht="15" hidden="1">
      <c r="A46" s="471"/>
      <c r="B46" s="1388"/>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303"/>
      <c r="Q46" s="1812">
        <f t="shared" si="11"/>
        <v>0</v>
      </c>
      <c r="R46" s="773" t="s">
        <v>17</v>
      </c>
      <c r="S46" s="774">
        <f t="shared" si="12"/>
        <v>100</v>
      </c>
      <c r="T46" s="773" t="s">
        <v>17</v>
      </c>
      <c r="U46" s="774">
        <f t="shared" si="13"/>
        <v>100</v>
      </c>
      <c r="V46" s="773" t="s">
        <v>17</v>
      </c>
      <c r="W46" s="774">
        <f t="shared" si="14"/>
        <v>100</v>
      </c>
      <c r="X46" s="1815"/>
      <c r="Y46" s="3305"/>
      <c r="Z46" s="1816">
        <f t="shared" si="15"/>
        <v>0</v>
      </c>
      <c r="AA46" s="1813">
        <f t="shared" si="3"/>
        <v>1</v>
      </c>
      <c r="AB46" s="1813">
        <f t="shared" si="4"/>
        <v>1</v>
      </c>
      <c r="AC46" s="2638">
        <f t="shared" si="5"/>
        <v>1</v>
      </c>
    </row>
    <row r="47" spans="1:29" ht="15.75" hidden="1" thickBot="1">
      <c r="A47" s="477"/>
      <c r="B47" s="2566"/>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304"/>
      <c r="Q47" s="1812">
        <f t="shared" si="11"/>
        <v>0</v>
      </c>
      <c r="R47" s="773" t="s">
        <v>17</v>
      </c>
      <c r="S47" s="774">
        <f t="shared" si="12"/>
        <v>100</v>
      </c>
      <c r="T47" s="773" t="s">
        <v>17</v>
      </c>
      <c r="U47" s="774">
        <f t="shared" si="13"/>
        <v>100</v>
      </c>
      <c r="V47" s="773" t="s">
        <v>17</v>
      </c>
      <c r="W47" s="774">
        <f t="shared" si="14"/>
        <v>100</v>
      </c>
      <c r="X47" s="1815"/>
      <c r="Y47" s="3306"/>
      <c r="Z47" s="1816">
        <f t="shared" si="15"/>
        <v>0</v>
      </c>
      <c r="AA47" s="1813">
        <f t="shared" si="3"/>
        <v>1</v>
      </c>
      <c r="AB47" s="1813">
        <f t="shared" si="4"/>
        <v>1</v>
      </c>
      <c r="AC47" s="2638">
        <f t="shared" si="5"/>
        <v>1</v>
      </c>
    </row>
    <row r="48" spans="1:29" ht="15">
      <c r="A48" s="478" t="s">
        <v>2548</v>
      </c>
      <c r="B48" s="479"/>
      <c r="C48" s="1409" t="s">
        <v>1</v>
      </c>
      <c r="D48" s="1410"/>
      <c r="E48" s="3101">
        <f>ROUND(87000*L49,0)</f>
        <v>87000</v>
      </c>
      <c r="F48" s="3102"/>
      <c r="G48" s="3103">
        <f>ROUND(85000*L49,0)</f>
        <v>85000</v>
      </c>
      <c r="H48" s="1410"/>
      <c r="I48" s="3101">
        <f>ROUND(90000*L49,0)</f>
        <v>90000</v>
      </c>
      <c r="J48" s="484"/>
      <c r="K48" s="782"/>
      <c r="L48" s="1145"/>
      <c r="M48" s="1133"/>
      <c r="N48" s="1133"/>
      <c r="O48" s="1133"/>
      <c r="P48" s="3292" t="str">
        <f>A48</f>
        <v>成交单价（元/平方米）</v>
      </c>
      <c r="Q48" s="3293"/>
      <c r="R48" s="3294">
        <f>E48</f>
        <v>87000</v>
      </c>
      <c r="S48" s="3294"/>
      <c r="T48" s="3294">
        <f>G48</f>
        <v>85000</v>
      </c>
      <c r="U48" s="3294"/>
      <c r="V48" s="3294">
        <f>I48</f>
        <v>90000</v>
      </c>
      <c r="W48" s="3294"/>
      <c r="X48" s="445"/>
      <c r="Y48" s="780"/>
      <c r="Z48" s="445"/>
      <c r="AA48" s="445"/>
      <c r="AB48" s="445"/>
      <c r="AC48" s="629"/>
    </row>
    <row r="49" spans="1:29" ht="15.75" thickBot="1">
      <c r="A49" s="485" t="s">
        <v>2640</v>
      </c>
      <c r="B49" s="486"/>
      <c r="C49" s="1415">
        <f>R50</f>
        <v>94368</v>
      </c>
      <c r="D49" s="1416"/>
      <c r="E49" s="1417">
        <f>R49</f>
        <v>89783</v>
      </c>
      <c r="F49" s="1417"/>
      <c r="G49" s="1415">
        <f>T49</f>
        <v>91300</v>
      </c>
      <c r="H49" s="1416"/>
      <c r="I49" s="1417">
        <f>V49</f>
        <v>102021</v>
      </c>
      <c r="J49" s="488"/>
      <c r="K49" s="783"/>
      <c r="L49" s="3100">
        <v>1</v>
      </c>
      <c r="M49" s="1133"/>
      <c r="N49" s="1133"/>
      <c r="O49" s="1133"/>
      <c r="P49" s="3292" t="str">
        <f>A49</f>
        <v>比较价值（元/平方米）</v>
      </c>
      <c r="Q49" s="3293"/>
      <c r="R49" s="3294">
        <f>IF(F1="售价",ROUND(PRODUCT(R48,AA7:AA47),0),ROUND(PRODUCT(R48,AA7:AA47),1))</f>
        <v>89783</v>
      </c>
      <c r="S49" s="3294"/>
      <c r="T49" s="3294">
        <f>IF(F1="售价",ROUND(PRODUCT(T48,AB7:AB47),0),ROUND(PRODUCT(T48,AB7:AB47),1))</f>
        <v>91300</v>
      </c>
      <c r="U49" s="3294"/>
      <c r="V49" s="3294">
        <f>IF(F1="售价",ROUND(PRODUCT(V48,AC7:AC47),0),ROUND(PRODUCT(V48,AC7:AC47),1))</f>
        <v>102021</v>
      </c>
      <c r="W49" s="3294"/>
      <c r="X49" s="445"/>
      <c r="Y49" s="445"/>
      <c r="Z49" s="445"/>
      <c r="AA49" s="445"/>
      <c r="AB49" s="445"/>
      <c r="AC49" s="629"/>
    </row>
    <row r="50" spans="1:29" ht="15.75" thickBot="1">
      <c r="A50" s="491" t="s">
        <v>3365</v>
      </c>
      <c r="B50" s="492"/>
      <c r="C50" s="1419">
        <f>R50</f>
        <v>94368</v>
      </c>
      <c r="D50" s="1419"/>
      <c r="E50" s="1419"/>
      <c r="F50" s="1419"/>
      <c r="G50" s="1419"/>
      <c r="H50" s="1419"/>
      <c r="I50" s="1419"/>
      <c r="J50" s="493"/>
      <c r="K50" s="784"/>
      <c r="L50" s="1145"/>
      <c r="M50" s="1133"/>
      <c r="N50" s="1133"/>
      <c r="O50" s="1133"/>
      <c r="P50" s="3295" t="str">
        <f>A50</f>
        <v>估价对象办公用房的比较价值（楼面单价，元/平方米）</v>
      </c>
      <c r="Q50" s="3296"/>
      <c r="R50" s="3297">
        <f>IF(F1="售价",ROUND(AVERAGE(R49:V49),0),ROUND(AVERAGE(R49:V49),1))</f>
        <v>94368</v>
      </c>
      <c r="S50" s="3297"/>
      <c r="T50" s="3297"/>
      <c r="U50" s="3297"/>
      <c r="V50" s="3297"/>
      <c r="W50" s="3297"/>
      <c r="X50" s="2618"/>
      <c r="Y50" s="2618"/>
      <c r="Z50" s="2618"/>
      <c r="AA50" s="2618"/>
      <c r="AB50" s="2618"/>
      <c r="AC50" s="2619"/>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2642</v>
      </c>
      <c r="D53" s="497"/>
      <c r="E53" s="498">
        <f>IF(E48&lt;E49,E49/E48-1,E48/E49-1)</f>
        <v>3.1988505747126528E-2</v>
      </c>
      <c r="F53" s="499" t="str">
        <f>IF(OR(E53&gt;=0.3,E53&lt;=-0.3),"超过30%","")</f>
        <v/>
      </c>
      <c r="G53" s="498">
        <f>IF(G48&lt;G49,G49/G48-1,G48/G49-1)</f>
        <v>7.4117647058823621E-2</v>
      </c>
      <c r="H53" s="499" t="str">
        <f>IF(OR(G53&gt;=0.3,G53&lt;=-0.3),"超过30%","")</f>
        <v/>
      </c>
      <c r="I53" s="498">
        <f>IF(I48&lt;I49,I49/I48-1,I48/I49-1)</f>
        <v>0.13356666666666661</v>
      </c>
      <c r="J53" s="499" t="str">
        <f>IF(OR(I53&gt;=0.3,I53&lt;=-0.3),"超过30%","")</f>
        <v/>
      </c>
      <c r="K53" s="1107"/>
      <c r="L53" s="1108"/>
      <c r="M53" s="1146"/>
      <c r="N53" s="1146"/>
      <c r="O53" s="1146"/>
    </row>
    <row r="54" spans="1:29" ht="13.5" customHeight="1">
      <c r="A54" s="1146"/>
      <c r="B54" s="1146"/>
      <c r="C54" s="496" t="s">
        <v>2643</v>
      </c>
      <c r="D54" s="500"/>
      <c r="E54" s="498">
        <f>IF(E49&lt;G49,G49/E49-1,E49/G49-1)</f>
        <v>1.6896294398716982E-2</v>
      </c>
      <c r="F54" s="499" t="str">
        <f>IF(OR(E54&gt;=0.2,E54&lt;=-0.2),"超过20%","")</f>
        <v/>
      </c>
      <c r="G54" s="498">
        <f>IF(G49&lt;I49,I49/G49-1,G49/I49-1)</f>
        <v>0.1174260679079957</v>
      </c>
      <c r="H54" s="499" t="str">
        <f>IF(OR(G54&gt;=0.2,G54&lt;=-0.2),"超过20%","")</f>
        <v/>
      </c>
      <c r="I54" s="498">
        <f>IF(I49&lt;E49,E49/I49-1,I49/E49-1)</f>
        <v>0.13630642772016976</v>
      </c>
      <c r="J54" s="499" t="str">
        <f>IF(OR(I54&gt;=0.2,I54&lt;=-0.2),"超过20%","")</f>
        <v/>
      </c>
      <c r="K54" s="1107"/>
      <c r="L54" s="1108"/>
      <c r="M54" s="1146"/>
      <c r="N54" s="1146"/>
      <c r="O54" s="1146"/>
    </row>
    <row r="55" spans="1:29" s="501" customFormat="1" ht="13.5" customHeight="1">
      <c r="A55" s="1147"/>
      <c r="B55" s="1147"/>
      <c r="C55" s="496" t="s">
        <v>2644</v>
      </c>
      <c r="D55" s="500"/>
      <c r="E55" s="498">
        <f>IF(E48&lt;G48,G48/E48-1,E48/G48-1)</f>
        <v>2.3529411764705799E-2</v>
      </c>
      <c r="F55" s="499" t="str">
        <f>IF(OR(E55&gt;=0.3,E55&lt;=-0.3),"超过30%","")</f>
        <v/>
      </c>
      <c r="G55" s="498">
        <f>IF(G48&lt;I48,I48/G48-1,G48/I48-1)</f>
        <v>5.8823529411764719E-2</v>
      </c>
      <c r="H55" s="499" t="str">
        <f>IF(OR(G55&gt;=0.3,G55&lt;=-0.3),"超过30%","")</f>
        <v/>
      </c>
      <c r="I55" s="498">
        <f>IF(I48&lt;E48,E48/I48-1,I48/E48-1)</f>
        <v>3.4482758620689724E-2</v>
      </c>
      <c r="J55" s="499" t="str">
        <f>IF(OR(I55&gt;=0.3,I55&lt;=-0.3),"超过30%","")</f>
        <v/>
      </c>
      <c r="K55" s="1150"/>
      <c r="L55" s="1151"/>
      <c r="M55" s="1147"/>
      <c r="N55" s="1147"/>
      <c r="O55" s="1147"/>
      <c r="P55" s="2644"/>
    </row>
    <row r="56" spans="1:29" s="501" customFormat="1">
      <c r="A56" s="1147"/>
      <c r="B56" s="1148"/>
      <c r="C56" s="1152"/>
      <c r="D56" s="1147"/>
      <c r="E56" s="1147"/>
      <c r="F56" s="1147"/>
      <c r="G56" s="1147"/>
      <c r="H56" s="1147"/>
      <c r="I56" s="1147"/>
      <c r="J56" s="1147"/>
      <c r="K56" s="1150"/>
      <c r="L56" s="1151"/>
      <c r="M56" s="1147"/>
      <c r="N56" s="1147"/>
      <c r="O56" s="1147"/>
      <c r="P56" s="2644"/>
    </row>
    <row r="57" spans="1:29">
      <c r="A57" s="1146"/>
      <c r="B57" s="1148"/>
      <c r="C57" s="1152"/>
      <c r="D57" s="1146"/>
      <c r="E57" s="1146"/>
      <c r="F57" s="1146"/>
      <c r="G57" s="1146"/>
      <c r="H57" s="1146"/>
      <c r="I57" s="1146"/>
      <c r="J57" s="1146"/>
      <c r="K57" s="1107"/>
      <c r="L57" s="1108"/>
      <c r="M57" s="1146"/>
      <c r="N57" s="1146"/>
      <c r="O57" s="1146"/>
    </row>
    <row r="58" spans="1:29" ht="21.75" thickBot="1">
      <c r="A58" s="762" t="s">
        <v>2645</v>
      </c>
      <c r="B58" s="758"/>
      <c r="C58" s="763"/>
      <c r="D58" s="763"/>
      <c r="E58" s="763"/>
      <c r="F58" s="764"/>
      <c r="G58" s="764"/>
      <c r="H58" s="763"/>
      <c r="I58" s="763"/>
      <c r="J58" s="763"/>
      <c r="K58" s="765"/>
      <c r="L58" s="1163"/>
      <c r="M58" s="1161"/>
      <c r="N58" s="1161"/>
      <c r="O58" s="1161"/>
      <c r="P58" s="2645"/>
      <c r="Q58" s="503"/>
    </row>
    <row r="59" spans="1:29" s="507" customFormat="1" ht="15">
      <c r="A59" s="504" t="s">
        <v>2519</v>
      </c>
      <c r="B59" s="505"/>
      <c r="C59" s="1576" t="str">
        <f>YEAR(C7)&amp;"-"&amp;MONTH(C7)</f>
        <v>2018-10</v>
      </c>
      <c r="D59" s="1577">
        <f>EDATE(C59,-1)</f>
        <v>43344</v>
      </c>
      <c r="E59" s="1577">
        <f>EDATE(D59,-1)</f>
        <v>43313</v>
      </c>
      <c r="F59" s="1577">
        <f t="shared" ref="F59:O59" si="16">EDATE(E59,-1)</f>
        <v>43282</v>
      </c>
      <c r="G59" s="1577">
        <f t="shared" si="16"/>
        <v>43252</v>
      </c>
      <c r="H59" s="1577">
        <f t="shared" si="16"/>
        <v>43221</v>
      </c>
      <c r="I59" s="1577">
        <f t="shared" si="16"/>
        <v>43191</v>
      </c>
      <c r="J59" s="1577">
        <f t="shared" si="16"/>
        <v>43160</v>
      </c>
      <c r="K59" s="1577">
        <f t="shared" si="16"/>
        <v>43132</v>
      </c>
      <c r="L59" s="1577">
        <f t="shared" si="16"/>
        <v>43101</v>
      </c>
      <c r="M59" s="1577">
        <f t="shared" si="16"/>
        <v>43070</v>
      </c>
      <c r="N59" s="1577">
        <f t="shared" si="16"/>
        <v>43040</v>
      </c>
      <c r="O59" s="1577">
        <f t="shared" si="16"/>
        <v>43009</v>
      </c>
      <c r="P59" s="1573"/>
    </row>
    <row r="60" spans="1:29" s="117" customFormat="1" ht="15">
      <c r="A60" s="508"/>
      <c r="B60" s="509"/>
      <c r="C60" s="1575">
        <v>100</v>
      </c>
      <c r="D60" s="511"/>
      <c r="E60" s="511"/>
      <c r="F60" s="511"/>
      <c r="G60" s="511"/>
      <c r="H60" s="511"/>
      <c r="I60" s="511"/>
      <c r="J60" s="511"/>
      <c r="K60" s="511"/>
      <c r="L60" s="511"/>
      <c r="M60" s="512"/>
      <c r="N60" s="511"/>
      <c r="O60" s="512"/>
      <c r="P60" s="2646"/>
    </row>
    <row r="61" spans="1:29" s="117" customFormat="1" ht="15.75" thickBot="1">
      <c r="A61" s="514" t="s">
        <v>2556</v>
      </c>
      <c r="B61" s="515"/>
      <c r="C61" s="516"/>
      <c r="D61" s="517"/>
      <c r="E61" s="517"/>
      <c r="F61" s="517"/>
      <c r="G61" s="517"/>
      <c r="H61" s="517"/>
      <c r="I61" s="517"/>
      <c r="J61" s="517"/>
      <c r="K61" s="517"/>
      <c r="L61" s="517"/>
      <c r="M61" s="518"/>
      <c r="N61" s="517"/>
      <c r="O61" s="518"/>
      <c r="P61" s="2646"/>
      <c r="Q61" s="503"/>
    </row>
    <row r="62" spans="1:29" s="117" customFormat="1" ht="15">
      <c r="A62" s="520" t="s">
        <v>2521</v>
      </c>
      <c r="B62" s="509"/>
      <c r="C62" s="521" t="s">
        <v>2623</v>
      </c>
      <c r="D62" s="522"/>
      <c r="E62" s="522"/>
      <c r="F62" s="522"/>
      <c r="G62" s="522"/>
      <c r="H62" s="522"/>
      <c r="I62" s="522"/>
      <c r="J62" s="522"/>
      <c r="K62" s="522"/>
      <c r="L62" s="523"/>
      <c r="M62" s="524"/>
      <c r="N62" s="1153"/>
      <c r="O62" s="1153"/>
      <c r="P62" s="2647"/>
      <c r="Q62" s="503"/>
    </row>
    <row r="63" spans="1:29" s="117" customFormat="1" ht="15.75" thickBot="1">
      <c r="A63" s="520"/>
      <c r="B63" s="509"/>
      <c r="C63" s="510">
        <v>100</v>
      </c>
      <c r="D63" s="511"/>
      <c r="E63" s="511"/>
      <c r="F63" s="511"/>
      <c r="G63" s="511"/>
      <c r="H63" s="511"/>
      <c r="I63" s="511"/>
      <c r="J63" s="511"/>
      <c r="K63" s="511"/>
      <c r="L63" s="511"/>
      <c r="M63" s="513"/>
      <c r="N63" s="1153"/>
      <c r="O63" s="1153"/>
      <c r="P63" s="2646"/>
      <c r="Q63" s="503"/>
    </row>
    <row r="64" spans="1:29">
      <c r="A64" s="526" t="s">
        <v>2559</v>
      </c>
      <c r="B64" s="527" t="s">
        <v>2525</v>
      </c>
      <c r="C64" s="528" t="str">
        <f>C9</f>
        <v>办公</v>
      </c>
      <c r="D64" s="529"/>
      <c r="E64" s="529"/>
      <c r="F64" s="529"/>
      <c r="G64" s="529"/>
      <c r="H64" s="529"/>
      <c r="I64" s="529"/>
      <c r="J64" s="529"/>
      <c r="K64" s="530"/>
      <c r="L64" s="531"/>
      <c r="M64" s="532"/>
      <c r="N64" s="1154"/>
      <c r="O64" s="1154"/>
      <c r="P64" s="2648"/>
      <c r="Q64" s="503"/>
    </row>
    <row r="65" spans="1:17" ht="15.75" thickBot="1">
      <c r="A65" s="533"/>
      <c r="B65" s="534"/>
      <c r="C65" s="535">
        <v>100</v>
      </c>
      <c r="D65" s="535"/>
      <c r="E65" s="535"/>
      <c r="F65" s="535"/>
      <c r="G65" s="535"/>
      <c r="H65" s="535"/>
      <c r="I65" s="535"/>
      <c r="J65" s="535"/>
      <c r="K65" s="535"/>
      <c r="L65" s="535"/>
      <c r="M65" s="536"/>
      <c r="N65" s="1155"/>
      <c r="O65" s="1155"/>
      <c r="P65" s="2648"/>
      <c r="Q65" s="503"/>
    </row>
    <row r="66" spans="1:17" ht="27.75" thickTop="1">
      <c r="A66" s="533"/>
      <c r="B66" s="537" t="s">
        <v>2528</v>
      </c>
      <c r="C66" s="538" t="s">
        <v>2560</v>
      </c>
      <c r="D66" s="538" t="s">
        <v>2561</v>
      </c>
      <c r="E66" s="538" t="s">
        <v>2562</v>
      </c>
      <c r="F66" s="538" t="s">
        <v>2563</v>
      </c>
      <c r="G66" s="538" t="s">
        <v>2564</v>
      </c>
      <c r="H66" s="538" t="s">
        <v>2565</v>
      </c>
      <c r="I66" s="538" t="s">
        <v>2566</v>
      </c>
      <c r="J66" s="538"/>
      <c r="K66" s="539"/>
      <c r="L66" s="540"/>
      <c r="M66" s="541"/>
      <c r="N66" s="1154"/>
      <c r="O66" s="1154"/>
      <c r="P66" s="2648"/>
      <c r="Q66" s="503"/>
    </row>
    <row r="67" spans="1:17" ht="15.75" thickBot="1">
      <c r="A67" s="533"/>
      <c r="B67" s="542"/>
      <c r="C67" s="543" t="s">
        <v>24</v>
      </c>
      <c r="D67" s="543" t="s">
        <v>25</v>
      </c>
      <c r="E67" s="543">
        <v>100</v>
      </c>
      <c r="F67" s="543">
        <f>E67-$K10</f>
        <v>98</v>
      </c>
      <c r="G67" s="543">
        <f>F67-$K10</f>
        <v>96</v>
      </c>
      <c r="H67" s="543">
        <f>G67-$K10</f>
        <v>94</v>
      </c>
      <c r="I67" s="543">
        <f>H67-$K10</f>
        <v>92</v>
      </c>
      <c r="J67" s="543"/>
      <c r="K67" s="543"/>
      <c r="L67" s="543"/>
      <c r="M67" s="544"/>
      <c r="N67" s="1155"/>
      <c r="O67" s="1155"/>
      <c r="P67" s="2648"/>
      <c r="Q67" s="503"/>
    </row>
    <row r="68" spans="1:17" ht="15.75" thickTop="1">
      <c r="A68" s="533"/>
      <c r="B68" s="545" t="s">
        <v>2529</v>
      </c>
      <c r="C68" s="546" t="str">
        <f>C69&amp;"（含）"&amp;"-"&amp;D69</f>
        <v>0（含）-1</v>
      </c>
      <c r="D68" s="546" t="str">
        <f t="shared" ref="D68:L68" si="17">D69&amp;"（含）"&amp;"-"&amp;E69</f>
        <v>1（含）-2</v>
      </c>
      <c r="E68" s="546" t="str">
        <f t="shared" si="17"/>
        <v>2（含）-3</v>
      </c>
      <c r="F68" s="546" t="str">
        <f t="shared" si="17"/>
        <v>3（含）-4</v>
      </c>
      <c r="G68" s="546" t="str">
        <f t="shared" si="17"/>
        <v>4（含）-5</v>
      </c>
      <c r="H68" s="546" t="str">
        <f t="shared" si="17"/>
        <v>5（含）-</v>
      </c>
      <c r="I68" s="546" t="str">
        <f t="shared" si="17"/>
        <v>（含）-</v>
      </c>
      <c r="J68" s="546" t="str">
        <f t="shared" si="17"/>
        <v>（含）-</v>
      </c>
      <c r="K68" s="546" t="str">
        <f t="shared" si="17"/>
        <v>（含）-</v>
      </c>
      <c r="L68" s="546" t="str">
        <f t="shared" si="17"/>
        <v>（含）-</v>
      </c>
      <c r="M68" s="447" t="str">
        <f>M69&amp;"（含）"&amp;"-"&amp;P69</f>
        <v>（含）-</v>
      </c>
      <c r="N68" s="1155"/>
      <c r="O68" s="1155"/>
      <c r="P68" s="2648"/>
      <c r="Q68" s="503"/>
    </row>
    <row r="69" spans="1:17" ht="15">
      <c r="A69" s="533"/>
      <c r="B69" s="547"/>
      <c r="C69" s="548">
        <v>0</v>
      </c>
      <c r="D69" s="548">
        <v>1</v>
      </c>
      <c r="E69" s="548">
        <v>2</v>
      </c>
      <c r="F69" s="548">
        <v>3</v>
      </c>
      <c r="G69" s="548">
        <v>4</v>
      </c>
      <c r="H69" s="548">
        <v>5</v>
      </c>
      <c r="I69" s="548"/>
      <c r="J69" s="548"/>
      <c r="K69" s="549"/>
      <c r="L69" s="550"/>
      <c r="M69" s="551"/>
      <c r="N69" s="1154"/>
      <c r="O69" s="1154"/>
      <c r="P69" s="2648"/>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48"/>
      <c r="Q70" s="503"/>
    </row>
    <row r="71" spans="1:17" s="470" customFormat="1" ht="15.75" hidden="1" thickTop="1">
      <c r="A71" s="552"/>
      <c r="B71" s="537">
        <f>B12</f>
        <v>111</v>
      </c>
      <c r="C71" s="553"/>
      <c r="D71" s="553"/>
      <c r="E71" s="553"/>
      <c r="F71" s="553"/>
      <c r="G71" s="553"/>
      <c r="H71" s="554"/>
      <c r="I71" s="554"/>
      <c r="J71" s="554"/>
      <c r="K71" s="554"/>
      <c r="L71" s="555"/>
      <c r="M71" s="556"/>
      <c r="N71" s="1156"/>
      <c r="O71" s="1156"/>
      <c r="P71" s="2649"/>
      <c r="Q71" s="558"/>
    </row>
    <row r="72" spans="1:17" s="470" customFormat="1" ht="15.75" hidden="1" thickBot="1">
      <c r="A72" s="552"/>
      <c r="B72" s="542"/>
      <c r="C72" s="559"/>
      <c r="D72" s="535"/>
      <c r="E72" s="535"/>
      <c r="F72" s="535"/>
      <c r="G72" s="535"/>
      <c r="H72" s="535"/>
      <c r="I72" s="535"/>
      <c r="J72" s="535"/>
      <c r="K72" s="535"/>
      <c r="L72" s="535"/>
      <c r="M72" s="536"/>
      <c r="N72" s="1155"/>
      <c r="O72" s="1155"/>
      <c r="P72" s="2649"/>
      <c r="Q72" s="558"/>
    </row>
    <row r="73" spans="1:17" s="470" customFormat="1" ht="15.75" hidden="1" thickTop="1">
      <c r="A73" s="552"/>
      <c r="B73" s="537">
        <f>B13</f>
        <v>111</v>
      </c>
      <c r="C73" s="553"/>
      <c r="D73" s="553"/>
      <c r="E73" s="553"/>
      <c r="F73" s="553"/>
      <c r="G73" s="553"/>
      <c r="H73" s="554"/>
      <c r="I73" s="554"/>
      <c r="J73" s="554"/>
      <c r="K73" s="554"/>
      <c r="L73" s="555"/>
      <c r="M73" s="556"/>
      <c r="N73" s="1156"/>
      <c r="O73" s="1156"/>
      <c r="P73" s="2650"/>
      <c r="Q73" s="560"/>
    </row>
    <row r="74" spans="1:17" s="470" customFormat="1" ht="15.75" hidden="1" thickBot="1">
      <c r="A74" s="552"/>
      <c r="B74" s="542"/>
      <c r="C74" s="559"/>
      <c r="D74" s="559"/>
      <c r="E74" s="559"/>
      <c r="F74" s="559"/>
      <c r="G74" s="559"/>
      <c r="H74" s="561"/>
      <c r="I74" s="561"/>
      <c r="J74" s="561"/>
      <c r="K74" s="561"/>
      <c r="L74" s="561"/>
      <c r="M74" s="562"/>
      <c r="N74" s="1156"/>
      <c r="O74" s="1156"/>
      <c r="P74" s="2649"/>
      <c r="Q74" s="558"/>
    </row>
    <row r="75" spans="1:17" s="470" customFormat="1" ht="15.75" hidden="1" thickTop="1">
      <c r="A75" s="552"/>
      <c r="B75" s="545">
        <f>B14</f>
        <v>111</v>
      </c>
      <c r="C75" s="522"/>
      <c r="D75" s="522"/>
      <c r="E75" s="522"/>
      <c r="F75" s="522"/>
      <c r="G75" s="522"/>
      <c r="H75" s="563"/>
      <c r="I75" s="563"/>
      <c r="J75" s="563"/>
      <c r="K75" s="563"/>
      <c r="L75" s="564"/>
      <c r="M75" s="565"/>
      <c r="N75" s="1156"/>
      <c r="O75" s="1156"/>
      <c r="P75" s="2651"/>
      <c r="Q75" s="558"/>
    </row>
    <row r="76" spans="1:17" s="470" customFormat="1" ht="15.75" hidden="1" thickBot="1">
      <c r="A76" s="567"/>
      <c r="B76" s="568"/>
      <c r="C76" s="569"/>
      <c r="D76" s="569"/>
      <c r="E76" s="569"/>
      <c r="F76" s="569"/>
      <c r="G76" s="569"/>
      <c r="H76" s="570"/>
      <c r="I76" s="570"/>
      <c r="J76" s="570"/>
      <c r="K76" s="570"/>
      <c r="L76" s="570"/>
      <c r="M76" s="571"/>
      <c r="N76" s="1156"/>
      <c r="O76" s="1156"/>
      <c r="P76" s="2649"/>
      <c r="Q76" s="558"/>
    </row>
    <row r="77" spans="1:17" ht="15" thickTop="1">
      <c r="A77" s="526" t="s">
        <v>2530</v>
      </c>
      <c r="B77" s="527" t="s">
        <v>2668</v>
      </c>
      <c r="C77" s="572" t="s">
        <v>2568</v>
      </c>
      <c r="D77" s="572" t="s">
        <v>2569</v>
      </c>
      <c r="E77" s="572" t="s">
        <v>2570</v>
      </c>
      <c r="F77" s="572" t="s">
        <v>2571</v>
      </c>
      <c r="G77" s="572" t="s">
        <v>2572</v>
      </c>
      <c r="H77" s="528"/>
      <c r="I77" s="528"/>
      <c r="J77" s="528"/>
      <c r="K77" s="573"/>
      <c r="L77" s="574"/>
      <c r="M77" s="575"/>
      <c r="N77" s="1154"/>
      <c r="O77" s="1154"/>
      <c r="P77" s="2652"/>
      <c r="Q77" s="503"/>
    </row>
    <row r="78" spans="1:17" ht="15.75" thickBot="1">
      <c r="A78" s="533"/>
      <c r="B78" s="542"/>
      <c r="C78" s="543">
        <v>100</v>
      </c>
      <c r="D78" s="543">
        <f>C78-$K15</f>
        <v>95</v>
      </c>
      <c r="E78" s="543">
        <f>D78-$K15</f>
        <v>90</v>
      </c>
      <c r="F78" s="543">
        <f>E78-$K15</f>
        <v>85</v>
      </c>
      <c r="G78" s="543">
        <f>F78-$K15</f>
        <v>80</v>
      </c>
      <c r="H78" s="543"/>
      <c r="I78" s="543"/>
      <c r="J78" s="543"/>
      <c r="K78" s="543"/>
      <c r="L78" s="543"/>
      <c r="M78" s="544"/>
      <c r="N78" s="1155"/>
      <c r="O78" s="1155"/>
      <c r="P78" s="2648"/>
      <c r="Q78" s="503"/>
    </row>
    <row r="79" spans="1:17" ht="15.75" thickTop="1">
      <c r="A79" s="533"/>
      <c r="B79" s="537" t="s">
        <v>2573</v>
      </c>
      <c r="C79" s="577" t="s">
        <v>2568</v>
      </c>
      <c r="D79" s="577" t="s">
        <v>2569</v>
      </c>
      <c r="E79" s="577" t="s">
        <v>2570</v>
      </c>
      <c r="F79" s="577" t="s">
        <v>2571</v>
      </c>
      <c r="G79" s="577" t="s">
        <v>2572</v>
      </c>
      <c r="H79" s="538"/>
      <c r="I79" s="538"/>
      <c r="J79" s="538"/>
      <c r="K79" s="539"/>
      <c r="L79" s="540"/>
      <c r="M79" s="541"/>
      <c r="N79" s="1154"/>
      <c r="O79" s="1154"/>
      <c r="P79" s="2648"/>
      <c r="Q79" s="503"/>
    </row>
    <row r="80" spans="1:17" ht="15.75" thickBot="1">
      <c r="A80" s="533"/>
      <c r="B80" s="542"/>
      <c r="C80" s="543">
        <v>100</v>
      </c>
      <c r="D80" s="543">
        <f>C80-$K17</f>
        <v>97</v>
      </c>
      <c r="E80" s="543">
        <f>D80-$K17</f>
        <v>94</v>
      </c>
      <c r="F80" s="543">
        <f>E80-$K17</f>
        <v>91</v>
      </c>
      <c r="G80" s="543">
        <f>F80-$K17</f>
        <v>88</v>
      </c>
      <c r="H80" s="543"/>
      <c r="I80" s="543"/>
      <c r="J80" s="543"/>
      <c r="K80" s="543"/>
      <c r="L80" s="543"/>
      <c r="M80" s="544"/>
      <c r="N80" s="1155"/>
      <c r="O80" s="1155"/>
      <c r="P80" s="2648"/>
      <c r="Q80" s="503"/>
    </row>
    <row r="81" spans="1:17" ht="15.75" thickTop="1">
      <c r="A81" s="533"/>
      <c r="B81" s="537" t="s">
        <v>2574</v>
      </c>
      <c r="C81" s="577" t="s">
        <v>2568</v>
      </c>
      <c r="D81" s="577" t="s">
        <v>2569</v>
      </c>
      <c r="E81" s="577" t="s">
        <v>2570</v>
      </c>
      <c r="F81" s="577" t="s">
        <v>2571</v>
      </c>
      <c r="G81" s="577" t="s">
        <v>2572</v>
      </c>
      <c r="H81" s="538"/>
      <c r="I81" s="538"/>
      <c r="J81" s="538"/>
      <c r="K81" s="539"/>
      <c r="L81" s="540"/>
      <c r="M81" s="541"/>
      <c r="N81" s="1154"/>
      <c r="O81" s="1154"/>
      <c r="P81" s="2648"/>
      <c r="Q81" s="503"/>
    </row>
    <row r="82" spans="1:17" ht="15.75" thickBot="1">
      <c r="A82" s="533"/>
      <c r="B82" s="542"/>
      <c r="C82" s="543">
        <v>100</v>
      </c>
      <c r="D82" s="543">
        <f>C82-$K19</f>
        <v>97</v>
      </c>
      <c r="E82" s="543">
        <f>D82-$K19</f>
        <v>94</v>
      </c>
      <c r="F82" s="543">
        <f>E82-$K19</f>
        <v>91</v>
      </c>
      <c r="G82" s="543">
        <f>F82-$K19</f>
        <v>88</v>
      </c>
      <c r="H82" s="543"/>
      <c r="I82" s="543"/>
      <c r="J82" s="543"/>
      <c r="K82" s="543"/>
      <c r="L82" s="543"/>
      <c r="M82" s="544"/>
      <c r="N82" s="1155"/>
      <c r="O82" s="1155"/>
      <c r="P82" s="2648"/>
      <c r="Q82" s="503"/>
    </row>
    <row r="83" spans="1:17" ht="15.75" thickTop="1">
      <c r="A83" s="533"/>
      <c r="B83" s="545" t="s">
        <v>2660</v>
      </c>
      <c r="C83" s="659" t="s">
        <v>2646</v>
      </c>
      <c r="D83" s="659" t="s">
        <v>2647</v>
      </c>
      <c r="E83" s="659" t="s">
        <v>2648</v>
      </c>
      <c r="F83" s="659" t="s">
        <v>2649</v>
      </c>
      <c r="G83" s="659" t="s">
        <v>2650</v>
      </c>
      <c r="H83" s="538"/>
      <c r="I83" s="538"/>
      <c r="J83" s="538"/>
      <c r="K83" s="538"/>
      <c r="L83" s="538"/>
      <c r="M83" s="1384"/>
      <c r="N83" s="1155"/>
      <c r="O83" s="1155"/>
      <c r="P83" s="2648"/>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55"/>
      <c r="O84" s="1155"/>
      <c r="P84" s="2648"/>
      <c r="Q84" s="503"/>
    </row>
    <row r="85" spans="1:17" ht="15.75" thickTop="1">
      <c r="A85" s="533"/>
      <c r="B85" s="537" t="s">
        <v>2669</v>
      </c>
      <c r="C85" s="577" t="s">
        <v>2568</v>
      </c>
      <c r="D85" s="577" t="s">
        <v>2569</v>
      </c>
      <c r="E85" s="577" t="s">
        <v>2570</v>
      </c>
      <c r="F85" s="577" t="s">
        <v>2571</v>
      </c>
      <c r="G85" s="577" t="s">
        <v>2572</v>
      </c>
      <c r="H85" s="538"/>
      <c r="I85" s="538"/>
      <c r="J85" s="538"/>
      <c r="K85" s="539"/>
      <c r="L85" s="540"/>
      <c r="M85" s="541"/>
      <c r="N85" s="1154"/>
      <c r="O85" s="1154"/>
      <c r="P85" s="2648"/>
      <c r="Q85" s="503"/>
    </row>
    <row r="86" spans="1:17" ht="15.75" thickBot="1">
      <c r="A86" s="533"/>
      <c r="B86" s="542"/>
      <c r="C86" s="543">
        <v>100</v>
      </c>
      <c r="D86" s="543">
        <f>C86-$K23</f>
        <v>97</v>
      </c>
      <c r="E86" s="543">
        <f>D86-$K23</f>
        <v>94</v>
      </c>
      <c r="F86" s="543">
        <f>E86-$K23</f>
        <v>91</v>
      </c>
      <c r="G86" s="543">
        <f>F86-$K23</f>
        <v>88</v>
      </c>
      <c r="H86" s="543"/>
      <c r="I86" s="543"/>
      <c r="J86" s="543"/>
      <c r="K86" s="543"/>
      <c r="L86" s="543"/>
      <c r="M86" s="544"/>
      <c r="N86" s="1155"/>
      <c r="O86" s="1155"/>
      <c r="P86" s="2648"/>
      <c r="Q86" s="503"/>
    </row>
    <row r="87" spans="1:17" s="117" customFormat="1" ht="27.75" thickTop="1">
      <c r="A87" s="578"/>
      <c r="B87" s="537" t="s">
        <v>2670</v>
      </c>
      <c r="C87" s="3097" t="s">
        <v>3331</v>
      </c>
      <c r="D87" s="3097" t="s">
        <v>3333</v>
      </c>
      <c r="E87" s="3097" t="s">
        <v>3335</v>
      </c>
      <c r="F87" s="3097" t="s">
        <v>3336</v>
      </c>
      <c r="G87" s="553"/>
      <c r="H87" s="553"/>
      <c r="I87" s="553"/>
      <c r="J87" s="553"/>
      <c r="K87" s="553"/>
      <c r="L87" s="579"/>
      <c r="M87" s="580"/>
      <c r="N87" s="1153"/>
      <c r="O87" s="1153"/>
      <c r="P87" s="2648"/>
      <c r="Q87" s="503"/>
    </row>
    <row r="88" spans="1:17" s="117" customFormat="1" ht="15.75" thickBot="1">
      <c r="A88" s="578"/>
      <c r="B88" s="542"/>
      <c r="C88" s="581">
        <v>100</v>
      </c>
      <c r="D88" s="543">
        <f t="shared" ref="D88:M88" si="19">C88-$K25</f>
        <v>95</v>
      </c>
      <c r="E88" s="543">
        <f t="shared" si="19"/>
        <v>90</v>
      </c>
      <c r="F88" s="543">
        <f t="shared" si="19"/>
        <v>85</v>
      </c>
      <c r="G88" s="543">
        <f t="shared" si="19"/>
        <v>80</v>
      </c>
      <c r="H88" s="543">
        <f t="shared" si="19"/>
        <v>75</v>
      </c>
      <c r="I88" s="543">
        <f t="shared" si="19"/>
        <v>70</v>
      </c>
      <c r="J88" s="543">
        <f t="shared" si="19"/>
        <v>65</v>
      </c>
      <c r="K88" s="543">
        <f t="shared" si="19"/>
        <v>60</v>
      </c>
      <c r="L88" s="543">
        <f t="shared" si="19"/>
        <v>55</v>
      </c>
      <c r="M88" s="543">
        <f t="shared" si="19"/>
        <v>50</v>
      </c>
      <c r="N88" s="1155"/>
      <c r="O88" s="1155"/>
      <c r="P88" s="2648"/>
      <c r="Q88" s="503"/>
    </row>
    <row r="89" spans="1:17" s="117" customFormat="1" ht="15.75" thickTop="1">
      <c r="A89" s="578"/>
      <c r="B89" s="537" t="str">
        <f>B27</f>
        <v>楼层</v>
      </c>
      <c r="C89" s="3097" t="s">
        <v>3337</v>
      </c>
      <c r="D89" s="3097" t="s">
        <v>3339</v>
      </c>
      <c r="E89" s="3097" t="s">
        <v>3340</v>
      </c>
      <c r="F89" s="2599"/>
      <c r="G89" s="553"/>
      <c r="H89" s="553"/>
      <c r="I89" s="553"/>
      <c r="J89" s="553"/>
      <c r="K89" s="553"/>
      <c r="L89" s="553"/>
      <c r="M89" s="580"/>
      <c r="N89" s="1153"/>
      <c r="O89" s="1153"/>
      <c r="P89" s="2648"/>
      <c r="Q89" s="503"/>
    </row>
    <row r="90" spans="1:17" s="117" customFormat="1" ht="15.75" thickBot="1">
      <c r="A90" s="578"/>
      <c r="B90" s="542"/>
      <c r="C90" s="581">
        <v>100</v>
      </c>
      <c r="D90" s="543">
        <f>C90-$K27</f>
        <v>98</v>
      </c>
      <c r="E90" s="543">
        <f t="shared" ref="E90:M90" si="20">D90-$K27</f>
        <v>96</v>
      </c>
      <c r="F90" s="543">
        <f t="shared" si="20"/>
        <v>94</v>
      </c>
      <c r="G90" s="543">
        <f t="shared" si="20"/>
        <v>92</v>
      </c>
      <c r="H90" s="543">
        <f t="shared" si="20"/>
        <v>90</v>
      </c>
      <c r="I90" s="543">
        <f t="shared" si="20"/>
        <v>88</v>
      </c>
      <c r="J90" s="543">
        <f t="shared" si="20"/>
        <v>86</v>
      </c>
      <c r="K90" s="543">
        <f t="shared" si="20"/>
        <v>84</v>
      </c>
      <c r="L90" s="543">
        <f t="shared" si="20"/>
        <v>82</v>
      </c>
      <c r="M90" s="543">
        <f t="shared" si="20"/>
        <v>80</v>
      </c>
      <c r="N90" s="1155"/>
      <c r="O90" s="1155"/>
      <c r="P90" s="2648"/>
      <c r="Q90" s="503"/>
    </row>
    <row r="91" spans="1:17" s="470" customFormat="1" ht="15.75" hidden="1" thickTop="1">
      <c r="A91" s="552"/>
      <c r="B91" s="537" t="str">
        <f>B28</f>
        <v>朝向</v>
      </c>
      <c r="C91" s="553"/>
      <c r="D91" s="553"/>
      <c r="E91" s="553"/>
      <c r="F91" s="553"/>
      <c r="G91" s="553"/>
      <c r="H91" s="554"/>
      <c r="I91" s="554"/>
      <c r="J91" s="554"/>
      <c r="K91" s="554"/>
      <c r="L91" s="555"/>
      <c r="M91" s="556"/>
      <c r="N91" s="1156"/>
      <c r="O91" s="1156"/>
      <c r="P91" s="2649"/>
      <c r="Q91" s="558"/>
    </row>
    <row r="92" spans="1:17" s="470" customFormat="1" ht="15.75" hidden="1"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49"/>
      <c r="Q92" s="558"/>
    </row>
    <row r="93" spans="1:17" ht="15.75" hidden="1" thickTop="1">
      <c r="A93" s="533"/>
      <c r="B93" s="537">
        <f>B29</f>
        <v>111</v>
      </c>
      <c r="C93" s="553"/>
      <c r="D93" s="553"/>
      <c r="E93" s="553"/>
      <c r="F93" s="553"/>
      <c r="G93" s="553"/>
      <c r="H93" s="553"/>
      <c r="I93" s="553"/>
      <c r="J93" s="553"/>
      <c r="K93" s="553"/>
      <c r="L93" s="579"/>
      <c r="M93" s="580"/>
      <c r="N93" s="1154"/>
      <c r="O93" s="1154"/>
      <c r="P93" s="2648"/>
      <c r="Q93" s="503"/>
    </row>
    <row r="94" spans="1:17" ht="15.75" hidden="1" thickBot="1">
      <c r="A94" s="533"/>
      <c r="B94" s="542"/>
      <c r="C94" s="559"/>
      <c r="D94" s="535"/>
      <c r="E94" s="535"/>
      <c r="F94" s="535"/>
      <c r="G94" s="535"/>
      <c r="H94" s="535"/>
      <c r="I94" s="535"/>
      <c r="J94" s="535"/>
      <c r="K94" s="535"/>
      <c r="L94" s="535"/>
      <c r="M94" s="536"/>
      <c r="N94" s="1155"/>
      <c r="O94" s="1155"/>
      <c r="P94" s="2648"/>
      <c r="Q94" s="503"/>
    </row>
    <row r="95" spans="1:17" ht="15.75" hidden="1" thickTop="1">
      <c r="A95" s="533"/>
      <c r="B95" s="537">
        <f>B30</f>
        <v>111</v>
      </c>
      <c r="C95" s="553"/>
      <c r="D95" s="553"/>
      <c r="E95" s="553"/>
      <c r="F95" s="553"/>
      <c r="G95" s="582"/>
      <c r="H95" s="582"/>
      <c r="I95" s="582"/>
      <c r="J95" s="582"/>
      <c r="K95" s="583"/>
      <c r="L95" s="584"/>
      <c r="M95" s="585"/>
      <c r="N95" s="1154"/>
      <c r="O95" s="1154"/>
      <c r="P95" s="2648"/>
      <c r="Q95" s="503"/>
    </row>
    <row r="96" spans="1:17" ht="15.75" hidden="1" thickBot="1">
      <c r="A96" s="533"/>
      <c r="B96" s="542"/>
      <c r="C96" s="559"/>
      <c r="D96" s="559"/>
      <c r="E96" s="559"/>
      <c r="F96" s="559"/>
      <c r="G96" s="535"/>
      <c r="H96" s="535"/>
      <c r="I96" s="535"/>
      <c r="J96" s="535"/>
      <c r="K96" s="535"/>
      <c r="L96" s="535"/>
      <c r="M96" s="536"/>
      <c r="N96" s="1155"/>
      <c r="O96" s="1155"/>
      <c r="P96" s="2648"/>
      <c r="Q96" s="503"/>
    </row>
    <row r="97" spans="1:17" ht="15.75" hidden="1" thickTop="1">
      <c r="A97" s="533"/>
      <c r="B97" s="537">
        <f>B31</f>
        <v>111</v>
      </c>
      <c r="C97" s="553"/>
      <c r="D97" s="553"/>
      <c r="E97" s="553"/>
      <c r="F97" s="553"/>
      <c r="G97" s="582"/>
      <c r="H97" s="582"/>
      <c r="I97" s="582"/>
      <c r="J97" s="582"/>
      <c r="K97" s="583"/>
      <c r="L97" s="584"/>
      <c r="M97" s="585"/>
      <c r="N97" s="1154"/>
      <c r="O97" s="1154"/>
      <c r="P97" s="2648"/>
      <c r="Q97" s="503"/>
    </row>
    <row r="98" spans="1:17" ht="15.75" hidden="1" thickBot="1">
      <c r="A98" s="533"/>
      <c r="B98" s="542"/>
      <c r="C98" s="559"/>
      <c r="D98" s="535"/>
      <c r="E98" s="535"/>
      <c r="F98" s="535"/>
      <c r="G98" s="535"/>
      <c r="H98" s="535"/>
      <c r="I98" s="535"/>
      <c r="J98" s="535"/>
      <c r="K98" s="535"/>
      <c r="L98" s="535"/>
      <c r="M98" s="536"/>
      <c r="N98" s="1155"/>
      <c r="O98" s="1155"/>
      <c r="P98" s="2648"/>
      <c r="Q98" s="503"/>
    </row>
    <row r="99" spans="1:17" ht="15.75" hidden="1" thickTop="1">
      <c r="A99" s="533"/>
      <c r="B99" s="545">
        <f>B32</f>
        <v>111</v>
      </c>
      <c r="C99" s="522"/>
      <c r="D99" s="522"/>
      <c r="E99" s="522"/>
      <c r="F99" s="522"/>
      <c r="G99" s="586"/>
      <c r="H99" s="586"/>
      <c r="I99" s="586"/>
      <c r="J99" s="586"/>
      <c r="K99" s="587"/>
      <c r="L99" s="588"/>
      <c r="M99" s="589"/>
      <c r="N99" s="1154"/>
      <c r="O99" s="1154"/>
      <c r="P99" s="2648"/>
      <c r="Q99" s="503"/>
    </row>
    <row r="100" spans="1:17" ht="15.75" hidden="1" thickBot="1">
      <c r="A100" s="2600"/>
      <c r="B100" s="568"/>
      <c r="C100" s="569"/>
      <c r="D100" s="569"/>
      <c r="E100" s="569"/>
      <c r="F100" s="569"/>
      <c r="G100" s="590"/>
      <c r="H100" s="590"/>
      <c r="I100" s="590"/>
      <c r="J100" s="590"/>
      <c r="K100" s="590"/>
      <c r="L100" s="590"/>
      <c r="M100" s="591"/>
      <c r="N100" s="1155"/>
      <c r="O100" s="1155"/>
      <c r="P100" s="2648"/>
      <c r="Q100" s="503"/>
    </row>
    <row r="101" spans="1:17" ht="15" thickTop="1">
      <c r="A101" s="526" t="s">
        <v>2534</v>
      </c>
      <c r="B101" s="527" t="s">
        <v>2583</v>
      </c>
      <c r="C101" s="3098" t="s">
        <v>3342</v>
      </c>
      <c r="D101" s="529"/>
      <c r="E101" s="529"/>
      <c r="F101" s="529"/>
      <c r="G101" s="529"/>
      <c r="H101" s="529"/>
      <c r="I101" s="529"/>
      <c r="J101" s="529"/>
      <c r="K101" s="530"/>
      <c r="L101" s="531"/>
      <c r="M101" s="532"/>
      <c r="N101" s="1154"/>
      <c r="O101" s="1154"/>
      <c r="P101" s="2648"/>
      <c r="Q101" s="503"/>
    </row>
    <row r="102" spans="1:17" ht="15.75" thickBot="1">
      <c r="A102" s="533"/>
      <c r="B102" s="542"/>
      <c r="C102" s="543">
        <v>100</v>
      </c>
      <c r="D102" s="543">
        <f t="shared" ref="D102:M102" si="22">C102-$K33</f>
        <v>98</v>
      </c>
      <c r="E102" s="543">
        <f t="shared" si="22"/>
        <v>96</v>
      </c>
      <c r="F102" s="543">
        <f t="shared" si="22"/>
        <v>94</v>
      </c>
      <c r="G102" s="543">
        <f t="shared" si="22"/>
        <v>92</v>
      </c>
      <c r="H102" s="543">
        <f t="shared" si="22"/>
        <v>90</v>
      </c>
      <c r="I102" s="543">
        <f t="shared" si="22"/>
        <v>88</v>
      </c>
      <c r="J102" s="543">
        <f t="shared" si="22"/>
        <v>86</v>
      </c>
      <c r="K102" s="543">
        <f t="shared" si="22"/>
        <v>84</v>
      </c>
      <c r="L102" s="543">
        <f t="shared" si="22"/>
        <v>82</v>
      </c>
      <c r="M102" s="544">
        <f t="shared" si="22"/>
        <v>80</v>
      </c>
      <c r="N102" s="1155"/>
      <c r="O102" s="1155"/>
      <c r="P102" s="2648"/>
      <c r="Q102" s="503"/>
    </row>
    <row r="103" spans="1:17" ht="29.25" thickTop="1">
      <c r="A103" s="533"/>
      <c r="B103" s="537" t="s">
        <v>2584</v>
      </c>
      <c r="C103" s="577" t="str">
        <f>C104&amp;"(含)"&amp;"-"&amp;D104</f>
        <v>0(含)-200</v>
      </c>
      <c r="D103" s="577" t="str">
        <f t="shared" ref="D103:L103" si="23">D104&amp;"(含)"&amp;"-"&amp;E104</f>
        <v>200(含)-500</v>
      </c>
      <c r="E103" s="577" t="str">
        <f t="shared" si="23"/>
        <v>500(含)-1000</v>
      </c>
      <c r="F103" s="577" t="str">
        <f t="shared" si="23"/>
        <v>1000(含)-2000</v>
      </c>
      <c r="G103" s="577" t="str">
        <f t="shared" si="23"/>
        <v>2000(含)-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48"/>
      <c r="Q103" s="503"/>
    </row>
    <row r="104" spans="1:17" s="470" customFormat="1">
      <c r="A104" s="592"/>
      <c r="B104" s="593"/>
      <c r="C104" s="594">
        <v>0</v>
      </c>
      <c r="D104" s="594">
        <v>200</v>
      </c>
      <c r="E104" s="594">
        <v>500</v>
      </c>
      <c r="F104" s="594">
        <v>1000</v>
      </c>
      <c r="G104" s="594">
        <v>2000</v>
      </c>
      <c r="H104" s="594"/>
      <c r="I104" s="594"/>
      <c r="J104" s="595"/>
      <c r="K104" s="595"/>
      <c r="L104" s="596"/>
      <c r="M104" s="597"/>
      <c r="N104" s="1156"/>
      <c r="O104" s="1156"/>
      <c r="P104" s="2649"/>
      <c r="Q104" s="558"/>
    </row>
    <row r="105" spans="1:17" s="470" customFormat="1" ht="15.75" thickBot="1">
      <c r="A105" s="552"/>
      <c r="B105" s="542"/>
      <c r="C105" s="559">
        <v>96</v>
      </c>
      <c r="D105" s="535">
        <v>98</v>
      </c>
      <c r="E105" s="535">
        <v>100</v>
      </c>
      <c r="F105" s="535">
        <v>98</v>
      </c>
      <c r="G105" s="535">
        <v>96</v>
      </c>
      <c r="H105" s="535"/>
      <c r="I105" s="535"/>
      <c r="J105" s="535"/>
      <c r="K105" s="535"/>
      <c r="L105" s="535"/>
      <c r="M105" s="536"/>
      <c r="N105" s="1155"/>
      <c r="O105" s="1155"/>
      <c r="P105" s="2649"/>
      <c r="Q105" s="558"/>
    </row>
    <row r="106" spans="1:17" ht="15" thickTop="1">
      <c r="A106" s="598"/>
      <c r="B106" s="537" t="s">
        <v>2585</v>
      </c>
      <c r="C106" s="3097" t="s">
        <v>3343</v>
      </c>
      <c r="D106" s="3097" t="s">
        <v>3344</v>
      </c>
      <c r="E106" s="582"/>
      <c r="F106" s="582"/>
      <c r="G106" s="582"/>
      <c r="H106" s="582"/>
      <c r="I106" s="582"/>
      <c r="J106" s="582"/>
      <c r="K106" s="583"/>
      <c r="L106" s="584"/>
      <c r="M106" s="585"/>
      <c r="N106" s="1154"/>
      <c r="O106" s="1154"/>
      <c r="P106" s="2648"/>
      <c r="Q106" s="503"/>
    </row>
    <row r="107" spans="1:17" ht="15.75" thickBot="1">
      <c r="A107" s="533"/>
      <c r="B107" s="542"/>
      <c r="C107" s="543">
        <v>100</v>
      </c>
      <c r="D107" s="543">
        <f t="shared" ref="D107:M107" si="24">C107-$K35</f>
        <v>98</v>
      </c>
      <c r="E107" s="543">
        <f t="shared" si="24"/>
        <v>96</v>
      </c>
      <c r="F107" s="543">
        <f t="shared" si="24"/>
        <v>94</v>
      </c>
      <c r="G107" s="543">
        <f t="shared" si="24"/>
        <v>92</v>
      </c>
      <c r="H107" s="543">
        <f t="shared" si="24"/>
        <v>90</v>
      </c>
      <c r="I107" s="543">
        <f t="shared" si="24"/>
        <v>88</v>
      </c>
      <c r="J107" s="543">
        <f t="shared" si="24"/>
        <v>86</v>
      </c>
      <c r="K107" s="543">
        <f t="shared" si="24"/>
        <v>84</v>
      </c>
      <c r="L107" s="543">
        <f t="shared" si="24"/>
        <v>82</v>
      </c>
      <c r="M107" s="544">
        <f t="shared" si="24"/>
        <v>80</v>
      </c>
      <c r="N107" s="1155"/>
      <c r="O107" s="1155"/>
      <c r="P107" s="2648"/>
      <c r="Q107" s="503"/>
    </row>
    <row r="108" spans="1:17" ht="15" thickTop="1">
      <c r="A108" s="598"/>
      <c r="B108" s="537" t="s">
        <v>2587</v>
      </c>
      <c r="C108" s="3097" t="s">
        <v>3346</v>
      </c>
      <c r="D108" s="3097" t="s">
        <v>3347</v>
      </c>
      <c r="E108" s="3097" t="s">
        <v>3348</v>
      </c>
      <c r="F108" s="3099" t="s">
        <v>3349</v>
      </c>
      <c r="G108" s="582"/>
      <c r="H108" s="582"/>
      <c r="I108" s="582"/>
      <c r="J108" s="582"/>
      <c r="K108" s="583"/>
      <c r="L108" s="584"/>
      <c r="M108" s="585"/>
      <c r="N108" s="1154"/>
      <c r="O108" s="1154"/>
      <c r="P108" s="2648"/>
      <c r="Q108" s="503"/>
    </row>
    <row r="109" spans="1:17" ht="15.75" thickBot="1">
      <c r="A109" s="533"/>
      <c r="B109" s="542"/>
      <c r="C109" s="543">
        <v>100</v>
      </c>
      <c r="D109" s="543">
        <f t="shared" ref="D109:M109" si="25">C109-$K36</f>
        <v>95</v>
      </c>
      <c r="E109" s="543">
        <f t="shared" si="25"/>
        <v>90</v>
      </c>
      <c r="F109" s="543">
        <f t="shared" si="25"/>
        <v>85</v>
      </c>
      <c r="G109" s="543">
        <f t="shared" si="25"/>
        <v>80</v>
      </c>
      <c r="H109" s="543">
        <f t="shared" si="25"/>
        <v>75</v>
      </c>
      <c r="I109" s="543">
        <f t="shared" si="25"/>
        <v>70</v>
      </c>
      <c r="J109" s="543">
        <f t="shared" si="25"/>
        <v>65</v>
      </c>
      <c r="K109" s="543">
        <f t="shared" si="25"/>
        <v>60</v>
      </c>
      <c r="L109" s="543">
        <f t="shared" si="25"/>
        <v>55</v>
      </c>
      <c r="M109" s="544">
        <f t="shared" si="25"/>
        <v>50</v>
      </c>
      <c r="N109" s="1155"/>
      <c r="O109" s="1155"/>
      <c r="P109" s="2648"/>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48"/>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48"/>
      <c r="Q111" s="503"/>
    </row>
    <row r="112" spans="1:17" ht="15.75" thickBot="1">
      <c r="A112" s="533"/>
      <c r="B112" s="542"/>
      <c r="C112" s="581">
        <v>100</v>
      </c>
      <c r="D112" s="543">
        <f>C112+$K37</f>
        <v>105</v>
      </c>
      <c r="E112" s="543">
        <f t="shared" ref="E112:M112" si="26">D112+$K37</f>
        <v>110</v>
      </c>
      <c r="F112" s="543">
        <f t="shared" si="26"/>
        <v>115</v>
      </c>
      <c r="G112" s="543">
        <f t="shared" si="26"/>
        <v>120</v>
      </c>
      <c r="H112" s="543">
        <f t="shared" si="26"/>
        <v>125</v>
      </c>
      <c r="I112" s="543">
        <f t="shared" si="26"/>
        <v>130</v>
      </c>
      <c r="J112" s="543">
        <f t="shared" si="26"/>
        <v>135</v>
      </c>
      <c r="K112" s="543">
        <f t="shared" si="26"/>
        <v>140</v>
      </c>
      <c r="L112" s="543">
        <f t="shared" si="26"/>
        <v>145</v>
      </c>
      <c r="M112" s="543">
        <f t="shared" si="26"/>
        <v>150</v>
      </c>
      <c r="N112" s="1155"/>
      <c r="O112" s="1155"/>
      <c r="P112" s="2648"/>
      <c r="Q112" s="503"/>
    </row>
    <row r="113" spans="1:17" s="470" customFormat="1" ht="15" thickTop="1">
      <c r="A113" s="592"/>
      <c r="B113" s="537" t="s">
        <v>2671</v>
      </c>
      <c r="C113" s="3097" t="s">
        <v>3351</v>
      </c>
      <c r="D113" s="3097" t="s">
        <v>3352</v>
      </c>
      <c r="E113" s="3097" t="s">
        <v>3353</v>
      </c>
      <c r="F113" s="553"/>
      <c r="G113" s="553"/>
      <c r="H113" s="582"/>
      <c r="I113" s="582"/>
      <c r="J113" s="582"/>
      <c r="K113" s="583"/>
      <c r="L113" s="584"/>
      <c r="M113" s="585"/>
      <c r="N113" s="1156"/>
      <c r="O113" s="1156"/>
      <c r="P113" s="2649"/>
      <c r="Q113" s="558"/>
    </row>
    <row r="114" spans="1:17" s="470" customFormat="1" ht="15.75" thickBot="1">
      <c r="A114" s="552"/>
      <c r="B114" s="542"/>
      <c r="C114" s="543">
        <v>100</v>
      </c>
      <c r="D114" s="543">
        <f>C114-$K38</f>
        <v>98</v>
      </c>
      <c r="E114" s="543">
        <f t="shared" ref="E114:M114" si="27">D114-$K38</f>
        <v>96</v>
      </c>
      <c r="F114" s="543">
        <f t="shared" si="27"/>
        <v>94</v>
      </c>
      <c r="G114" s="543">
        <f t="shared" si="27"/>
        <v>92</v>
      </c>
      <c r="H114" s="543">
        <f t="shared" si="27"/>
        <v>90</v>
      </c>
      <c r="I114" s="543">
        <f t="shared" si="27"/>
        <v>88</v>
      </c>
      <c r="J114" s="543">
        <f t="shared" si="27"/>
        <v>86</v>
      </c>
      <c r="K114" s="543">
        <f t="shared" si="27"/>
        <v>84</v>
      </c>
      <c r="L114" s="543">
        <f t="shared" si="27"/>
        <v>82</v>
      </c>
      <c r="M114" s="543">
        <f t="shared" si="27"/>
        <v>80</v>
      </c>
      <c r="N114" s="1156"/>
      <c r="O114" s="1156"/>
      <c r="P114" s="2649"/>
      <c r="Q114" s="558"/>
    </row>
    <row r="115" spans="1:17" ht="15" thickTop="1">
      <c r="A115" s="598"/>
      <c r="B115" s="537" t="s">
        <v>2588</v>
      </c>
      <c r="C115" s="3097" t="s">
        <v>3355</v>
      </c>
      <c r="D115" s="3097" t="s">
        <v>3356</v>
      </c>
      <c r="E115" s="3099" t="s">
        <v>3357</v>
      </c>
      <c r="F115" s="582"/>
      <c r="G115" s="582"/>
      <c r="H115" s="582"/>
      <c r="I115" s="582"/>
      <c r="J115" s="582"/>
      <c r="K115" s="583"/>
      <c r="L115" s="584"/>
      <c r="M115" s="585"/>
      <c r="N115" s="1154"/>
      <c r="O115" s="1154"/>
      <c r="P115" s="2648"/>
      <c r="Q115" s="503"/>
    </row>
    <row r="116" spans="1:17" ht="15.75" thickBot="1">
      <c r="A116" s="533"/>
      <c r="B116" s="542"/>
      <c r="C116" s="543">
        <v>100</v>
      </c>
      <c r="D116" s="543">
        <f t="shared" ref="D116:M116" si="28">C116-$K39</f>
        <v>98</v>
      </c>
      <c r="E116" s="543">
        <f t="shared" si="28"/>
        <v>96</v>
      </c>
      <c r="F116" s="543">
        <f t="shared" si="28"/>
        <v>94</v>
      </c>
      <c r="G116" s="543">
        <f t="shared" si="28"/>
        <v>92</v>
      </c>
      <c r="H116" s="543">
        <f t="shared" si="28"/>
        <v>90</v>
      </c>
      <c r="I116" s="543">
        <f t="shared" si="28"/>
        <v>88</v>
      </c>
      <c r="J116" s="543">
        <f t="shared" si="28"/>
        <v>86</v>
      </c>
      <c r="K116" s="543">
        <f t="shared" si="28"/>
        <v>84</v>
      </c>
      <c r="L116" s="543">
        <f t="shared" si="28"/>
        <v>82</v>
      </c>
      <c r="M116" s="544">
        <f t="shared" si="28"/>
        <v>80</v>
      </c>
      <c r="N116" s="1155"/>
      <c r="O116" s="1155"/>
      <c r="P116" s="2648"/>
      <c r="Q116" s="503"/>
    </row>
    <row r="117" spans="1:17" ht="15" thickTop="1">
      <c r="A117" s="598"/>
      <c r="B117" s="537" t="s">
        <v>2589</v>
      </c>
      <c r="C117" s="553"/>
      <c r="D117" s="553"/>
      <c r="E117" s="553"/>
      <c r="F117" s="553"/>
      <c r="G117" s="553"/>
      <c r="H117" s="582"/>
      <c r="I117" s="582"/>
      <c r="J117" s="582"/>
      <c r="K117" s="583"/>
      <c r="L117" s="584"/>
      <c r="M117" s="585"/>
      <c r="N117" s="1154"/>
      <c r="O117" s="1154"/>
      <c r="P117" s="2648"/>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48"/>
      <c r="Q118" s="503"/>
    </row>
    <row r="119" spans="1:17" ht="15" thickTop="1">
      <c r="A119" s="598"/>
      <c r="B119" s="635" t="s">
        <v>2672</v>
      </c>
      <c r="C119" s="3099" t="s">
        <v>3358</v>
      </c>
      <c r="D119" s="3099" t="s">
        <v>3360</v>
      </c>
      <c r="E119" s="582"/>
      <c r="F119" s="582"/>
      <c r="G119" s="582"/>
      <c r="H119" s="582"/>
      <c r="I119" s="582"/>
      <c r="J119" s="582"/>
      <c r="K119" s="582"/>
      <c r="L119" s="2653"/>
      <c r="M119" s="2654"/>
      <c r="N119" s="1155"/>
      <c r="O119" s="1155"/>
      <c r="P119" s="2655"/>
      <c r="Q119" s="637"/>
    </row>
    <row r="120" spans="1:17" ht="15.75" thickBot="1">
      <c r="A120" s="533"/>
      <c r="B120" s="542"/>
      <c r="C120" s="581">
        <v>100</v>
      </c>
      <c r="D120" s="543">
        <f>C120-$K41</f>
        <v>98</v>
      </c>
      <c r="E120" s="543">
        <f t="shared" ref="E120:M120" si="29">D120-$K41</f>
        <v>96</v>
      </c>
      <c r="F120" s="543">
        <f t="shared" si="29"/>
        <v>94</v>
      </c>
      <c r="G120" s="543">
        <f t="shared" si="29"/>
        <v>92</v>
      </c>
      <c r="H120" s="543">
        <f t="shared" si="29"/>
        <v>90</v>
      </c>
      <c r="I120" s="543">
        <f t="shared" si="29"/>
        <v>88</v>
      </c>
      <c r="J120" s="543">
        <f t="shared" si="29"/>
        <v>86</v>
      </c>
      <c r="K120" s="543">
        <f t="shared" si="29"/>
        <v>84</v>
      </c>
      <c r="L120" s="543">
        <f t="shared" si="29"/>
        <v>82</v>
      </c>
      <c r="M120" s="543">
        <f t="shared" si="29"/>
        <v>80</v>
      </c>
      <c r="N120" s="1155"/>
      <c r="O120" s="1155"/>
      <c r="P120" s="2648"/>
      <c r="Q120" s="503"/>
    </row>
    <row r="121" spans="1:17" s="470" customFormat="1" ht="15" thickTop="1">
      <c r="A121" s="592"/>
      <c r="B121" s="537" t="s">
        <v>2655</v>
      </c>
      <c r="C121" s="553"/>
      <c r="D121" s="553"/>
      <c r="E121" s="553"/>
      <c r="F121" s="582"/>
      <c r="G121" s="554"/>
      <c r="H121" s="554"/>
      <c r="I121" s="554"/>
      <c r="J121" s="554"/>
      <c r="K121" s="554"/>
      <c r="L121" s="555"/>
      <c r="M121" s="556"/>
      <c r="N121" s="1156"/>
      <c r="O121" s="1156"/>
      <c r="P121" s="2649"/>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49"/>
      <c r="Q122" s="558"/>
    </row>
    <row r="123" spans="1:17" ht="15" thickTop="1">
      <c r="A123" s="598"/>
      <c r="B123" s="537" t="s">
        <v>2591</v>
      </c>
      <c r="C123" s="3097" t="s">
        <v>3346</v>
      </c>
      <c r="D123" s="3097" t="s">
        <v>3347</v>
      </c>
      <c r="E123" s="3097" t="s">
        <v>3348</v>
      </c>
      <c r="F123" s="3099" t="s">
        <v>3349</v>
      </c>
      <c r="G123" s="582"/>
      <c r="H123" s="582"/>
      <c r="I123" s="582"/>
      <c r="J123" s="582"/>
      <c r="K123" s="583"/>
      <c r="L123" s="584"/>
      <c r="M123" s="585"/>
      <c r="N123" s="1154"/>
      <c r="O123" s="1154"/>
      <c r="P123" s="2648"/>
      <c r="Q123" s="503"/>
    </row>
    <row r="124" spans="1:17" ht="15.75" thickBot="1">
      <c r="A124" s="533"/>
      <c r="B124" s="542"/>
      <c r="C124" s="543">
        <v>100</v>
      </c>
      <c r="D124" s="543">
        <f t="shared" ref="D124:M124" si="30">C124-$K43</f>
        <v>98</v>
      </c>
      <c r="E124" s="543">
        <f t="shared" si="30"/>
        <v>96</v>
      </c>
      <c r="F124" s="543">
        <f t="shared" si="30"/>
        <v>94</v>
      </c>
      <c r="G124" s="543">
        <f t="shared" si="30"/>
        <v>92</v>
      </c>
      <c r="H124" s="543">
        <f t="shared" si="30"/>
        <v>90</v>
      </c>
      <c r="I124" s="543">
        <f t="shared" si="30"/>
        <v>88</v>
      </c>
      <c r="J124" s="543">
        <f t="shared" si="30"/>
        <v>86</v>
      </c>
      <c r="K124" s="543">
        <f t="shared" si="30"/>
        <v>84</v>
      </c>
      <c r="L124" s="543">
        <f t="shared" si="30"/>
        <v>82</v>
      </c>
      <c r="M124" s="544">
        <f t="shared" si="30"/>
        <v>80</v>
      </c>
      <c r="N124" s="1155"/>
      <c r="O124" s="1155"/>
      <c r="P124" s="2648"/>
      <c r="Q124" s="503"/>
    </row>
    <row r="125" spans="1:17" ht="15" thickTop="1">
      <c r="A125" s="598"/>
      <c r="B125" s="537" t="s">
        <v>2592</v>
      </c>
      <c r="C125" s="577" t="s">
        <v>2568</v>
      </c>
      <c r="D125" s="577" t="s">
        <v>2569</v>
      </c>
      <c r="E125" s="577" t="s">
        <v>2570</v>
      </c>
      <c r="F125" s="577" t="s">
        <v>2571</v>
      </c>
      <c r="G125" s="577" t="s">
        <v>2572</v>
      </c>
      <c r="H125" s="538"/>
      <c r="I125" s="538"/>
      <c r="J125" s="538"/>
      <c r="K125" s="539"/>
      <c r="L125" s="540"/>
      <c r="M125" s="541"/>
      <c r="N125" s="1154"/>
      <c r="O125" s="1154"/>
      <c r="P125" s="2649"/>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48"/>
      <c r="Q126" s="503"/>
    </row>
    <row r="127" spans="1:17" s="470" customFormat="1" ht="15" thickTop="1">
      <c r="A127" s="592"/>
      <c r="B127" s="537">
        <f>B45</f>
        <v>0</v>
      </c>
      <c r="C127" s="553"/>
      <c r="D127" s="553"/>
      <c r="E127" s="553"/>
      <c r="F127" s="553"/>
      <c r="G127" s="553"/>
      <c r="H127" s="554"/>
      <c r="I127" s="554"/>
      <c r="J127" s="554"/>
      <c r="K127" s="554"/>
      <c r="L127" s="555"/>
      <c r="M127" s="556"/>
      <c r="N127" s="1156"/>
      <c r="O127" s="1156"/>
      <c r="P127" s="2649"/>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49"/>
      <c r="Q128" s="558"/>
    </row>
    <row r="129" spans="1:17" ht="15" thickTop="1">
      <c r="A129" s="598"/>
      <c r="B129" s="537">
        <f>B46</f>
        <v>0</v>
      </c>
      <c r="C129" s="553"/>
      <c r="D129" s="553"/>
      <c r="E129" s="553"/>
      <c r="F129" s="553"/>
      <c r="G129" s="582"/>
      <c r="H129" s="582"/>
      <c r="I129" s="582"/>
      <c r="J129" s="582"/>
      <c r="K129" s="583"/>
      <c r="L129" s="584"/>
      <c r="M129" s="585"/>
      <c r="N129" s="1154"/>
      <c r="O129" s="1154"/>
      <c r="P129" s="2648"/>
      <c r="Q129" s="503"/>
    </row>
    <row r="130" spans="1:17" ht="15.75" thickBot="1">
      <c r="A130" s="533"/>
      <c r="B130" s="542"/>
      <c r="C130" s="559"/>
      <c r="D130" s="559"/>
      <c r="E130" s="559"/>
      <c r="F130" s="559"/>
      <c r="G130" s="535"/>
      <c r="H130" s="535"/>
      <c r="I130" s="535"/>
      <c r="J130" s="535"/>
      <c r="K130" s="535"/>
      <c r="L130" s="535"/>
      <c r="M130" s="536"/>
      <c r="N130" s="1155"/>
      <c r="O130" s="1155"/>
      <c r="P130" s="2648"/>
      <c r="Q130" s="503"/>
    </row>
    <row r="131" spans="1:17" ht="15" thickTop="1">
      <c r="A131" s="598"/>
      <c r="B131" s="545">
        <f>B47</f>
        <v>0</v>
      </c>
      <c r="C131" s="522"/>
      <c r="D131" s="522"/>
      <c r="E131" s="522"/>
      <c r="F131" s="522"/>
      <c r="G131" s="586"/>
      <c r="H131" s="586"/>
      <c r="I131" s="586"/>
      <c r="J131" s="586"/>
      <c r="K131" s="522"/>
      <c r="L131" s="523"/>
      <c r="M131" s="589"/>
      <c r="N131" s="1154"/>
      <c r="O131" s="1154"/>
      <c r="P131" s="2648"/>
      <c r="Q131" s="503"/>
    </row>
    <row r="132" spans="1:17" ht="15.75" thickBot="1">
      <c r="A132" s="2600"/>
      <c r="B132" s="568"/>
      <c r="C132" s="569"/>
      <c r="D132" s="569"/>
      <c r="E132" s="569"/>
      <c r="F132" s="569"/>
      <c r="G132" s="590"/>
      <c r="H132" s="590"/>
      <c r="I132" s="590"/>
      <c r="J132" s="590"/>
      <c r="K132" s="590"/>
      <c r="L132" s="590"/>
      <c r="M132" s="591"/>
      <c r="N132" s="1155"/>
      <c r="O132" s="1155"/>
      <c r="P132" s="2648"/>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67" priority="16" stopIfTrue="1" operator="containsText" text="超过">
      <formula>NOT(ISERROR(SEARCH("超过",F53)))</formula>
    </cfRule>
  </conditionalFormatting>
  <conditionalFormatting sqref="H55">
    <cfRule type="containsText" dxfId="166" priority="15" stopIfTrue="1" operator="containsText" text="超过">
      <formula>NOT(ISERROR(SEARCH("超过",H55)))</formula>
    </cfRule>
  </conditionalFormatting>
  <conditionalFormatting sqref="F55">
    <cfRule type="containsText" dxfId="165" priority="14" stopIfTrue="1" operator="containsText" text="超过">
      <formula>NOT(ISERROR(SEARCH("超过",F55)))</formula>
    </cfRule>
  </conditionalFormatting>
  <conditionalFormatting sqref="F54 H54">
    <cfRule type="containsText" dxfId="164" priority="13" stopIfTrue="1" operator="containsText" text="超过">
      <formula>NOT(ISERROR(SEARCH("超过",F54)))</formula>
    </cfRule>
  </conditionalFormatting>
  <conditionalFormatting sqref="E53">
    <cfRule type="expression" dxfId="163" priority="12" stopIfTrue="1">
      <formula>$F$53="超过30%"</formula>
    </cfRule>
  </conditionalFormatting>
  <conditionalFormatting sqref="E54">
    <cfRule type="expression" dxfId="162" priority="11" stopIfTrue="1">
      <formula>$F$54="超过20%"</formula>
    </cfRule>
  </conditionalFormatting>
  <conditionalFormatting sqref="E55">
    <cfRule type="expression" dxfId="161" priority="10" stopIfTrue="1">
      <formula>$F$55="超过30%"</formula>
    </cfRule>
  </conditionalFormatting>
  <conditionalFormatting sqref="G55">
    <cfRule type="expression" dxfId="160" priority="9" stopIfTrue="1">
      <formula>$H$55="超过30%"</formula>
    </cfRule>
  </conditionalFormatting>
  <conditionalFormatting sqref="G53">
    <cfRule type="expression" dxfId="159" priority="8" stopIfTrue="1">
      <formula>$H$53="超过30%"</formula>
    </cfRule>
  </conditionalFormatting>
  <conditionalFormatting sqref="G54">
    <cfRule type="expression" dxfId="158" priority="7" stopIfTrue="1">
      <formula>$H$54="超过20%"</formula>
    </cfRule>
  </conditionalFormatting>
  <conditionalFormatting sqref="J53">
    <cfRule type="containsText" dxfId="157" priority="6" stopIfTrue="1" operator="containsText" text="超过">
      <formula>NOT(ISERROR(SEARCH("超过",J53)))</formula>
    </cfRule>
  </conditionalFormatting>
  <conditionalFormatting sqref="J55">
    <cfRule type="containsText" dxfId="156" priority="5" stopIfTrue="1" operator="containsText" text="超过">
      <formula>NOT(ISERROR(SEARCH("超过",J55)))</formula>
    </cfRule>
  </conditionalFormatting>
  <conditionalFormatting sqref="J54">
    <cfRule type="containsText" dxfId="155" priority="4" stopIfTrue="1" operator="containsText" text="超过">
      <formula>NOT(ISERROR(SEARCH("超过",J54)))</formula>
    </cfRule>
  </conditionalFormatting>
  <conditionalFormatting sqref="I53">
    <cfRule type="expression" dxfId="154" priority="3" stopIfTrue="1">
      <formula>$J$53="超过30%"</formula>
    </cfRule>
  </conditionalFormatting>
  <conditionalFormatting sqref="I54">
    <cfRule type="expression" dxfId="153" priority="2" stopIfTrue="1">
      <formula>$J$53+$J$54="超过20%"</formula>
    </cfRule>
  </conditionalFormatting>
  <conditionalFormatting sqref="I55">
    <cfRule type="expression" dxfId="15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56"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D20" sqref="D2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27</v>
      </c>
      <c r="D1" s="1822" t="s">
        <v>70</v>
      </c>
      <c r="E1" s="1823" t="s">
        <v>1387</v>
      </c>
      <c r="F1" s="1285">
        <f ca="1">J53</f>
        <v>34.9</v>
      </c>
      <c r="G1" s="1838">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1521591</v>
      </c>
      <c r="C2" s="1847" t="s">
        <v>1516</v>
      </c>
      <c r="D2" s="1847"/>
      <c r="E2" s="1848"/>
      <c r="F2" s="1849"/>
      <c r="G2" s="1850"/>
      <c r="H2" s="1842"/>
      <c r="I2" s="1842"/>
      <c r="J2" s="1842"/>
      <c r="K2" s="1843"/>
      <c r="L2" s="1842"/>
      <c r="M2" s="1842"/>
    </row>
    <row r="3" spans="1:37" ht="18" customHeight="1" thickBot="1">
      <c r="A3" s="1851" t="s">
        <v>1517</v>
      </c>
      <c r="B3" s="1852">
        <f ca="1">IF(ISERROR(B2*10000/F43),0,ROUND(B2*10000/F43,0))</f>
        <v>141950</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f ca="1">C6+C10+C12</f>
        <v>63266</v>
      </c>
      <c r="D5" s="1824" t="s">
        <v>1402</v>
      </c>
      <c r="E5" s="1295"/>
      <c r="F5" s="1296"/>
      <c r="G5" s="1853"/>
      <c r="H5" s="343">
        <v>1</v>
      </c>
      <c r="I5" s="344" t="s">
        <v>1401</v>
      </c>
      <c r="J5" s="1294">
        <f ca="1">J6+J10+J12</f>
        <v>0</v>
      </c>
      <c r="K5" s="1824" t="s">
        <v>1402</v>
      </c>
      <c r="L5" s="1295"/>
      <c r="M5" s="1296"/>
    </row>
    <row r="6" spans="1:37" ht="18" customHeight="1">
      <c r="A6" s="1293" t="s">
        <v>1035</v>
      </c>
      <c r="B6" s="3343" t="s">
        <v>1403</v>
      </c>
      <c r="C6" s="1298">
        <f ca="1">ROUND(F6*F8*F7*(1-F9)/10000,0)</f>
        <v>63187</v>
      </c>
      <c r="D6" s="163" t="s">
        <v>3003</v>
      </c>
      <c r="E6" s="346" t="s">
        <v>1405</v>
      </c>
      <c r="F6" s="347">
        <f ca="1">INDIRECT("'数据-取费表'!u"&amp;$G$1)</f>
        <v>17</v>
      </c>
      <c r="G6" s="1853"/>
      <c r="H6" s="1293" t="s">
        <v>1035</v>
      </c>
      <c r="I6" s="3343" t="s">
        <v>1403</v>
      </c>
      <c r="J6" s="345">
        <f ca="1">ROUND(M6*M8*M7*(1-M9)/10000,0)</f>
        <v>0</v>
      </c>
      <c r="K6" s="163" t="s">
        <v>3002</v>
      </c>
      <c r="L6" s="346" t="s">
        <v>1405</v>
      </c>
      <c r="M6" s="347">
        <f ca="1">INDIRECT("'数据-取费表'!z"&amp;$G$1)</f>
        <v>0</v>
      </c>
    </row>
    <row r="7" spans="1:37" ht="18" customHeight="1">
      <c r="A7" s="1297"/>
      <c r="B7" s="3344"/>
      <c r="C7" s="1299"/>
      <c r="D7" s="351"/>
      <c r="E7" s="2997" t="s">
        <v>1406</v>
      </c>
      <c r="F7" s="347">
        <f ca="1">IF(INDIRECT("'数据-取费表'!ah"&amp;$G$1)="",INDIRECT("'数据-取费表'!k"&amp;$G$1),INDIRECT("'数据-取费表'!ah"&amp;$G$1))</f>
        <v>107191.97</v>
      </c>
      <c r="G7" s="1853"/>
      <c r="H7" s="348"/>
      <c r="I7" s="3344"/>
      <c r="J7" s="350"/>
      <c r="K7" s="351"/>
      <c r="L7" s="346" t="s">
        <v>1406</v>
      </c>
      <c r="M7" s="347">
        <f ca="1">F7</f>
        <v>107191.97</v>
      </c>
    </row>
    <row r="8" spans="1:37" ht="18" customHeight="1">
      <c r="A8" s="348"/>
      <c r="B8" s="3344"/>
      <c r="C8" s="350"/>
      <c r="D8" s="351"/>
      <c r="E8" s="346" t="s">
        <v>1407</v>
      </c>
      <c r="F8" s="347">
        <f ca="1">INDIRECT("'数据-取费表'!ai"&amp;$G$1)</f>
        <v>365</v>
      </c>
      <c r="G8" s="1853"/>
      <c r="H8" s="348"/>
      <c r="I8" s="3344"/>
      <c r="J8" s="350"/>
      <c r="K8" s="351"/>
      <c r="L8" s="346" t="s">
        <v>1407</v>
      </c>
      <c r="M8" s="347">
        <f ca="1">INDIRECT("'数据-取费表'!ai"&amp;$G$1)</f>
        <v>365</v>
      </c>
    </row>
    <row r="9" spans="1:37" ht="18" customHeight="1">
      <c r="A9" s="348"/>
      <c r="B9" s="3345"/>
      <c r="C9" s="350"/>
      <c r="D9" s="351"/>
      <c r="E9" s="346" t="s">
        <v>1408</v>
      </c>
      <c r="F9" s="356">
        <f ca="1">INDIRECT("'数据-取费表'!w"&amp;$G$1)</f>
        <v>0.05</v>
      </c>
      <c r="G9" s="1853"/>
      <c r="H9" s="348"/>
      <c r="I9" s="3345"/>
      <c r="J9" s="350"/>
      <c r="K9" s="351"/>
      <c r="L9" s="357" t="s">
        <v>1408</v>
      </c>
      <c r="M9" s="358">
        <f ca="1">INDIRECT("'数据-取费表'!ab"&amp;$G$1)</f>
        <v>0</v>
      </c>
    </row>
    <row r="10" spans="1:37" ht="18" customHeight="1">
      <c r="A10" s="1293" t="s">
        <v>1039</v>
      </c>
      <c r="B10" s="1825" t="s">
        <v>1409</v>
      </c>
      <c r="C10" s="360">
        <f ca="1">ROUND(IF(F10="押一",C6/12*F11,IF(F10="押二",C6/12*2*F11,IF(F10="押三",C6/12*3*F11,C11*F11))),0)</f>
        <v>79</v>
      </c>
      <c r="D10" s="1826" t="s">
        <v>3011</v>
      </c>
      <c r="E10" s="357" t="s">
        <v>1410</v>
      </c>
      <c r="F10" s="1368" t="s">
        <v>3250</v>
      </c>
      <c r="G10" s="1853"/>
      <c r="H10" s="1293" t="s">
        <v>1039</v>
      </c>
      <c r="I10" s="1825" t="s">
        <v>1409</v>
      </c>
      <c r="J10" s="345">
        <f ca="1">ROUND(IF(M10="押一",J6/12*M11,IF(M10="押二",J6/12*2*M11,IF(M10="押三",J6/12*3*M11,J11*M11))),0)</f>
        <v>0</v>
      </c>
      <c r="K10" s="1826" t="s">
        <v>3011</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78328</v>
      </c>
      <c r="D13" s="1333" t="s">
        <v>1415</v>
      </c>
      <c r="E13" s="1333" t="s">
        <v>1416</v>
      </c>
      <c r="F13" s="1334">
        <f ca="1">INDIRECT("'数据-取费表'!y"&amp;$G$1)</f>
        <v>0.92</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54157</v>
      </c>
      <c r="D14" s="2991" t="s">
        <v>1418</v>
      </c>
      <c r="E14" s="2989"/>
      <c r="F14" s="363"/>
      <c r="G14" s="1853"/>
      <c r="H14" s="1203" t="s">
        <v>1035</v>
      </c>
      <c r="I14" s="346" t="s">
        <v>1419</v>
      </c>
      <c r="J14" s="24">
        <f ca="1">C29</f>
        <v>85139</v>
      </c>
      <c r="K14" s="2996"/>
      <c r="L14" s="981"/>
      <c r="M14" s="982"/>
    </row>
    <row r="15" spans="1:37" s="1860" customFormat="1" ht="18" customHeight="1" thickBot="1">
      <c r="A15" s="1203" t="s">
        <v>1036</v>
      </c>
      <c r="B15" s="346" t="s">
        <v>1420</v>
      </c>
      <c r="C15" s="24">
        <f ca="1">ROUND(C14*F15,0)</f>
        <v>2708</v>
      </c>
      <c r="D15" s="364" t="s">
        <v>1421</v>
      </c>
      <c r="E15" s="364" t="s">
        <v>1422</v>
      </c>
      <c r="F15" s="365">
        <f>'数据-取费表'!B33</f>
        <v>0.05</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2014</v>
      </c>
      <c r="K16" s="1339" t="s">
        <v>1425</v>
      </c>
      <c r="L16" s="2992"/>
      <c r="M16" s="1296"/>
    </row>
    <row r="17" spans="1:37" s="1860" customFormat="1" ht="18" customHeight="1">
      <c r="A17" s="1203" t="s">
        <v>1390</v>
      </c>
      <c r="B17" s="346" t="s">
        <v>1426</v>
      </c>
      <c r="C17" s="24">
        <f ca="1">ROUND(F17*(F43+INDIRECT("'数据-取费表'!S"&amp;$G$1))/10000,0)</f>
        <v>2189</v>
      </c>
      <c r="D17" s="346" t="s">
        <v>1427</v>
      </c>
      <c r="E17" s="346" t="s">
        <v>1428</v>
      </c>
      <c r="F17" s="26">
        <f>'数据-取费表'!B35</f>
        <v>200</v>
      </c>
      <c r="G17" s="1856"/>
      <c r="H17" s="1203" t="s">
        <v>1035</v>
      </c>
      <c r="I17" s="346" t="s">
        <v>1429</v>
      </c>
      <c r="J17" s="24">
        <f ca="1">ROUND(IF(项目基本情况!B11="自然人",J5*M17,J18+J19+J20),1)</f>
        <v>736.6</v>
      </c>
      <c r="K17" s="2991" t="s">
        <v>1430</v>
      </c>
      <c r="L17" s="299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812</v>
      </c>
      <c r="D18" s="346" t="s">
        <v>1421</v>
      </c>
      <c r="E18" s="346" t="s">
        <v>1422</v>
      </c>
      <c r="F18" s="366">
        <f>'数据-取费表'!B36</f>
        <v>1.4999999999999999E-2</v>
      </c>
      <c r="G18" s="1856"/>
      <c r="H18" s="1203" t="s">
        <v>1034</v>
      </c>
      <c r="I18" s="346" t="s">
        <v>1433</v>
      </c>
      <c r="J18" s="24">
        <f ca="1">ROUND(J5*M18/(1+'数据-取费表'!C42),2)</f>
        <v>0</v>
      </c>
      <c r="K18" s="2990"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59866</v>
      </c>
      <c r="D19" s="139" t="s">
        <v>1436</v>
      </c>
      <c r="E19" s="2995"/>
      <c r="F19" s="26"/>
      <c r="G19" s="1853"/>
      <c r="H19" s="1203" t="s">
        <v>1036</v>
      </c>
      <c r="I19" s="346" t="s">
        <v>1437</v>
      </c>
      <c r="J19" s="24">
        <f ca="1">IF(K19="按租金收入计税",ROUND(J5*M19,2),ROUND(C29*M19*0.7,2))</f>
        <v>715.17</v>
      </c>
      <c r="K19" s="1830" t="s">
        <v>1438</v>
      </c>
      <c r="L19" s="346" t="s">
        <v>1422</v>
      </c>
      <c r="M19" s="366">
        <f>IF(K19="按租金收入计税",'数据-取费表'!B51,'数据-取费表'!B50)</f>
        <v>1.2E-2</v>
      </c>
    </row>
    <row r="20" spans="1:37" s="1860" customFormat="1" ht="18" customHeight="1">
      <c r="A20" s="1203" t="s">
        <v>1039</v>
      </c>
      <c r="B20" s="346" t="s">
        <v>1439</v>
      </c>
      <c r="C20" s="24">
        <f ca="1">ROUND(C19*F20,0)</f>
        <v>1796</v>
      </c>
      <c r="D20" s="368" t="s">
        <v>1440</v>
      </c>
      <c r="E20" s="346" t="s">
        <v>1422</v>
      </c>
      <c r="F20" s="366">
        <f>'数据-取费表'!B37</f>
        <v>0.03</v>
      </c>
      <c r="G20" s="1856"/>
      <c r="H20" s="1203" t="s">
        <v>1389</v>
      </c>
      <c r="I20" s="163" t="s">
        <v>1441</v>
      </c>
      <c r="J20" s="25">
        <f ca="1">ROUND(M20*M21/10000,2)</f>
        <v>21.4</v>
      </c>
      <c r="K20" s="369" t="s">
        <v>1442</v>
      </c>
      <c r="L20" s="346" t="s">
        <v>1443</v>
      </c>
      <c r="M20" s="370">
        <f>'数据-取费表'!B52</f>
        <v>30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v>
      </c>
      <c r="D21" s="368" t="s">
        <v>1445</v>
      </c>
      <c r="E21" s="346" t="s">
        <v>1446</v>
      </c>
      <c r="F21" s="366">
        <f>'数据-取费表'!B38</f>
        <v>0.02</v>
      </c>
      <c r="G21" s="1856"/>
      <c r="H21" s="371"/>
      <c r="I21" s="355"/>
      <c r="J21" s="29"/>
      <c r="K21" s="372"/>
      <c r="L21" s="346" t="s">
        <v>1447</v>
      </c>
      <c r="M21" s="347">
        <f ca="1">INDIRECT("'数据-取费表'!r"&amp;$G$1)</f>
        <v>7134.51</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2995"/>
      <c r="F22" s="26"/>
      <c r="G22" s="1853"/>
      <c r="H22" s="1203" t="s">
        <v>1039</v>
      </c>
      <c r="I22" s="346" t="s">
        <v>1449</v>
      </c>
      <c r="J22" s="24">
        <f ca="1">ROUND(J14*M22,1)</f>
        <v>1277.0999999999999</v>
      </c>
      <c r="K22" s="2990" t="s">
        <v>1450</v>
      </c>
      <c r="L22" s="346" t="s">
        <v>1422</v>
      </c>
      <c r="M22" s="373">
        <f ca="1">INDIRECT("'数据-取费表'!Ak"&amp;$G$1)</f>
        <v>1.4999999999999999E-2</v>
      </c>
    </row>
    <row r="23" spans="1:37" s="1860" customFormat="1" ht="18" customHeight="1">
      <c r="A23" s="1203" t="s">
        <v>1034</v>
      </c>
      <c r="B23" s="346" t="s">
        <v>1451</v>
      </c>
      <c r="C23" s="24">
        <f ca="1">IF('数据-取费表'!B22&lt;=1,ROUND(C19*F24*F23/2,0)+ROUND(C20*F24*F23/2,0),ROUND(C19*(POWER((1+F24),F23/2)-1),0)+ROUND(C20*(POWER((1+F24),F23/2)-1),0))</f>
        <v>4445</v>
      </c>
      <c r="D23" s="374" t="str">
        <f>IF(F23&lt;=1,"(建造成本+管理费用)×利率×(建设周期÷2)","(建造成本+管理费用)×((1+利率)^(建设周期÷2)-1)")</f>
        <v>(建造成本+管理费用)×((1+利率)^(建设周期÷2)-1)</v>
      </c>
      <c r="E23" s="346" t="s">
        <v>1452</v>
      </c>
      <c r="F23" s="370">
        <f>'数据-取费表'!B20</f>
        <v>3</v>
      </c>
      <c r="G23" s="1856"/>
      <c r="H23" s="1203" t="s">
        <v>1075</v>
      </c>
      <c r="I23" s="346" t="s">
        <v>1453</v>
      </c>
      <c r="J23" s="24">
        <f ca="1">ROUND(J13*M23,1)</f>
        <v>0</v>
      </c>
      <c r="K23" s="2990" t="s">
        <v>1454</v>
      </c>
      <c r="L23" s="346" t="s">
        <v>1422</v>
      </c>
      <c r="M23" s="375">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6" t="s">
        <v>1457</v>
      </c>
      <c r="C24" s="24">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6"/>
      <c r="H24" s="1341" t="s">
        <v>1392</v>
      </c>
      <c r="I24" s="1342" t="s">
        <v>1439</v>
      </c>
      <c r="J24" s="1343">
        <f ca="1">ROUND(J5*M24,1)</f>
        <v>0</v>
      </c>
      <c r="K24" s="1344" t="s">
        <v>1459</v>
      </c>
      <c r="L24" s="1342" t="s">
        <v>1422</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39" t="s">
        <v>1462</v>
      </c>
      <c r="E25" s="2995"/>
      <c r="F25" s="26"/>
      <c r="G25" s="1853"/>
      <c r="H25" s="1331" t="s">
        <v>1031</v>
      </c>
      <c r="I25" s="1346" t="s">
        <v>1463</v>
      </c>
      <c r="J25" s="354">
        <f ca="1">J5-J16</f>
        <v>-2014</v>
      </c>
      <c r="K25" s="1347" t="s">
        <v>1464</v>
      </c>
      <c r="L25" s="1348"/>
      <c r="M25" s="1349"/>
    </row>
    <row r="26" spans="1:37">
      <c r="A26" s="1203" t="s">
        <v>1034</v>
      </c>
      <c r="B26" s="346" t="s">
        <v>1465</v>
      </c>
      <c r="C26" s="24">
        <f ca="1">ROUND((C19+C20)*F26,0)</f>
        <v>12332</v>
      </c>
      <c r="D26" s="368" t="s">
        <v>1466</v>
      </c>
      <c r="E26" s="357" t="s">
        <v>1467</v>
      </c>
      <c r="F26" s="356">
        <f ca="1">INDIRECT("'数据-取费表'!q"&amp;$G$1)</f>
        <v>0.2</v>
      </c>
      <c r="G26" s="1853"/>
      <c r="H26" s="343" t="s">
        <v>1032</v>
      </c>
      <c r="I26" s="344" t="s">
        <v>1468</v>
      </c>
      <c r="J26" s="345">
        <f ca="1">IF(J5&lt;&gt;0,ROUND(J25*(1-((1+M28)/(1+M26))^M27)/(M26-M28),0),0)</f>
        <v>0</v>
      </c>
      <c r="K26" s="369" t="s">
        <v>1469</v>
      </c>
      <c r="L26" s="346" t="s">
        <v>1470</v>
      </c>
      <c r="M26" s="356">
        <f ca="1">INDIRECT("'数据-取费表'!I"&amp;$G$1)</f>
        <v>0.05</v>
      </c>
    </row>
    <row r="27" spans="1:37" ht="18" customHeight="1">
      <c r="A27" s="1203" t="s">
        <v>1036</v>
      </c>
      <c r="B27" s="346" t="s">
        <v>1471</v>
      </c>
      <c r="C27" s="24">
        <f ca="1">ROUND(F21*F26,4)</f>
        <v>4.0000000000000001E-3</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85139</v>
      </c>
      <c r="D29" s="1344"/>
      <c r="E29" s="1342"/>
      <c r="F29" s="1345"/>
      <c r="G29" s="1856"/>
      <c r="H29" s="379" t="s">
        <v>1033</v>
      </c>
      <c r="I29" s="380" t="s">
        <v>1479</v>
      </c>
      <c r="J29" s="381">
        <f ca="1">ROUND(J26/(1+F40)^F41,0)</f>
        <v>0</v>
      </c>
      <c r="K29" s="382" t="s">
        <v>1480</v>
      </c>
      <c r="L29" s="383"/>
      <c r="M29" s="384">
        <f ca="1">INDIRECT("'数据-取费表'!k"&amp;$G$1)</f>
        <v>107191.97</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13687</v>
      </c>
      <c r="D30" s="1339" t="s">
        <v>1425</v>
      </c>
      <c r="E30" s="2992"/>
      <c r="F30" s="1296"/>
      <c r="G30" s="1853"/>
      <c r="H30" s="744"/>
      <c r="I30" s="745"/>
      <c r="J30" s="746"/>
      <c r="K30" s="747"/>
      <c r="L30" s="748"/>
      <c r="M30" s="749"/>
    </row>
    <row r="31" spans="1:37" ht="18" customHeight="1">
      <c r="A31" s="1203" t="s">
        <v>1035</v>
      </c>
      <c r="B31" s="346" t="s">
        <v>1429</v>
      </c>
      <c r="C31" s="24">
        <f ca="1">ROUND(IF(项目基本情况!B11="自然人",C5*F31,C32+C33+C34),1)</f>
        <v>10987.5</v>
      </c>
      <c r="D31" s="2991" t="s">
        <v>1430</v>
      </c>
      <c r="E31" s="299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IF(项目基本情况!B11="自然人","——",ROUND(C5*F32/(1+'数据-取费表'!C42),2))</f>
        <v>3374.19</v>
      </c>
      <c r="D32" s="2990" t="s">
        <v>1434</v>
      </c>
      <c r="E32" s="346" t="s">
        <v>1422</v>
      </c>
      <c r="F32" s="376">
        <f>'数据-取费表'!B41</f>
        <v>5.6000000000000001E-2</v>
      </c>
      <c r="G32" s="1853"/>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7591.92</v>
      </c>
      <c r="D33" s="1830" t="s">
        <v>3251</v>
      </c>
      <c r="E33" s="346" t="s">
        <v>1422</v>
      </c>
      <c r="F33" s="366">
        <f>IF(D33="按票据","——",IF(D33="按租金收入计税",'数据-取费表'!B51,'数据-取费表'!B50))</f>
        <v>0.12</v>
      </c>
      <c r="G33" s="1853"/>
      <c r="H33" s="1861"/>
      <c r="I33" s="1862"/>
      <c r="J33" s="1863"/>
      <c r="K33" s="1864"/>
      <c r="L33" s="1861"/>
      <c r="M33" s="1861"/>
    </row>
    <row r="34" spans="1:18" ht="18" customHeight="1">
      <c r="A34" s="1293" t="s">
        <v>1389</v>
      </c>
      <c r="B34" s="163" t="s">
        <v>1441</v>
      </c>
      <c r="C34" s="25">
        <f ca="1">IF(项目基本情况!B11="自然人","——",ROUND(F34*F35/10000,2))</f>
        <v>21.4</v>
      </c>
      <c r="D34" s="369" t="s">
        <v>1442</v>
      </c>
      <c r="E34" s="346" t="s">
        <v>1443</v>
      </c>
      <c r="F34" s="370">
        <f>'数据-取费表'!B52</f>
        <v>30</v>
      </c>
      <c r="G34" s="1853"/>
      <c r="H34" s="744"/>
      <c r="I34" s="1862"/>
      <c r="J34" s="1863"/>
      <c r="K34" s="1865"/>
      <c r="L34" s="1866"/>
      <c r="M34" s="1866"/>
    </row>
    <row r="35" spans="1:18" ht="18" customHeight="1">
      <c r="A35" s="1355"/>
      <c r="B35" s="1353"/>
      <c r="C35" s="29"/>
      <c r="D35" s="372"/>
      <c r="E35" s="346" t="s">
        <v>1447</v>
      </c>
      <c r="F35" s="347">
        <f ca="1">INDIRECT("'数据-取费表'!r"&amp;$G$1)</f>
        <v>7134.51</v>
      </c>
      <c r="G35" s="1853"/>
      <c r="H35" s="744"/>
      <c r="I35" s="1862"/>
      <c r="J35" s="1863"/>
      <c r="K35" s="1864"/>
      <c r="L35" s="1861"/>
      <c r="M35" s="1861"/>
    </row>
    <row r="36" spans="1:18" ht="18" customHeight="1">
      <c r="A36" s="1354" t="s">
        <v>1039</v>
      </c>
      <c r="B36" s="346" t="s">
        <v>1449</v>
      </c>
      <c r="C36" s="24">
        <f ca="1">ROUND(C29*F36,1)</f>
        <v>1277.0999999999999</v>
      </c>
      <c r="D36" s="2990" t="s">
        <v>1482</v>
      </c>
      <c r="E36" s="346" t="s">
        <v>1422</v>
      </c>
      <c r="F36" s="373">
        <f ca="1">INDIRECT("'数据-取费表'!Ak"&amp;$G$1)</f>
        <v>1.4999999999999999E-2</v>
      </c>
      <c r="G36" s="1853"/>
      <c r="H36" s="1861"/>
      <c r="I36" s="1862"/>
      <c r="J36" s="1863"/>
      <c r="K36" s="750"/>
      <c r="L36" s="1861"/>
      <c r="M36" s="1861"/>
    </row>
    <row r="37" spans="1:18" ht="18" customHeight="1">
      <c r="A37" s="1203" t="s">
        <v>1075</v>
      </c>
      <c r="B37" s="346" t="s">
        <v>1453</v>
      </c>
      <c r="C37" s="24">
        <f ca="1">ROUND(C13*F37,1)</f>
        <v>156.69999999999999</v>
      </c>
      <c r="D37" s="2990" t="s">
        <v>1454</v>
      </c>
      <c r="E37" s="346" t="s">
        <v>1422</v>
      </c>
      <c r="F37" s="375">
        <f ca="1">INDIRECT("'数据-取费表'!Al"&amp;$G$1)</f>
        <v>2E-3</v>
      </c>
      <c r="G37" s="1853"/>
      <c r="H37" s="1861"/>
      <c r="I37" s="1862"/>
      <c r="J37" s="1863"/>
      <c r="K37" s="750"/>
      <c r="L37" s="1861"/>
      <c r="M37" s="1861"/>
    </row>
    <row r="38" spans="1:18" ht="18" customHeight="1" thickBot="1">
      <c r="A38" s="1341" t="s">
        <v>1392</v>
      </c>
      <c r="B38" s="1342" t="s">
        <v>1439</v>
      </c>
      <c r="C38" s="1343">
        <f ca="1">ROUND(C5*F38,1)</f>
        <v>1265.3</v>
      </c>
      <c r="D38" s="1344" t="s">
        <v>1459</v>
      </c>
      <c r="E38" s="1342" t="s">
        <v>1422</v>
      </c>
      <c r="F38" s="1338">
        <f ca="1">INDIRECT("'数据-取费表'!Am"&amp;$G$1)</f>
        <v>0.02</v>
      </c>
      <c r="G38" s="1853"/>
      <c r="H38" s="1861"/>
      <c r="I38" s="1862"/>
      <c r="J38" s="1863"/>
      <c r="K38" s="1867"/>
      <c r="L38" s="1861"/>
      <c r="M38" s="1861"/>
    </row>
    <row r="39" spans="1:18" ht="24.6" customHeight="1" thickTop="1">
      <c r="A39" s="1331" t="s">
        <v>1031</v>
      </c>
      <c r="B39" s="1346" t="s">
        <v>1463</v>
      </c>
      <c r="C39" s="354">
        <f ca="1">C5-C30</f>
        <v>49579</v>
      </c>
      <c r="D39" s="1347" t="s">
        <v>1464</v>
      </c>
      <c r="E39" s="1348"/>
      <c r="F39" s="1349"/>
      <c r="G39" s="1853"/>
      <c r="H39" s="1861"/>
      <c r="I39" s="1862"/>
      <c r="J39" s="1863"/>
      <c r="K39" s="1867"/>
      <c r="L39" s="1861"/>
      <c r="M39" s="1861"/>
    </row>
    <row r="40" spans="1:18" ht="18" customHeight="1">
      <c r="A40" s="343" t="s">
        <v>1032</v>
      </c>
      <c r="B40" s="344" t="s">
        <v>1485</v>
      </c>
      <c r="C40" s="345">
        <f ca="1">ROUND(C39*(1-((1+F42)/(1+F40))^F41)/(F40-F42),0)</f>
        <v>1521591</v>
      </c>
      <c r="D40" s="369" t="s">
        <v>1469</v>
      </c>
      <c r="E40" s="346" t="s">
        <v>1470</v>
      </c>
      <c r="F40" s="356">
        <f ca="1">INDIRECT("'数据-取费表'!I"&amp;$G$1)</f>
        <v>0.05</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34.9</v>
      </c>
      <c r="G41" s="1853"/>
      <c r="H41" s="731"/>
      <c r="I41" s="1862"/>
      <c r="J41" s="1863"/>
      <c r="K41" s="750"/>
      <c r="L41" s="731"/>
      <c r="M41" s="731"/>
    </row>
    <row r="42" spans="1:18" ht="18" customHeight="1">
      <c r="A42" s="352"/>
      <c r="B42" s="353"/>
      <c r="C42" s="354"/>
      <c r="D42" s="372"/>
      <c r="E42" s="346" t="s">
        <v>1477</v>
      </c>
      <c r="F42" s="356">
        <f ca="1">INDIRECT("'数据-取费表'!v"&amp;$G$1)</f>
        <v>4.4999999999999998E-2</v>
      </c>
      <c r="G42" s="1853"/>
      <c r="H42" s="731"/>
      <c r="I42" s="1862"/>
      <c r="J42" s="1863"/>
      <c r="K42" s="750"/>
      <c r="L42" s="731"/>
      <c r="M42" s="731"/>
    </row>
    <row r="43" spans="1:18" ht="18" customHeight="1" thickBot="1">
      <c r="A43" s="379" t="s">
        <v>1033</v>
      </c>
      <c r="B43" s="380" t="s">
        <v>1487</v>
      </c>
      <c r="C43" s="381">
        <f ca="1">ROUND(C40*10000/F43,0)</f>
        <v>141950</v>
      </c>
      <c r="D43" s="382" t="s">
        <v>1488</v>
      </c>
      <c r="E43" s="383" t="s">
        <v>1489</v>
      </c>
      <c r="F43" s="384">
        <f ca="1">INDIRECT("'数据-取费表'!k"&amp;$G$1)</f>
        <v>107191.97</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-1662371</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3252</v>
      </c>
      <c r="K47" s="1884" t="s">
        <v>1527</v>
      </c>
      <c r="L47" s="1885">
        <f ca="1">INDIRECT("'数据-取费表'!d"&amp;$G$1)</f>
        <v>50</v>
      </c>
      <c r="M47" s="1840" t="str">
        <f>IF(ISNUMBER(FIND("住宅",C1)),"住宅","非住宅")</f>
        <v>非住宅</v>
      </c>
      <c r="O47" s="1886" t="s">
        <v>1040</v>
      </c>
      <c r="P47" s="1887" t="s">
        <v>1528</v>
      </c>
      <c r="Q47" s="1888">
        <f ca="1">C40+J29</f>
        <v>1521591</v>
      </c>
      <c r="R47" s="1888" t="s">
        <v>1529</v>
      </c>
    </row>
    <row r="48" spans="1:18" s="1844" customFormat="1" ht="28.5" thickBot="1">
      <c r="A48" s="1362" t="s">
        <v>1135</v>
      </c>
      <c r="B48" s="344" t="s">
        <v>1401</v>
      </c>
      <c r="C48" s="2994">
        <f ca="1">C49+C53+C55</f>
        <v>0</v>
      </c>
      <c r="D48" s="1364"/>
      <c r="E48" s="1365"/>
      <c r="F48" s="1183"/>
      <c r="G48" s="791"/>
      <c r="H48" s="792"/>
      <c r="I48" s="1889" t="s">
        <v>1530</v>
      </c>
      <c r="J48" s="1890" t="s">
        <v>3253</v>
      </c>
      <c r="K48" s="1891" t="s">
        <v>1531</v>
      </c>
      <c r="L48" s="1892">
        <f ca="1">INDIRECT("'数据-取费表'!f"&amp;$G$1)</f>
        <v>34.9</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3002</v>
      </c>
      <c r="E49" s="1832" t="s">
        <v>1491</v>
      </c>
      <c r="F49" s="1283"/>
      <c r="G49" s="1893"/>
      <c r="H49" s="792"/>
      <c r="I49" s="1889" t="s">
        <v>1534</v>
      </c>
      <c r="J49" s="1894">
        <v>2011</v>
      </c>
      <c r="K49" s="1891" t="s">
        <v>1535</v>
      </c>
      <c r="L49" s="1895"/>
      <c r="O49" s="1896" t="s">
        <v>1042</v>
      </c>
      <c r="P49" s="1887" t="s">
        <v>1536</v>
      </c>
      <c r="Q49" s="1888">
        <f ca="1">C29</f>
        <v>85139</v>
      </c>
      <c r="R49" s="1888" t="s">
        <v>1529</v>
      </c>
    </row>
    <row r="50" spans="1:18" s="1844" customFormat="1" ht="13.5" thickBot="1">
      <c r="A50" s="1197"/>
      <c r="B50" s="1200"/>
      <c r="C50" s="1370"/>
      <c r="D50" s="1174"/>
      <c r="E50" s="1279" t="s">
        <v>1406</v>
      </c>
      <c r="F50" s="1280">
        <f ca="1">F7</f>
        <v>107191.97</v>
      </c>
      <c r="H50" s="792"/>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7">
        <f ca="1">F8</f>
        <v>365</v>
      </c>
      <c r="I51" s="1900" t="s">
        <v>1540</v>
      </c>
      <c r="J51" s="1901">
        <f>IF(J49="",J50,J49+J50-YEAR('数据-取费表'!B2))</f>
        <v>53</v>
      </c>
      <c r="K51" s="1902" t="s">
        <v>1541</v>
      </c>
      <c r="L51" s="1903">
        <f ca="1">ROUND(-PV(INDIRECT("'数据-取费表'!h"&amp;$G$1),L48,(C39-C13*C76),0),0)</f>
        <v>702038</v>
      </c>
      <c r="M51" s="1904"/>
      <c r="O51" s="1896" t="s">
        <v>1044</v>
      </c>
      <c r="P51" s="1887" t="s">
        <v>1542</v>
      </c>
      <c r="Q51" s="1899">
        <f>J52</f>
        <v>0.09</v>
      </c>
      <c r="R51" s="1888"/>
    </row>
    <row r="52" spans="1:18" s="1844" customFormat="1" ht="13.5" thickBot="1">
      <c r="A52" s="1198"/>
      <c r="B52" s="1200"/>
      <c r="C52" s="1201"/>
      <c r="D52" s="1174"/>
      <c r="E52" s="1202" t="s">
        <v>1408</v>
      </c>
      <c r="F52" s="1277"/>
      <c r="I52" s="1905" t="s">
        <v>1543</v>
      </c>
      <c r="J52" s="1906">
        <v>0.09</v>
      </c>
      <c r="K52" s="1905" t="s">
        <v>1544</v>
      </c>
      <c r="L52" s="1906"/>
      <c r="O52" s="1896" t="s">
        <v>1045</v>
      </c>
      <c r="P52" s="1887" t="s">
        <v>1545</v>
      </c>
      <c r="Q52" s="1888">
        <f ca="1">J53</f>
        <v>34.9</v>
      </c>
      <c r="R52" s="1888" t="s">
        <v>1546</v>
      </c>
    </row>
    <row r="53" spans="1:18" s="1844" customFormat="1" ht="24.75" thickBot="1">
      <c r="A53" s="1407" t="s">
        <v>1137</v>
      </c>
      <c r="B53" s="1833" t="s">
        <v>1409</v>
      </c>
      <c r="C53" s="360">
        <f ca="1">ROUND(IF(F53="押一",C49/12*F11,IF(F53="押二",C49/12*2*F11,IF(F53="押三",C49/12*3*F11,C54*F11))),0)</f>
        <v>0</v>
      </c>
      <c r="D53" s="1826" t="s">
        <v>3011</v>
      </c>
      <c r="E53" s="357"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34.9</v>
      </c>
      <c r="K53" s="3346" t="s">
        <v>1548</v>
      </c>
      <c r="L53" s="3347"/>
      <c r="O53" s="1886" t="s">
        <v>1046</v>
      </c>
      <c r="P53" s="1887" t="s">
        <v>1549</v>
      </c>
      <c r="Q53" s="1888">
        <f ca="1">Q47+Q48</f>
        <v>1521591</v>
      </c>
      <c r="R53" s="1888" t="s">
        <v>1047</v>
      </c>
    </row>
    <row r="54" spans="1:18" s="1844" customFormat="1" ht="13.5" thickBot="1">
      <c r="A54" s="1408"/>
      <c r="B54" s="1827" t="s">
        <v>1388</v>
      </c>
      <c r="C54" s="1180"/>
      <c r="D54" s="1826"/>
      <c r="E54" s="2993"/>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2993"/>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78328</v>
      </c>
      <c r="D56" s="1916"/>
      <c r="E56" s="1917"/>
      <c r="F56" s="1909"/>
      <c r="I56" s="1918" t="s">
        <v>1554</v>
      </c>
      <c r="J56" s="1919" t="s">
        <v>3237</v>
      </c>
      <c r="K56" s="1889" t="s">
        <v>1555</v>
      </c>
      <c r="L56" s="1892" t="str">
        <f ca="1">IF(L48&lt;J51,"——",L48-J53)</f>
        <v>——</v>
      </c>
      <c r="O56" s="1886" t="s">
        <v>1040</v>
      </c>
      <c r="P56" s="1887" t="s">
        <v>1528</v>
      </c>
      <c r="Q56" s="1888">
        <f ca="1">C40+J29</f>
        <v>1521591</v>
      </c>
      <c r="R56" s="1888" t="s">
        <v>1529</v>
      </c>
    </row>
    <row r="57" spans="1:18" s="1844" customFormat="1" ht="24.75" thickBot="1">
      <c r="A57" s="1920"/>
      <c r="B57" s="1171" t="s">
        <v>1478</v>
      </c>
      <c r="C57" s="281">
        <f ca="1">C29</f>
        <v>85139</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59" t="s">
        <v>1030</v>
      </c>
      <c r="B58" s="1179" t="s">
        <v>1424</v>
      </c>
      <c r="C58" s="360">
        <f ca="1">ROUND(C59+C64+C65+C66,0)</f>
        <v>8607</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7173.1</v>
      </c>
      <c r="D59" s="1184" t="s">
        <v>1430</v>
      </c>
      <c r="E59" s="1185" t="s">
        <v>1431</v>
      </c>
      <c r="F59" s="367"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6">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1437</v>
      </c>
      <c r="C61" s="24">
        <f ca="1">IF(项目基本情况!B11="自然人","——",IF(D61="按租金收入计税",ROUND(C48*F61,2),IF(D61="按房产原值计税",ROUND(C57*F61*0.7,2),INDIRECT("'数据-取费表'!Aj"&amp;$G$1))))</f>
        <v>7151.68</v>
      </c>
      <c r="D61" s="1830" t="s">
        <v>1438</v>
      </c>
      <c r="E61" s="1171" t="s">
        <v>1422</v>
      </c>
      <c r="F61" s="366">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1441</v>
      </c>
      <c r="C62" s="25">
        <f ca="1">IF(项目基本情况!B11="自然人","——",ROUND(F62*F63/10000,2))</f>
        <v>21.4</v>
      </c>
      <c r="D62" s="1186" t="s">
        <v>1442</v>
      </c>
      <c r="E62" s="1171" t="s">
        <v>1443</v>
      </c>
      <c r="F62" s="370">
        <f t="shared" si="0"/>
        <v>30</v>
      </c>
      <c r="I62" s="1931" t="s">
        <v>1570</v>
      </c>
      <c r="J62" s="1932" t="s">
        <v>1571</v>
      </c>
      <c r="K62" s="1932" t="s">
        <v>1572</v>
      </c>
      <c r="L62" s="1932" t="s">
        <v>1573</v>
      </c>
      <c r="M62" s="1933" t="s">
        <v>1574</v>
      </c>
      <c r="O62" s="1886" t="s">
        <v>1046</v>
      </c>
      <c r="P62" s="1887" t="s">
        <v>1549</v>
      </c>
      <c r="Q62" s="1888">
        <f ca="1">Q56+Q57</f>
        <v>1521591</v>
      </c>
      <c r="R62" s="1888" t="s">
        <v>1047</v>
      </c>
    </row>
    <row r="63" spans="1:18" s="1844" customFormat="1" ht="13.5" thickBot="1">
      <c r="A63" s="371"/>
      <c r="B63" s="1177"/>
      <c r="C63" s="29"/>
      <c r="D63" s="1187"/>
      <c r="E63" s="1171" t="s">
        <v>1447</v>
      </c>
      <c r="F63" s="347">
        <f t="shared" ca="1" si="0"/>
        <v>7134.51</v>
      </c>
      <c r="I63" s="1931" t="s">
        <v>1576</v>
      </c>
      <c r="J63" s="1932">
        <v>70</v>
      </c>
      <c r="K63" s="1932">
        <v>50</v>
      </c>
      <c r="L63" s="1932">
        <v>80</v>
      </c>
      <c r="M63" s="1934">
        <v>0.02</v>
      </c>
      <c r="O63" s="1871" t="s">
        <v>1577</v>
      </c>
      <c r="P63" s="1841"/>
      <c r="Q63" s="1841"/>
      <c r="R63" s="1841"/>
    </row>
    <row r="64" spans="1:18" s="1844" customFormat="1" ht="13.5" thickBot="1">
      <c r="A64" s="1203" t="s">
        <v>1039</v>
      </c>
      <c r="B64" s="1171" t="s">
        <v>1449</v>
      </c>
      <c r="C64" s="24">
        <f ca="1">ROUND(C57*F64,1)</f>
        <v>1277.0999999999999</v>
      </c>
      <c r="D64" s="1185" t="s">
        <v>1482</v>
      </c>
      <c r="E64" s="1171" t="s">
        <v>1422</v>
      </c>
      <c r="F64" s="373">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156.69999999999999</v>
      </c>
      <c r="D65" s="1185" t="s">
        <v>1454</v>
      </c>
      <c r="E65" s="1171" t="s">
        <v>1422</v>
      </c>
      <c r="F65" s="375">
        <f t="shared" ca="1" si="0"/>
        <v>2E-3</v>
      </c>
      <c r="I65" s="1931" t="s">
        <v>1579</v>
      </c>
      <c r="J65" s="1932">
        <v>40</v>
      </c>
      <c r="K65" s="1932">
        <v>30</v>
      </c>
      <c r="L65" s="1932">
        <v>50</v>
      </c>
      <c r="M65" s="1934">
        <v>0.02</v>
      </c>
      <c r="O65" s="1886" t="s">
        <v>1040</v>
      </c>
      <c r="P65" s="1887" t="s">
        <v>1528</v>
      </c>
      <c r="Q65" s="1888">
        <f ca="1">C40+J29</f>
        <v>1521591</v>
      </c>
      <c r="R65" s="1888" t="s">
        <v>1529</v>
      </c>
    </row>
    <row r="66" spans="1:18" s="1844" customFormat="1" ht="16.5" thickBot="1">
      <c r="A66" s="1203" t="s">
        <v>1504</v>
      </c>
      <c r="B66" s="1171" t="s">
        <v>1439</v>
      </c>
      <c r="C66" s="24">
        <f ca="1">ROUND(C48*F66,1)</f>
        <v>0</v>
      </c>
      <c r="D66" s="1185" t="s">
        <v>1459</v>
      </c>
      <c r="E66" s="1171" t="s">
        <v>1422</v>
      </c>
      <c r="F66" s="356">
        <f t="shared" ca="1" si="0"/>
        <v>0.02</v>
      </c>
      <c r="O66" s="1886" t="s">
        <v>1041</v>
      </c>
      <c r="P66" s="1887" t="s">
        <v>1558</v>
      </c>
      <c r="Q66" s="1888">
        <f ca="1">L60</f>
        <v>0</v>
      </c>
      <c r="R66" s="1888" t="s">
        <v>1581</v>
      </c>
    </row>
    <row r="67" spans="1:18" s="1844" customFormat="1" ht="16.5" thickBot="1">
      <c r="A67" s="1178" t="s">
        <v>1031</v>
      </c>
      <c r="B67" s="1188" t="s">
        <v>1463</v>
      </c>
      <c r="C67" s="360">
        <f ca="1">C48-C58</f>
        <v>-8607</v>
      </c>
      <c r="D67" s="1184" t="s">
        <v>1464</v>
      </c>
      <c r="E67" s="1189"/>
      <c r="F67" s="1190"/>
      <c r="O67" s="1896" t="s">
        <v>1042</v>
      </c>
      <c r="P67" s="1887" t="s">
        <v>1562</v>
      </c>
      <c r="Q67" s="1935">
        <f ca="1">L51</f>
        <v>702038</v>
      </c>
      <c r="R67" s="1888" t="s">
        <v>1582</v>
      </c>
    </row>
    <row r="68" spans="1:18" s="1844" customFormat="1" ht="16.5" thickBot="1">
      <c r="A68" s="1168" t="s">
        <v>1032</v>
      </c>
      <c r="B68" s="1169" t="s">
        <v>1485</v>
      </c>
      <c r="C68" s="345">
        <f ca="1">ROUND(C67*(1-((1+F70)/(1+F68))^F69)/(F68-F70),0)</f>
        <v>-140780</v>
      </c>
      <c r="D68" s="1186" t="s">
        <v>1469</v>
      </c>
      <c r="E68" s="1171" t="s">
        <v>1470</v>
      </c>
      <c r="F68" s="356">
        <f ca="1">F40</f>
        <v>0.05</v>
      </c>
      <c r="O68" s="1896" t="s">
        <v>1043</v>
      </c>
      <c r="P68" s="1936" t="s">
        <v>1583</v>
      </c>
      <c r="Q68" s="1888">
        <f ca="1">ROUND(Q69-Q70*Q71,0)</f>
        <v>42921</v>
      </c>
      <c r="R68" s="1888" t="s">
        <v>1051</v>
      </c>
    </row>
    <row r="69" spans="1:18" s="1844" customFormat="1" ht="13.5" thickBot="1">
      <c r="A69" s="1172"/>
      <c r="B69" s="1173"/>
      <c r="C69" s="350"/>
      <c r="D69" s="1191" t="s">
        <v>1473</v>
      </c>
      <c r="E69" s="1171" t="s">
        <v>1474</v>
      </c>
      <c r="F69" s="378">
        <f ca="1">F41</f>
        <v>34.9</v>
      </c>
      <c r="O69" s="1896" t="s">
        <v>1048</v>
      </c>
      <c r="P69" s="1936" t="s">
        <v>1584</v>
      </c>
      <c r="Q69" s="1888">
        <f ca="1">C39</f>
        <v>49579</v>
      </c>
      <c r="R69" s="1888" t="s">
        <v>1529</v>
      </c>
    </row>
    <row r="70" spans="1:18" s="1844" customFormat="1" ht="13.5" thickBot="1">
      <c r="A70" s="1175"/>
      <c r="B70" s="1176"/>
      <c r="C70" s="354"/>
      <c r="D70" s="1187"/>
      <c r="E70" s="1171" t="s">
        <v>1477</v>
      </c>
      <c r="F70" s="1277"/>
      <c r="O70" s="1896" t="s">
        <v>1049</v>
      </c>
      <c r="P70" s="1936" t="s">
        <v>1585</v>
      </c>
      <c r="Q70" s="1888">
        <f ca="1">C13</f>
        <v>78328</v>
      </c>
      <c r="R70" s="1888" t="s">
        <v>1529</v>
      </c>
    </row>
    <row r="71" spans="1:18" s="1844" customFormat="1" ht="13.5" thickBot="1">
      <c r="A71" s="1192" t="s">
        <v>1033</v>
      </c>
      <c r="B71" s="1193" t="s">
        <v>1487</v>
      </c>
      <c r="C71" s="381">
        <f ca="1">ROUND(C68*10000/F71,0)</f>
        <v>-13133</v>
      </c>
      <c r="D71" s="1194" t="s">
        <v>1488</v>
      </c>
      <c r="E71" s="1195" t="s">
        <v>1489</v>
      </c>
      <c r="F71" s="384">
        <f ca="1">F43</f>
        <v>107191.97</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5" t="s">
        <v>1506</v>
      </c>
      <c r="C75" s="386">
        <f ca="1">ROUND(C13*C76,0)</f>
        <v>6658</v>
      </c>
      <c r="D75" s="1844"/>
      <c r="E75" s="1844"/>
      <c r="F75" s="1844"/>
      <c r="K75" s="1870"/>
      <c r="L75" s="1844"/>
      <c r="O75" s="1886" t="s">
        <v>1046</v>
      </c>
      <c r="P75" s="1887" t="s">
        <v>1549</v>
      </c>
      <c r="Q75" s="1888">
        <f ca="1">Q65+Q66</f>
        <v>1521591</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0.86599999999999999</v>
      </c>
    </row>
    <row r="80" spans="1:18">
      <c r="B80" s="385" t="s">
        <v>1511</v>
      </c>
      <c r="C80" s="317">
        <f ca="1">ROUND(C75/C39,3)</f>
        <v>0.13400000000000001</v>
      </c>
    </row>
    <row r="81" spans="2:3">
      <c r="B81" s="313" t="s">
        <v>1512</v>
      </c>
      <c r="C81" s="281"/>
    </row>
    <row r="82" spans="2:3">
      <c r="B82" s="316" t="s">
        <v>1513</v>
      </c>
      <c r="C82" s="318">
        <f ca="1">1-C83</f>
        <v>0.94899999999999995</v>
      </c>
    </row>
    <row r="83" spans="2:3">
      <c r="B83" s="316" t="s">
        <v>1514</v>
      </c>
      <c r="C83" s="317">
        <f ca="1">ROUND(C13/C40,3)</f>
        <v>5.0999999999999997E-2</v>
      </c>
    </row>
  </sheetData>
  <sheetProtection password="C66D" sheet="1" objects="1" scenarios="1" formatCells="0" formatColumns="0" formatRows="0"/>
  <mergeCells count="3">
    <mergeCell ref="B6:B9"/>
    <mergeCell ref="I6:I9"/>
    <mergeCell ref="K53:L53"/>
  </mergeCells>
  <phoneticPr fontId="142" type="noConversion"/>
  <conditionalFormatting sqref="K55 K60">
    <cfRule type="expression" dxfId="151" priority="4">
      <formula>$L$48&gt;$J$51</formula>
    </cfRule>
  </conditionalFormatting>
  <conditionalFormatting sqref="I55 I60">
    <cfRule type="expression" dxfId="150" priority="5">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2297</v>
      </c>
      <c r="B1" s="1939"/>
      <c r="C1" s="2517" t="s">
        <v>2399</v>
      </c>
      <c r="D1" s="241"/>
      <c r="E1" s="241"/>
      <c r="F1" s="241"/>
      <c r="G1" s="1381">
        <f>MATCH(B1,'数据-取费表'!A6:A16,0)+5</f>
        <v>9</v>
      </c>
      <c r="H1" s="1284" t="str">
        <f>IF(ISERROR(FIND("住宅",B1)),"非住宅","住宅")</f>
        <v>非住宅</v>
      </c>
    </row>
    <row r="2" spans="1:8" s="243" customFormat="1" ht="18" customHeight="1">
      <c r="A2" s="244" t="s">
        <v>2298</v>
      </c>
      <c r="B2" s="245">
        <f ca="1">ROUND(IF(D2="——",C52/10000,C52/10000-E2),0)</f>
        <v>104397</v>
      </c>
      <c r="C2" s="242" t="s">
        <v>2299</v>
      </c>
      <c r="D2" s="2511" t="s">
        <v>70</v>
      </c>
      <c r="E2" s="1442" t="e">
        <f ca="1">SUMIF(INDIRECT("'"&amp;G2&amp;"'"&amp;"!A:A"),"承租人权益价值",INDIRECT("'"&amp;G2&amp;"'"&amp;"!c:c"))</f>
        <v>#REF!</v>
      </c>
      <c r="F2" s="2512" t="s">
        <v>2299</v>
      </c>
      <c r="G2" s="2513"/>
    </row>
    <row r="3" spans="1:8" s="243" customFormat="1" ht="18" customHeight="1" thickBot="1">
      <c r="A3" s="246" t="s">
        <v>2300</v>
      </c>
      <c r="B3" s="247">
        <f ca="1">ROUND(B2*10000/(IF(B1="",'数据-汇总表'!E3,INDIRECT("'数据-取费表'!k"&amp;$G$1))),0)</f>
        <v>7250</v>
      </c>
      <c r="C3" s="242" t="s">
        <v>2301</v>
      </c>
      <c r="D3" s="242"/>
      <c r="E3" s="242"/>
      <c r="F3" s="242"/>
      <c r="G3" s="242"/>
    </row>
    <row r="4" spans="1:8" s="251" customFormat="1" ht="15.75">
      <c r="A4" s="248" t="s">
        <v>2302</v>
      </c>
      <c r="B4" s="249"/>
      <c r="C4" s="249"/>
      <c r="D4" s="249"/>
      <c r="E4" s="249"/>
      <c r="F4" s="249"/>
      <c r="G4" s="250"/>
    </row>
    <row r="5" spans="1:8" s="257" customFormat="1" ht="13.5" customHeight="1">
      <c r="A5" s="298" t="s">
        <v>2303</v>
      </c>
      <c r="B5" s="253" t="s">
        <v>2304</v>
      </c>
      <c r="C5" s="254">
        <f ca="1">C6+C7+C8</f>
        <v>28799554</v>
      </c>
      <c r="D5" s="254" t="s">
        <v>2305</v>
      </c>
      <c r="E5" s="255" t="s">
        <v>2306</v>
      </c>
      <c r="F5" s="255" t="s">
        <v>2307</v>
      </c>
      <c r="G5" s="256"/>
    </row>
    <row r="6" spans="1:8" s="257" customFormat="1" ht="13.5" customHeight="1">
      <c r="A6" s="951" t="s">
        <v>2308</v>
      </c>
      <c r="B6" s="258" t="s">
        <v>2309</v>
      </c>
      <c r="C6" s="259"/>
      <c r="D6" s="260"/>
      <c r="E6" s="261"/>
      <c r="F6" s="261"/>
      <c r="G6" s="262"/>
    </row>
    <row r="7" spans="1:8" s="257" customFormat="1" ht="13.5" customHeight="1">
      <c r="A7" s="951" t="s">
        <v>2310</v>
      </c>
      <c r="B7" s="258" t="s">
        <v>2311</v>
      </c>
      <c r="C7" s="263">
        <f>ROUND(C6*F7,0)</f>
        <v>0</v>
      </c>
      <c r="D7" s="263"/>
      <c r="E7" s="261"/>
      <c r="F7" s="264">
        <f>'数据-取费表'!B48+'数据-取费表'!B49</f>
        <v>3.0499999999999999E-2</v>
      </c>
      <c r="G7" s="262"/>
    </row>
    <row r="8" spans="1:8" s="266" customFormat="1">
      <c r="A8" s="951" t="s">
        <v>2312</v>
      </c>
      <c r="B8" s="258" t="s">
        <v>2313</v>
      </c>
      <c r="C8" s="263">
        <f ca="1">IF(G8="已包含在土地购买价格中",0,C9+C10)</f>
        <v>28799554</v>
      </c>
      <c r="D8" s="265"/>
      <c r="E8" s="263"/>
      <c r="F8" s="264"/>
      <c r="G8" s="2514"/>
    </row>
    <row r="9" spans="1:8" s="257" customFormat="1" ht="13.5" customHeight="1">
      <c r="A9" s="952" t="s">
        <v>800</v>
      </c>
      <c r="B9" s="267" t="s">
        <v>2314</v>
      </c>
      <c r="C9" s="268">
        <f ca="1">ROUND(D9*E9,0)</f>
        <v>0</v>
      </c>
      <c r="D9" s="1034">
        <f ca="1">IF(B1="",'数据-汇总表'!E5,IF(INDIRECT("'数据-取费表'!c"&amp;$G$1)="住宅",INDIRECT("'数据-取费表'!k"&amp;$G$1),0))</f>
        <v>0</v>
      </c>
      <c r="E9" s="268">
        <f>'数据-取费表'!B27</f>
        <v>160</v>
      </c>
      <c r="F9" s="264"/>
      <c r="G9" s="269"/>
    </row>
    <row r="10" spans="1:8" s="257" customFormat="1" ht="13.5" customHeight="1">
      <c r="A10" s="952" t="s">
        <v>801</v>
      </c>
      <c r="B10" s="267" t="s">
        <v>2316</v>
      </c>
      <c r="C10" s="268">
        <f ca="1">ROUND(D10*E10,0)</f>
        <v>28799554</v>
      </c>
      <c r="D10" s="1034">
        <f ca="1">IF(B1="",'数据-汇总表'!E6,IF(INDIRECT("'数据-取费表'!c"&amp;$G$1)="住宅",INDIRECT("'数据-取费表'!s"&amp;$G$1),INDIRECT("'数据-取费表'!k"&amp;$G$1)+INDIRECT("'数据-取费表'!s"&amp;$G$1)))</f>
        <v>143997.77000000002</v>
      </c>
      <c r="E10" s="268">
        <f>'数据-取费表'!B28</f>
        <v>200</v>
      </c>
      <c r="F10" s="264"/>
      <c r="G10" s="269"/>
    </row>
    <row r="11" spans="1:8" s="257" customFormat="1" ht="13.5" hidden="1" customHeight="1">
      <c r="A11" s="270" t="s">
        <v>7</v>
      </c>
      <c r="B11" s="258" t="s">
        <v>2317</v>
      </c>
      <c r="C11" s="254"/>
      <c r="D11" s="1036"/>
      <c r="E11" s="261"/>
      <c r="F11" s="261"/>
      <c r="G11" s="262"/>
    </row>
    <row r="12" spans="1:8" s="257" customFormat="1" ht="13.5" hidden="1" customHeight="1">
      <c r="A12" s="270" t="s">
        <v>8</v>
      </c>
      <c r="B12" s="258" t="s">
        <v>2400</v>
      </c>
      <c r="C12" s="254">
        <v>0</v>
      </c>
      <c r="D12" s="1036"/>
      <c r="E12" s="271"/>
      <c r="F12" s="264">
        <v>3.0499999999999999E-2</v>
      </c>
      <c r="G12" s="262"/>
    </row>
    <row r="13" spans="1:8" s="257" customFormat="1" ht="13.5" hidden="1" customHeight="1">
      <c r="A13" s="270" t="s">
        <v>9</v>
      </c>
      <c r="B13" s="258" t="s">
        <v>2401</v>
      </c>
      <c r="C13" s="254"/>
      <c r="D13" s="1036"/>
      <c r="E13" s="261"/>
      <c r="F13" s="261"/>
      <c r="G13" s="262"/>
    </row>
    <row r="14" spans="1:8" s="257" customFormat="1" ht="13.5" hidden="1" customHeight="1">
      <c r="A14" s="270" t="s">
        <v>10</v>
      </c>
      <c r="B14" s="258" t="s">
        <v>2313</v>
      </c>
      <c r="C14" s="254"/>
      <c r="D14" s="1036"/>
      <c r="E14" s="261"/>
      <c r="F14" s="261"/>
      <c r="G14" s="262" t="s">
        <v>2402</v>
      </c>
    </row>
    <row r="15" spans="1:8" s="257" customFormat="1" ht="13.5" hidden="1" customHeight="1">
      <c r="A15" s="270" t="s">
        <v>11</v>
      </c>
      <c r="B15" s="258" t="s">
        <v>2403</v>
      </c>
      <c r="C15" s="263"/>
      <c r="D15" s="1036"/>
      <c r="E15" s="261"/>
      <c r="F15" s="261"/>
      <c r="G15" s="262" t="s">
        <v>2404</v>
      </c>
    </row>
    <row r="16" spans="1:8" s="257" customFormat="1" ht="13.5" hidden="1" customHeight="1">
      <c r="A16" s="270" t="s">
        <v>12</v>
      </c>
      <c r="B16" s="258" t="s">
        <v>2313</v>
      </c>
      <c r="C16" s="263"/>
      <c r="D16" s="1036"/>
      <c r="E16" s="261"/>
      <c r="F16" s="261"/>
      <c r="G16" s="262"/>
    </row>
    <row r="17" spans="1:7" s="257" customFormat="1" ht="13.5" hidden="1" customHeight="1">
      <c r="A17" s="270" t="s">
        <v>13</v>
      </c>
      <c r="B17" s="258" t="s">
        <v>2405</v>
      </c>
      <c r="C17" s="272"/>
      <c r="D17" s="1037"/>
      <c r="E17" s="272"/>
      <c r="F17" s="272"/>
      <c r="G17" s="262" t="s">
        <v>2404</v>
      </c>
    </row>
    <row r="18" spans="1:7" s="257" customFormat="1" ht="13.5" hidden="1" customHeight="1">
      <c r="A18" s="270" t="s">
        <v>14</v>
      </c>
      <c r="B18" s="258" t="s">
        <v>2406</v>
      </c>
      <c r="C18" s="263">
        <v>0</v>
      </c>
      <c r="D18" s="1036"/>
      <c r="E18" s="261"/>
      <c r="F18" s="264">
        <v>3.0499999999999999E-2</v>
      </c>
      <c r="G18" s="262" t="s">
        <v>2407</v>
      </c>
    </row>
    <row r="19" spans="1:7" s="266" customFormat="1" ht="13.5" customHeight="1">
      <c r="A19" s="298" t="s">
        <v>2408</v>
      </c>
      <c r="B19" s="253" t="s">
        <v>2409</v>
      </c>
      <c r="C19" s="254">
        <f ca="1">IF(G19="已包含在土地取得成本中","0",ROUND(D19*E19,0))</f>
        <v>28799554</v>
      </c>
      <c r="D19" s="1038">
        <f ca="1">D9+D10</f>
        <v>143997.77000000002</v>
      </c>
      <c r="E19" s="254">
        <f>'数据-取费表'!B31</f>
        <v>200</v>
      </c>
      <c r="F19" s="274"/>
      <c r="G19" s="2514"/>
    </row>
    <row r="20" spans="1:7" s="257" customFormat="1" ht="13.5" customHeight="1">
      <c r="A20" s="298" t="s">
        <v>2410</v>
      </c>
      <c r="B20" s="253" t="s">
        <v>2411</v>
      </c>
      <c r="C20" s="275">
        <f ca="1">ROUND((C5+C19)*F20,0)</f>
        <v>1727973</v>
      </c>
      <c r="D20" s="275"/>
      <c r="E20" s="275"/>
      <c r="F20" s="276">
        <f>'数据-取费表'!B37</f>
        <v>0.03</v>
      </c>
      <c r="G20" s="277" t="s">
        <v>2412</v>
      </c>
    </row>
    <row r="21" spans="1:7" s="257" customFormat="1" ht="13.5" customHeight="1">
      <c r="A21" s="298" t="s">
        <v>2413</v>
      </c>
      <c r="B21" s="253" t="s">
        <v>2414</v>
      </c>
      <c r="C21" s="278">
        <f>F21</f>
        <v>0.02</v>
      </c>
      <c r="D21" s="279" t="s">
        <v>2415</v>
      </c>
      <c r="E21" s="275"/>
      <c r="F21" s="276">
        <f>'数据-取费表'!B38</f>
        <v>0.02</v>
      </c>
      <c r="G21" s="277" t="s">
        <v>2416</v>
      </c>
    </row>
    <row r="22" spans="1:7" s="257" customFormat="1" ht="13.5" customHeight="1">
      <c r="A22" s="298" t="s">
        <v>2417</v>
      </c>
      <c r="B22" s="253" t="s">
        <v>2418</v>
      </c>
      <c r="C22" s="1382">
        <f ca="1">ROUND(SUM(C23:C25),0)</f>
        <v>8728489</v>
      </c>
      <c r="D22" s="278">
        <f ca="1">C26</f>
        <v>1.4E-3</v>
      </c>
      <c r="E22" s="279" t="s">
        <v>2415</v>
      </c>
      <c r="F22" s="280">
        <f ca="1">'数据-取费表'!B40</f>
        <v>4.7500000000000001E-2</v>
      </c>
      <c r="G22" s="277" t="str">
        <f>IF('数据-取费表'!B22&lt;=1,"单利计息","复利计息")</f>
        <v>复利计息</v>
      </c>
    </row>
    <row r="23" spans="1:7" s="257" customFormat="1" ht="13.5" customHeight="1">
      <c r="A23" s="953" t="s">
        <v>2308</v>
      </c>
      <c r="B23" s="258" t="s">
        <v>2419</v>
      </c>
      <c r="C23" s="1383">
        <f ca="1">ROUND(IF('数据-取费表'!B22&lt;=1,C5*F22*'数据-取费表'!B22,C5*(POWER((1+F22),'数据-取费表'!B22)-1)),0)</f>
        <v>4301960</v>
      </c>
      <c r="D23" s="281"/>
      <c r="E23" s="281"/>
      <c r="F23" s="282"/>
      <c r="G23" s="283" t="s">
        <v>2420</v>
      </c>
    </row>
    <row r="24" spans="1:7" s="257" customFormat="1" ht="13.5" customHeight="1">
      <c r="A24" s="953" t="s">
        <v>2310</v>
      </c>
      <c r="B24" s="258" t="s">
        <v>2421</v>
      </c>
      <c r="C24" s="1383">
        <f ca="1">ROUND(IF('数据-取费表'!B22&lt;=1,C19*F22*('数据-取费表'!B19/2+'数据-取费表'!B20),C19*(POWER((1+F22),('数据-取费表'!B19/2+'数据-取费表'!B20))-1)),0)</f>
        <v>4301960</v>
      </c>
      <c r="D24" s="281"/>
      <c r="E24" s="281"/>
      <c r="F24" s="282"/>
      <c r="G24" s="283" t="s">
        <v>2422</v>
      </c>
    </row>
    <row r="25" spans="1:7" s="257" customFormat="1" ht="24">
      <c r="A25" s="953" t="s">
        <v>2312</v>
      </c>
      <c r="B25" s="258" t="s">
        <v>2423</v>
      </c>
      <c r="C25" s="1383">
        <f ca="1">ROUND(IF('数据-取费表'!B22&lt;=1,C20*F22*'数据-取费表'!B22/2,C20*(POWER((1+F22),'数据-取费表'!B22/2)-1)),0)</f>
        <v>124569</v>
      </c>
      <c r="D25" s="281"/>
      <c r="E25" s="284"/>
      <c r="F25" s="282"/>
      <c r="G25" s="285" t="s">
        <v>2424</v>
      </c>
    </row>
    <row r="26" spans="1:7" s="257" customFormat="1">
      <c r="A26" s="953" t="s">
        <v>795</v>
      </c>
      <c r="B26" s="258" t="s">
        <v>2347</v>
      </c>
      <c r="C26" s="281">
        <f ca="1">ROUND(IF('数据-取费表'!B22&lt;=1,F21*F22*'数据-取费表'!B22/2,F21*(POWER((1+F22),'数据-取费表'!B22/2)-1)),4)</f>
        <v>1.4E-3</v>
      </c>
      <c r="D26" s="281"/>
      <c r="E26" s="284"/>
      <c r="F26" s="282"/>
      <c r="G26" s="286"/>
    </row>
    <row r="27" spans="1:7" s="257" customFormat="1" ht="24.75">
      <c r="A27" s="298" t="s">
        <v>2348</v>
      </c>
      <c r="B27" s="287" t="s">
        <v>2349</v>
      </c>
      <c r="C27" s="288">
        <f ca="1">C28</f>
        <v>11272145</v>
      </c>
      <c r="D27" s="278">
        <f ca="1">C29</f>
        <v>3.8E-3</v>
      </c>
      <c r="E27" s="279" t="s">
        <v>2350</v>
      </c>
      <c r="F27" s="289">
        <f ca="1">IF(B1="",'数据-取费表'!Q16,INDIRECT("'数据-取费表'!q"&amp;$G$1))</f>
        <v>0.19</v>
      </c>
      <c r="G27" s="290" t="s">
        <v>2351</v>
      </c>
    </row>
    <row r="28" spans="1:7" s="257" customFormat="1" ht="13.5" customHeight="1">
      <c r="A28" s="953" t="s">
        <v>791</v>
      </c>
      <c r="B28" s="291" t="s">
        <v>2352</v>
      </c>
      <c r="C28" s="292">
        <f ca="1">ROUND((C5+C19+C20)*F27,0)</f>
        <v>11272145</v>
      </c>
      <c r="D28" s="278"/>
      <c r="E28" s="279"/>
      <c r="F28" s="289"/>
      <c r="G28" s="290"/>
    </row>
    <row r="29" spans="1:7" s="257" customFormat="1" ht="13.5" customHeight="1">
      <c r="A29" s="953" t="s">
        <v>792</v>
      </c>
      <c r="B29" s="291" t="s">
        <v>2353</v>
      </c>
      <c r="C29" s="281">
        <f ca="1">ROUND(C21*F27,4)</f>
        <v>3.8E-3</v>
      </c>
      <c r="D29" s="278"/>
      <c r="E29" s="279"/>
      <c r="F29" s="289"/>
      <c r="G29" s="290"/>
    </row>
    <row r="30" spans="1:7" s="257" customFormat="1" ht="13.5" customHeight="1">
      <c r="A30" s="298" t="s">
        <v>2354</v>
      </c>
      <c r="B30" s="253" t="s">
        <v>2355</v>
      </c>
      <c r="C30" s="278">
        <f>ROUND(F30/(1+'数据-取费表'!C42),4)</f>
        <v>5.33E-2</v>
      </c>
      <c r="D30" s="279" t="s">
        <v>2350</v>
      </c>
      <c r="E30" s="284"/>
      <c r="F30" s="280">
        <f>'数据-取费表'!B41</f>
        <v>5.6000000000000001E-2</v>
      </c>
      <c r="G30" s="277" t="s">
        <v>2356</v>
      </c>
    </row>
    <row r="31" spans="1:7" ht="16.5" customHeight="1">
      <c r="A31" s="252">
        <v>1</v>
      </c>
      <c r="B31" s="253" t="s">
        <v>2357</v>
      </c>
      <c r="C31" s="254">
        <f ca="1">ROUND((C5+C19+C20+C22+C27)/(1-C21-D22-D27-C30),0)</f>
        <v>86085421</v>
      </c>
      <c r="D31" s="273"/>
      <c r="E31" s="254"/>
      <c r="F31" s="293"/>
      <c r="G31" s="277" t="s">
        <v>2358</v>
      </c>
    </row>
    <row r="32" spans="1:7" s="251" customFormat="1" ht="15.75">
      <c r="A32" s="295" t="s">
        <v>2425</v>
      </c>
      <c r="B32" s="296"/>
      <c r="C32" s="296"/>
      <c r="D32" s="296"/>
      <c r="E32" s="296"/>
      <c r="F32" s="296"/>
      <c r="G32" s="297"/>
    </row>
    <row r="33" spans="1:7" s="257" customFormat="1" ht="13.5" customHeight="1">
      <c r="A33" s="298" t="s">
        <v>782</v>
      </c>
      <c r="B33" s="253" t="s">
        <v>2426</v>
      </c>
      <c r="C33" s="299">
        <f ca="1">SUM(C34:C38)</f>
        <v>738061017</v>
      </c>
      <c r="D33" s="275"/>
      <c r="E33" s="255"/>
      <c r="F33" s="284"/>
      <c r="G33" s="277"/>
    </row>
    <row r="34" spans="1:7" s="301" customFormat="1" ht="13.5" customHeight="1">
      <c r="A34" s="953" t="s">
        <v>791</v>
      </c>
      <c r="B34" s="258" t="s">
        <v>2361</v>
      </c>
      <c r="C34" s="263">
        <f ca="1">ROUND(IF(B1="",SUMPRODUCT('数据-取费表'!K6:K14,'数据-取费表'!L6:L14),INDIRECT("'数据-取费表'!l"&amp;$G$1)*INDIRECT("'数据-取费表'!k"&amp;$G$1)+'数据-取费表'!L14*INDIRECT("'数据-取费表'!S"&amp;$G$1)),0)</f>
        <v>665973205</v>
      </c>
      <c r="D34" s="260"/>
      <c r="E34" s="263"/>
      <c r="F34" s="300"/>
      <c r="G34" s="262"/>
    </row>
    <row r="35" spans="1:7" ht="13.5" customHeight="1">
      <c r="A35" s="953" t="s">
        <v>796</v>
      </c>
      <c r="B35" s="258" t="s">
        <v>2363</v>
      </c>
      <c r="C35" s="263">
        <f ca="1">ROUND(C34*F35,0)</f>
        <v>33298660</v>
      </c>
      <c r="D35" s="263"/>
      <c r="E35" s="263"/>
      <c r="F35" s="302">
        <f>'数据-取费表'!B33</f>
        <v>0.05</v>
      </c>
      <c r="G35" s="262" t="s">
        <v>2364</v>
      </c>
    </row>
    <row r="36" spans="1:7" ht="24">
      <c r="A36" s="953" t="s">
        <v>797</v>
      </c>
      <c r="B36" s="258" t="s">
        <v>2365</v>
      </c>
      <c r="C36" s="263">
        <f ca="1">ROUND(IF(B1="",SUM('数据-取费表'!AP6:AP13)*F36,IF(INDIRECT("'数据-取费表'!c"&amp;$G$1)="住宅",INDIRECT("'数据-取费表'!k"&amp;$G$1)*INDIRECT("'数据-取费表'!l"&amp;$G$1)*F36,0)),0)</f>
        <v>0</v>
      </c>
      <c r="D36" s="263"/>
      <c r="E36" s="263"/>
      <c r="F36" s="302">
        <f>'数据-取费表'!B34</f>
        <v>0</v>
      </c>
      <c r="G36" s="303" t="s">
        <v>2366</v>
      </c>
    </row>
    <row r="37" spans="1:7" s="301" customFormat="1" ht="13.5" customHeight="1">
      <c r="A37" s="953" t="s">
        <v>798</v>
      </c>
      <c r="B37" s="258" t="s">
        <v>2367</v>
      </c>
      <c r="C37" s="292">
        <f ca="1">ROUND(E37*D37,0)</f>
        <v>28799554</v>
      </c>
      <c r="D37" s="260">
        <f ca="1">D19</f>
        <v>143997.77000000002</v>
      </c>
      <c r="E37" s="292">
        <f>'数据-取费表'!B35</f>
        <v>200</v>
      </c>
      <c r="F37" s="302"/>
      <c r="G37" s="304"/>
    </row>
    <row r="38" spans="1:7" ht="13.5" customHeight="1">
      <c r="A38" s="953" t="s">
        <v>799</v>
      </c>
      <c r="B38" s="258" t="s">
        <v>2369</v>
      </c>
      <c r="C38" s="263">
        <f ca="1">ROUND(C34*F38,0)</f>
        <v>9989598</v>
      </c>
      <c r="D38" s="263"/>
      <c r="E38" s="263"/>
      <c r="F38" s="302">
        <f>'数据-取费表'!B36</f>
        <v>1.4999999999999999E-2</v>
      </c>
      <c r="G38" s="262" t="s">
        <v>2364</v>
      </c>
    </row>
    <row r="39" spans="1:7" s="257" customFormat="1" ht="13.5" customHeight="1">
      <c r="A39" s="298" t="s">
        <v>2370</v>
      </c>
      <c r="B39" s="253" t="s">
        <v>2371</v>
      </c>
      <c r="C39" s="275">
        <f ca="1">ROUND(C33*F20,0)</f>
        <v>22141831</v>
      </c>
      <c r="D39" s="275"/>
      <c r="E39" s="275"/>
      <c r="F39" s="276"/>
      <c r="G39" s="277" t="s">
        <v>2372</v>
      </c>
    </row>
    <row r="40" spans="1:7" s="257" customFormat="1" ht="13.5" customHeight="1">
      <c r="A40" s="298" t="s">
        <v>2373</v>
      </c>
      <c r="B40" s="253" t="s">
        <v>2374</v>
      </c>
      <c r="C40" s="1730">
        <f>F21</f>
        <v>0.02</v>
      </c>
      <c r="D40" s="279" t="s">
        <v>2375</v>
      </c>
      <c r="E40" s="275"/>
      <c r="F40" s="276"/>
      <c r="G40" s="277" t="s">
        <v>2376</v>
      </c>
    </row>
    <row r="41" spans="1:7" s="257" customFormat="1" ht="13.5" customHeight="1">
      <c r="A41" s="298" t="s">
        <v>2377</v>
      </c>
      <c r="B41" s="253" t="s">
        <v>2378</v>
      </c>
      <c r="C41" s="275">
        <f ca="1">ROUND(SUM(C42:C43),0)</f>
        <v>54802653</v>
      </c>
      <c r="D41" s="278">
        <f ca="1">C44</f>
        <v>1.4E-3</v>
      </c>
      <c r="E41" s="279" t="s">
        <v>2375</v>
      </c>
      <c r="F41" s="280"/>
      <c r="G41" s="277" t="str">
        <f>IF('数据-取费表'!B22&lt;=1,"单利计息","复利计息")</f>
        <v>复利计息</v>
      </c>
    </row>
    <row r="42" spans="1:7" ht="13.5" customHeight="1">
      <c r="A42" s="953" t="s">
        <v>791</v>
      </c>
      <c r="B42" s="258" t="s">
        <v>2379</v>
      </c>
      <c r="C42" s="281">
        <f ca="1">ROUND(IF('数据-取费表'!B22&lt;=1,C33*F22*'数据-取费表'!B20/2,C33*(POWER((1+F22),'数据-取费表'!B20/2)-1)),0)</f>
        <v>53206459</v>
      </c>
      <c r="D42" s="281"/>
      <c r="E42" s="281"/>
      <c r="F42" s="282"/>
      <c r="G42" s="3348" t="s">
        <v>2427</v>
      </c>
    </row>
    <row r="43" spans="1:7" ht="13.5" customHeight="1">
      <c r="A43" s="953" t="s">
        <v>792</v>
      </c>
      <c r="B43" s="258" t="s">
        <v>2381</v>
      </c>
      <c r="C43" s="281">
        <f ca="1">ROUND(IF('数据-取费表'!B22&lt;=1,C39*F22*'数据-取费表'!B20/2,C39*(POWER((1+F22),'数据-取费表'!B20/2)-1)),0)</f>
        <v>1596194</v>
      </c>
      <c r="D43" s="281"/>
      <c r="E43" s="281"/>
      <c r="F43" s="282"/>
      <c r="G43" s="3349"/>
    </row>
    <row r="44" spans="1:7" ht="13.5" customHeight="1">
      <c r="A44" s="953" t="s">
        <v>793</v>
      </c>
      <c r="B44" s="258" t="s">
        <v>2382</v>
      </c>
      <c r="C44" s="281">
        <f ca="1">ROUND(IF('数据-取费表'!B22&lt;=1,C40*F22*'数据-取费表'!B20/2,C40*(POWER((1+F22),'数据-取费表'!B20/2)-1)),4)</f>
        <v>1.4E-3</v>
      </c>
      <c r="D44" s="281"/>
      <c r="E44" s="281"/>
      <c r="F44" s="282"/>
      <c r="G44" s="3350"/>
    </row>
    <row r="45" spans="1:7" s="257" customFormat="1" ht="13.5" customHeight="1">
      <c r="A45" s="298" t="s">
        <v>2383</v>
      </c>
      <c r="B45" s="287" t="s">
        <v>2349</v>
      </c>
      <c r="C45" s="288">
        <f ca="1">C46</f>
        <v>144438541</v>
      </c>
      <c r="D45" s="278">
        <f ca="1">C47</f>
        <v>3.8E-3</v>
      </c>
      <c r="E45" s="279" t="s">
        <v>2375</v>
      </c>
      <c r="F45" s="289"/>
      <c r="G45" s="290" t="s">
        <v>2384</v>
      </c>
    </row>
    <row r="46" spans="1:7" s="257" customFormat="1" ht="13.5" customHeight="1">
      <c r="A46" s="953" t="s">
        <v>791</v>
      </c>
      <c r="B46" s="291" t="s">
        <v>2385</v>
      </c>
      <c r="C46" s="292">
        <f ca="1">ROUND((C33+C39)*F27,0)</f>
        <v>144438541</v>
      </c>
      <c r="D46" s="306"/>
      <c r="E46" s="279"/>
      <c r="F46" s="289"/>
      <c r="G46" s="290"/>
    </row>
    <row r="47" spans="1:7" s="257" customFormat="1" ht="13.5" customHeight="1">
      <c r="A47" s="953" t="s">
        <v>792</v>
      </c>
      <c r="B47" s="291" t="s">
        <v>2386</v>
      </c>
      <c r="C47" s="281">
        <f ca="1">ROUND(C40*F27,4)</f>
        <v>3.8E-3</v>
      </c>
      <c r="D47" s="306"/>
      <c r="E47" s="279"/>
      <c r="F47" s="289"/>
      <c r="G47" s="290"/>
    </row>
    <row r="48" spans="1:7" s="257" customFormat="1" ht="13.5" customHeight="1">
      <c r="A48" s="298" t="s">
        <v>2348</v>
      </c>
      <c r="B48" s="253" t="s">
        <v>2387</v>
      </c>
      <c r="C48" s="305">
        <f>ROUND(F30/(1+'数据-取费表'!C42),4)</f>
        <v>5.33E-2</v>
      </c>
      <c r="D48" s="279" t="s">
        <v>2375</v>
      </c>
      <c r="E48" s="275"/>
      <c r="F48" s="280"/>
      <c r="G48" s="277" t="s">
        <v>2388</v>
      </c>
    </row>
    <row r="49" spans="1:7" ht="16.5" customHeight="1">
      <c r="A49" s="298" t="s">
        <v>2354</v>
      </c>
      <c r="B49" s="253" t="s">
        <v>2428</v>
      </c>
      <c r="C49" s="275">
        <f ca="1">ROUND((C33+C39+C41+C45)/(1-C40-D41-D45-C48),0)</f>
        <v>1041176388</v>
      </c>
      <c r="D49" s="275"/>
      <c r="E49" s="275"/>
      <c r="F49" s="307"/>
      <c r="G49" s="277" t="s">
        <v>2390</v>
      </c>
    </row>
    <row r="50" spans="1:7" s="301" customFormat="1">
      <c r="A50" s="298" t="s">
        <v>2391</v>
      </c>
      <c r="B50" s="253" t="s">
        <v>2392</v>
      </c>
      <c r="C50" s="275"/>
      <c r="D50" s="275"/>
      <c r="E50" s="275"/>
      <c r="F50" s="307">
        <f>IF('数据-取费表'!B24=0,'数据-取费表'!N16,1)</f>
        <v>0.92</v>
      </c>
      <c r="G50" s="290"/>
    </row>
    <row r="51" spans="1:7" ht="16.5" customHeight="1">
      <c r="A51" s="298" t="s">
        <v>2394</v>
      </c>
      <c r="B51" s="253" t="s">
        <v>2429</v>
      </c>
      <c r="C51" s="275">
        <f ca="1">ROUND(C49*F50,0)</f>
        <v>957882277</v>
      </c>
      <c r="D51" s="275"/>
      <c r="E51" s="275"/>
      <c r="F51" s="307"/>
      <c r="G51" s="277" t="s">
        <v>2396</v>
      </c>
    </row>
    <row r="52" spans="1:7" s="251" customFormat="1" ht="16.5" thickBot="1">
      <c r="A52" s="308" t="s">
        <v>2397</v>
      </c>
      <c r="B52" s="309"/>
      <c r="C52" s="310">
        <f ca="1">C31+C51</f>
        <v>1043967698</v>
      </c>
      <c r="D52" s="309"/>
      <c r="E52" s="309"/>
      <c r="F52" s="309"/>
      <c r="G52" s="311"/>
    </row>
    <row r="55" spans="1:7" ht="15">
      <c r="B55" s="313" t="s">
        <v>2398</v>
      </c>
      <c r="C55" s="314"/>
    </row>
    <row r="56" spans="1:7">
      <c r="B56" s="316" t="s">
        <v>1513</v>
      </c>
      <c r="C56" s="318">
        <f ca="1">1-C57</f>
        <v>8.1999999999999962E-2</v>
      </c>
    </row>
    <row r="57" spans="1:7">
      <c r="B57" s="316" t="s">
        <v>1514</v>
      </c>
      <c r="C57" s="317">
        <f ca="1">ROUND(C51/C52,3)</f>
        <v>0.91800000000000004</v>
      </c>
    </row>
  </sheetData>
  <sheetProtection password="C66D"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2430</v>
      </c>
      <c r="B1" s="1583"/>
      <c r="C1" s="1584"/>
      <c r="D1" s="1582"/>
      <c r="E1" s="319"/>
      <c r="F1" s="319"/>
      <c r="G1" s="1583"/>
      <c r="H1" s="319"/>
      <c r="I1" s="319"/>
      <c r="J1" s="319"/>
      <c r="K1" s="319">
        <f>MATCH(C1,'数据-取费表'!A6:A16,0)+5</f>
        <v>9</v>
      </c>
    </row>
    <row r="2" spans="1:33" ht="18" customHeight="1">
      <c r="A2" s="244" t="s">
        <v>2298</v>
      </c>
      <c r="B2" s="247">
        <f ca="1">C32</f>
        <v>-2863</v>
      </c>
      <c r="C2" s="319" t="s">
        <v>2431</v>
      </c>
      <c r="D2" s="319"/>
      <c r="E2" s="319"/>
      <c r="F2" s="319"/>
      <c r="G2" s="319"/>
      <c r="H2" s="319"/>
      <c r="I2" s="319"/>
      <c r="J2" s="319"/>
      <c r="K2" s="319"/>
    </row>
    <row r="3" spans="1:33" ht="18" customHeight="1" thickBot="1">
      <c r="A3" s="246" t="s">
        <v>2300</v>
      </c>
      <c r="B3" s="247">
        <f ca="1">ROUND(B2*10000/IF(C1="",'数据-汇总表'!E3,INDIRECT("'数据-取费表'!K"&amp;$K$1)),0)</f>
        <v>-199</v>
      </c>
      <c r="C3" s="319" t="s">
        <v>2432</v>
      </c>
      <c r="D3" s="319"/>
      <c r="E3" s="319"/>
      <c r="F3" s="319"/>
      <c r="G3" s="319"/>
      <c r="H3" s="319"/>
      <c r="I3" s="319"/>
      <c r="J3" s="319"/>
      <c r="K3" s="319"/>
    </row>
    <row r="4" spans="1:33" s="958" customFormat="1" ht="16.5" customHeight="1">
      <c r="A4" s="955" t="s">
        <v>2433</v>
      </c>
      <c r="B4" s="956"/>
      <c r="C4" s="998">
        <f>SUM(C8:K8)</f>
        <v>0</v>
      </c>
      <c r="D4" s="956"/>
      <c r="E4" s="956"/>
      <c r="F4" s="956"/>
      <c r="G4" s="956"/>
      <c r="H4" s="956"/>
      <c r="I4" s="956"/>
      <c r="J4" s="956"/>
      <c r="K4" s="957"/>
    </row>
    <row r="5" spans="1:33" s="962" customFormat="1" ht="24.75">
      <c r="A5" s="959" t="s">
        <v>2434</v>
      </c>
      <c r="B5" s="960" t="s">
        <v>2435</v>
      </c>
      <c r="C5" s="2518" t="s">
        <v>2436</v>
      </c>
      <c r="D5" s="2518" t="s">
        <v>2437</v>
      </c>
      <c r="E5" s="2518" t="s">
        <v>2438</v>
      </c>
      <c r="F5" s="2518"/>
      <c r="G5" s="2518"/>
      <c r="H5" s="2518"/>
      <c r="I5" s="2518"/>
      <c r="J5" s="2518"/>
      <c r="K5" s="2518"/>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2439</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2440</v>
      </c>
      <c r="B7" s="139" t="s">
        <v>2441</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19" t="s">
        <v>2442</v>
      </c>
      <c r="B8" s="176" t="s">
        <v>2443</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2444</v>
      </c>
      <c r="B9" s="956"/>
      <c r="C9" s="956"/>
      <c r="D9" s="956"/>
      <c r="E9" s="956"/>
      <c r="F9" s="956"/>
      <c r="G9" s="956"/>
      <c r="H9" s="956"/>
      <c r="I9" s="956"/>
      <c r="J9" s="956"/>
      <c r="K9" s="957"/>
    </row>
    <row r="10" spans="1:33" s="972" customFormat="1" ht="13.5" customHeight="1">
      <c r="A10" s="959" t="s">
        <v>2445</v>
      </c>
      <c r="B10" s="8" t="s">
        <v>2446</v>
      </c>
      <c r="C10" s="968" t="s">
        <v>2447</v>
      </c>
      <c r="D10" s="969" t="s">
        <v>2448</v>
      </c>
      <c r="E10" s="969" t="s">
        <v>2449</v>
      </c>
      <c r="F10" s="969" t="s">
        <v>2450</v>
      </c>
      <c r="G10" s="8"/>
      <c r="H10" s="970"/>
      <c r="I10" s="970"/>
      <c r="J10" s="970"/>
      <c r="K10" s="971"/>
    </row>
    <row r="11" spans="1:33" s="977" customFormat="1" ht="13.5" customHeight="1">
      <c r="A11" s="973" t="s">
        <v>1334</v>
      </c>
      <c r="B11" s="974" t="s">
        <v>2451</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2452</v>
      </c>
      <c r="C12" s="24">
        <f ca="1">ROUND(C11*F12,0)</f>
        <v>0</v>
      </c>
      <c r="D12" s="975"/>
      <c r="E12" s="374"/>
      <c r="F12" s="978">
        <f>'数据-取费表'!B33</f>
        <v>0.05</v>
      </c>
      <c r="G12" s="8" t="s">
        <v>2453</v>
      </c>
      <c r="H12" s="970"/>
      <c r="I12" s="970"/>
      <c r="J12" s="970"/>
      <c r="K12" s="971"/>
    </row>
    <row r="13" spans="1:33" s="977" customFormat="1" ht="13.5" customHeight="1">
      <c r="A13" s="973" t="s">
        <v>1336</v>
      </c>
      <c r="B13" s="974" t="s">
        <v>2454</v>
      </c>
      <c r="C13" s="24">
        <f ca="1">ROUND(IF(C1="",SUMIF('数据-取费表'!C:C,"住宅",'数据-取费表'!P:P)*F13,IF(INDIRECT("'数据-取费表'!c"&amp;$K$1)="住宅",INDIRECT("'数据-取费表'!P"&amp;$K$1)*F13,0)),0)</f>
        <v>0</v>
      </c>
      <c r="D13" s="1035"/>
      <c r="E13" s="374"/>
      <c r="F13" s="978">
        <f>'数据-取费表'!B34</f>
        <v>0</v>
      </c>
      <c r="G13" s="8" t="s">
        <v>2455</v>
      </c>
      <c r="H13" s="970"/>
      <c r="I13" s="970"/>
      <c r="J13" s="970"/>
      <c r="K13" s="971"/>
    </row>
    <row r="14" spans="1:33" s="979" customFormat="1" ht="13.5" customHeight="1">
      <c r="A14" s="973" t="s">
        <v>1337</v>
      </c>
      <c r="B14" s="974" t="s">
        <v>2456</v>
      </c>
      <c r="C14" s="24">
        <f ca="1">ROUND(D14*E14*F11/10000,0)</f>
        <v>0</v>
      </c>
      <c r="D14" s="1035">
        <f ca="1">IF(C1="",'数据-汇总表'!E3,INDIRECT("'数据-取费表'!K"&amp;$K$1)+INDIRECT("'数据-取费表'!S"&amp;$K$1))</f>
        <v>143997.77000000002</v>
      </c>
      <c r="E14" s="24">
        <f>'数据-取费表'!B35</f>
        <v>200</v>
      </c>
      <c r="F14" s="978"/>
      <c r="G14" s="8" t="s">
        <v>2457</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2458</v>
      </c>
      <c r="C15" s="985">
        <f ca="1">ROUND(C11*F15,0)</f>
        <v>0</v>
      </c>
      <c r="D15" s="980"/>
      <c r="E15" s="985"/>
      <c r="F15" s="986">
        <f>'数据-取费表'!B36</f>
        <v>1.4999999999999999E-2</v>
      </c>
      <c r="G15" s="139" t="s">
        <v>2459</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2460</v>
      </c>
      <c r="C16" s="985">
        <f ca="1">SUM(C11:C15)</f>
        <v>0</v>
      </c>
      <c r="D16" s="980"/>
      <c r="E16" s="985"/>
      <c r="F16" s="986"/>
      <c r="G16" s="139"/>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2461</v>
      </c>
      <c r="C17" s="24">
        <f ca="1">ROUND(D17*E17/10000,0)</f>
        <v>0</v>
      </c>
      <c r="D17" s="1035">
        <f ca="1">D14</f>
        <v>143997.77000000002</v>
      </c>
      <c r="E17" s="24">
        <f>'数据-取费表'!B32</f>
        <v>0</v>
      </c>
      <c r="F17" s="980"/>
      <c r="G17" s="139" t="s">
        <v>2462</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2463</v>
      </c>
      <c r="C18" s="24">
        <f ca="1">C19+C20-IF(C1="",'数据-取费表'!B29,IF(G18="已全部缴纳",C19+C20,H18))</f>
        <v>2404</v>
      </c>
      <c r="D18" s="1035"/>
      <c r="E18" s="24"/>
      <c r="F18" s="978"/>
      <c r="G18" s="2520"/>
      <c r="H18" s="1579"/>
      <c r="I18" s="2521" t="s">
        <v>2464</v>
      </c>
      <c r="J18" s="981"/>
      <c r="K18" s="982"/>
    </row>
    <row r="19" spans="1:33" s="977" customFormat="1" ht="13.5" customHeight="1">
      <c r="A19" s="973" t="s">
        <v>805</v>
      </c>
      <c r="B19" s="974" t="s">
        <v>2465</v>
      </c>
      <c r="C19" s="24">
        <f ca="1">ROUND(D19*E19/10000,0)</f>
        <v>0</v>
      </c>
      <c r="D19" s="1035">
        <f ca="1">IF(C1="",'数据-汇总表'!E5,IF(INDIRECT("'数据-取费表'!c"&amp;$K$1)="住宅",INDIRECT("'数据-取费表'!k"&amp;$K$1),0))</f>
        <v>0</v>
      </c>
      <c r="E19" s="24">
        <f>'数据-取费表'!B27</f>
        <v>160</v>
      </c>
      <c r="F19" s="978"/>
      <c r="G19" s="15"/>
      <c r="H19" s="1581"/>
      <c r="I19" s="983"/>
      <c r="J19" s="983"/>
      <c r="K19" s="984"/>
    </row>
    <row r="20" spans="1:33" s="977" customFormat="1" ht="13.5" customHeight="1">
      <c r="A20" s="973" t="s">
        <v>806</v>
      </c>
      <c r="B20" s="974" t="s">
        <v>2466</v>
      </c>
      <c r="C20" s="24">
        <f ca="1">ROUND(D20*E20/10000,0)</f>
        <v>2880</v>
      </c>
      <c r="D20" s="1035">
        <f ca="1">IF(C1="",'数据-汇总表'!E6,IF(INDIRECT("'数据-取费表'!c"&amp;$K$1)="住宅",INDIRECT("'数据-取费表'!s"&amp;$K$1),INDIRECT("'数据-取费表'!k"&amp;$K$1)+INDIRECT("'数据-取费表'!s"&amp;$K$1)))</f>
        <v>143997.77000000002</v>
      </c>
      <c r="E20" s="24">
        <f>'数据-取费表'!B28</f>
        <v>200</v>
      </c>
      <c r="F20" s="978"/>
      <c r="G20" s="15"/>
      <c r="H20" s="983"/>
      <c r="I20" s="983"/>
      <c r="J20" s="983"/>
      <c r="K20" s="984"/>
    </row>
    <row r="21" spans="1:33" s="977" customFormat="1" ht="13.5" customHeight="1">
      <c r="A21" s="963" t="s">
        <v>802</v>
      </c>
      <c r="B21" s="987" t="s">
        <v>2467</v>
      </c>
      <c r="C21" s="988">
        <f ca="1">C16+C17+C18</f>
        <v>2404</v>
      </c>
      <c r="D21" s="989"/>
      <c r="E21" s="324"/>
      <c r="F21" s="324"/>
      <c r="G21" s="139" t="s">
        <v>2468</v>
      </c>
      <c r="H21" s="981"/>
      <c r="I21" s="981"/>
      <c r="J21" s="981"/>
      <c r="K21" s="982"/>
    </row>
    <row r="22" spans="1:33" s="977" customFormat="1" ht="13.5" customHeight="1">
      <c r="A22" s="963" t="s">
        <v>2440</v>
      </c>
      <c r="B22" s="987" t="s">
        <v>2469</v>
      </c>
      <c r="C22" s="988">
        <f ca="1">ROUND(C21*F22,0)</f>
        <v>72</v>
      </c>
      <c r="D22" s="324"/>
      <c r="E22" s="324"/>
      <c r="F22" s="990">
        <f>'数据-取费表'!B37</f>
        <v>0.03</v>
      </c>
      <c r="G22" s="8" t="s">
        <v>2470</v>
      </c>
      <c r="H22" s="970"/>
      <c r="I22" s="970"/>
      <c r="J22" s="970"/>
      <c r="K22" s="971"/>
    </row>
    <row r="23" spans="1:33" s="977" customFormat="1" ht="13.5" customHeight="1">
      <c r="A23" s="963" t="s">
        <v>2442</v>
      </c>
      <c r="B23" s="987" t="s">
        <v>2471</v>
      </c>
      <c r="C23" s="988">
        <f ca="1">ROUND(C4*F23*F11,0)</f>
        <v>0</v>
      </c>
      <c r="D23" s="324"/>
      <c r="E23" s="324"/>
      <c r="F23" s="990">
        <f>'数据-取费表'!B38</f>
        <v>0.02</v>
      </c>
      <c r="G23" s="8" t="s">
        <v>2472</v>
      </c>
      <c r="H23" s="970"/>
      <c r="I23" s="970"/>
      <c r="J23" s="970"/>
      <c r="K23" s="971"/>
    </row>
    <row r="24" spans="1:33" s="977" customFormat="1" ht="13.5" customHeight="1">
      <c r="A24" s="963" t="s">
        <v>2473</v>
      </c>
      <c r="B24" s="987" t="s">
        <v>2474</v>
      </c>
      <c r="C24" s="323">
        <f>ROUND(F24/(1+'数据-取费表'!C42),4)</f>
        <v>2.9000000000000001E-2</v>
      </c>
      <c r="D24" s="324" t="s">
        <v>15</v>
      </c>
      <c r="E24" s="324"/>
      <c r="F24" s="990">
        <f>'数据-取费表'!B48+'数据-取费表'!B49</f>
        <v>3.0499999999999999E-2</v>
      </c>
      <c r="G24" s="8" t="s">
        <v>2475</v>
      </c>
      <c r="H24" s="992"/>
      <c r="I24" s="992"/>
      <c r="J24" s="992"/>
      <c r="K24" s="993"/>
    </row>
    <row r="25" spans="1:33" s="977" customFormat="1" ht="13.5" customHeight="1">
      <c r="A25" s="963" t="s">
        <v>2476</v>
      </c>
      <c r="B25" s="989" t="s">
        <v>2477</v>
      </c>
      <c r="C25" s="1358">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2478</v>
      </c>
      <c r="C26" s="1359">
        <f ca="1">ROUND(IF('数据-取费表'!B22&lt;=1,(1+C24)*F25*'数据-取费表'!B24,(1+C24)*(POWER((1+F25),'数据-取费表'!B24)-1)),4)</f>
        <v>0</v>
      </c>
      <c r="D26" s="327"/>
      <c r="E26" s="328"/>
      <c r="F26" s="329"/>
      <c r="G26" s="2522"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2479</v>
      </c>
      <c r="C27" s="1360">
        <f ca="1">ROUND(IF('数据-取费表'!B22&lt;=1,(C21+C22+C23)*F25*'数据-取费表'!B24/2,(C21+C22+C23)*(POWER((1+F25),'数据-取费表'!B24/2)-1)),0)</f>
        <v>0</v>
      </c>
      <c r="D27" s="327"/>
      <c r="E27" s="328"/>
      <c r="F27" s="329"/>
      <c r="G27" s="2522" t="str">
        <f>IF('数据-取费表'!B22&lt;=1,"（1）-（3）项×年利率×建设期÷2","（1）-（3）项×((1+年利率)^(建设期÷2)-1)")</f>
        <v>（1）-（3）项×((1+年利率)^(建设期÷2)-1)</v>
      </c>
      <c r="H27" s="981"/>
      <c r="I27" s="981"/>
      <c r="J27" s="981"/>
      <c r="K27" s="982"/>
    </row>
    <row r="28" spans="1:33" s="332" customFormat="1" ht="13.5" customHeight="1">
      <c r="A28" s="963" t="s">
        <v>2480</v>
      </c>
      <c r="B28" s="2523" t="s">
        <v>2481</v>
      </c>
      <c r="C28" s="330">
        <f ca="1">C30</f>
        <v>470</v>
      </c>
      <c r="D28" s="323">
        <f ca="1">C29</f>
        <v>0</v>
      </c>
      <c r="E28" s="325" t="s">
        <v>15</v>
      </c>
      <c r="F28" s="331">
        <f ca="1">IF(C1="",'数据-取费表'!Q16,INDIRECT("'数据-取费表'!q"&amp;$K$1))</f>
        <v>0.19</v>
      </c>
      <c r="G28" s="991"/>
      <c r="H28" s="992"/>
      <c r="I28" s="992"/>
      <c r="J28" s="992"/>
      <c r="K28" s="993"/>
    </row>
    <row r="29" spans="1:33" s="334" customFormat="1" ht="13.5" customHeight="1">
      <c r="A29" s="973" t="s">
        <v>803</v>
      </c>
      <c r="B29" s="996" t="s">
        <v>2482</v>
      </c>
      <c r="C29" s="327">
        <f ca="1">ROUND((1+C24)*F28*'数据-取费表'!B24/'数据-取费表'!B20,4)</f>
        <v>0</v>
      </c>
      <c r="D29" s="327"/>
      <c r="E29" s="328"/>
      <c r="F29" s="333"/>
      <c r="G29" s="139" t="s">
        <v>2483</v>
      </c>
      <c r="H29" s="981"/>
      <c r="I29" s="981"/>
      <c r="J29" s="981"/>
      <c r="K29" s="982"/>
    </row>
    <row r="30" spans="1:33" s="334" customFormat="1" ht="13.5" customHeight="1">
      <c r="A30" s="973" t="s">
        <v>804</v>
      </c>
      <c r="B30" s="996" t="s">
        <v>2484</v>
      </c>
      <c r="C30" s="335">
        <f ca="1">ROUND((C21+C22+C23)*F28,0)</f>
        <v>470</v>
      </c>
      <c r="D30" s="327"/>
      <c r="E30" s="328"/>
      <c r="F30" s="333"/>
      <c r="G30" s="139"/>
      <c r="H30" s="981"/>
      <c r="I30" s="981"/>
      <c r="J30" s="981"/>
      <c r="K30" s="982"/>
    </row>
    <row r="31" spans="1:33" s="977" customFormat="1" ht="13.5" customHeight="1" thickBot="1">
      <c r="A31" s="2524" t="s">
        <v>2485</v>
      </c>
      <c r="B31" s="1007" t="s">
        <v>2486</v>
      </c>
      <c r="C31" s="1008">
        <f>ROUND(C4*F31/(1+'数据-取费表'!C42),0)</f>
        <v>0</v>
      </c>
      <c r="D31" s="1009"/>
      <c r="E31" s="1010"/>
      <c r="F31" s="1011">
        <f>'数据-取费表'!B41</f>
        <v>5.6000000000000001E-2</v>
      </c>
      <c r="G31" s="1012" t="s">
        <v>2487</v>
      </c>
      <c r="H31" s="1013"/>
      <c r="I31" s="1013"/>
      <c r="J31" s="1013"/>
      <c r="K31" s="1014"/>
    </row>
    <row r="32" spans="1:33" s="972" customFormat="1" ht="13.5" customHeight="1" thickBot="1">
      <c r="A32" s="1002" t="s">
        <v>2488</v>
      </c>
      <c r="B32" s="1003"/>
      <c r="C32" s="1004">
        <f ca="1">ROUND((C4-C21-C22-C23-C25-C28-C31)/(1+C24+D25+D28),0)</f>
        <v>-2863</v>
      </c>
      <c r="D32" s="1003"/>
      <c r="E32" s="1003"/>
      <c r="F32" s="1003"/>
      <c r="G32" s="1005" t="s">
        <v>2489</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7" zoomScale="90" zoomScaleNormal="90" workbookViewId="0">
      <selection activeCell="G17" sqref="G17"/>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58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2499</v>
      </c>
      <c r="B1" s="2546" t="s">
        <v>2613</v>
      </c>
      <c r="C1" s="1636" t="s">
        <v>2501</v>
      </c>
      <c r="D1" s="1623"/>
      <c r="E1" s="2621"/>
      <c r="F1" s="2548"/>
      <c r="G1" s="1633" t="s">
        <v>2614</v>
      </c>
      <c r="H1" s="1632"/>
      <c r="I1" s="1632"/>
      <c r="J1" s="1632"/>
      <c r="K1" s="1634"/>
      <c r="L1" s="1635"/>
      <c r="M1" s="1636"/>
      <c r="N1" s="1636"/>
      <c r="O1" s="1636"/>
      <c r="P1" s="2622"/>
      <c r="Q1" s="2623"/>
      <c r="R1" s="2623"/>
      <c r="S1" s="2623"/>
      <c r="T1" s="2623"/>
      <c r="U1" s="2623"/>
      <c r="V1" s="2623"/>
      <c r="W1" s="2623"/>
      <c r="X1" s="2623"/>
      <c r="Y1" s="2623"/>
      <c r="Z1" s="2623"/>
      <c r="AA1" s="2623"/>
      <c r="AB1" s="2623"/>
      <c r="AC1" s="2624"/>
    </row>
    <row r="2" spans="1:29" s="397" customFormat="1" ht="28.5" customHeight="1" thickTop="1">
      <c r="A2" s="1619" t="s">
        <v>2298</v>
      </c>
      <c r="B2" s="1420" t="e">
        <f ca="1">IF(C2="——",ROUND(C49*D3/10000,0),ROUND(C49*D3/10000,0)-D2)</f>
        <v>#DIV/0!</v>
      </c>
      <c r="C2" s="2550"/>
      <c r="D2" s="1367" t="e">
        <f ca="1">SUMIF(INDIRECT("'"&amp;F2&amp;"'"&amp;"!A:A"),"承租人权益价值",INDIRECT("'"&amp;F2&amp;"'"&amp;"!c:c"))</f>
        <v>#REF!</v>
      </c>
      <c r="E2" s="2551" t="s">
        <v>2299</v>
      </c>
      <c r="F2" s="2552"/>
      <c r="G2" s="1127"/>
      <c r="H2" s="1127"/>
      <c r="I2" s="1127"/>
      <c r="J2" s="1127"/>
      <c r="K2" s="1127"/>
      <c r="L2" s="1130"/>
      <c r="M2" s="1131"/>
      <c r="N2" s="1131"/>
      <c r="O2" s="1131"/>
      <c r="P2" s="2625"/>
      <c r="Q2" s="1131"/>
      <c r="R2" s="1131"/>
      <c r="S2" s="1131"/>
      <c r="T2" s="1131"/>
      <c r="U2" s="1131"/>
      <c r="V2" s="1131"/>
      <c r="W2" s="1131"/>
      <c r="X2" s="1131"/>
      <c r="Y2" s="1131"/>
      <c r="Z2" s="1131"/>
      <c r="AA2" s="1131"/>
      <c r="AB2" s="1131"/>
      <c r="AC2" s="2626"/>
    </row>
    <row r="3" spans="1:29" s="397" customFormat="1" ht="28.5" customHeight="1" thickBot="1">
      <c r="A3" s="246" t="s">
        <v>2300</v>
      </c>
      <c r="B3" s="608" t="e">
        <f ca="1">IF(C2="——",C49,ROUND(B2*10000/D3,0))</f>
        <v>#DIV/0!</v>
      </c>
      <c r="C3" s="399" t="s">
        <v>2615</v>
      </c>
      <c r="D3" s="398">
        <f>IF(D1="",'数据-汇总表'!E3,SUMIF('数据-汇总表'!$C19:$C33,D1,'数据-汇总表'!$E19:$E33))</f>
        <v>143997.77000000002</v>
      </c>
      <c r="E3" s="2627"/>
      <c r="F3" s="1128"/>
      <c r="G3" s="1127"/>
      <c r="H3" s="1127"/>
      <c r="I3" s="1127"/>
      <c r="J3" s="1127"/>
      <c r="K3" s="1129"/>
      <c r="L3" s="1130"/>
      <c r="M3" s="1131"/>
      <c r="N3" s="1131"/>
      <c r="O3" s="1131"/>
      <c r="P3" s="2625"/>
      <c r="Q3" s="1131"/>
      <c r="R3" s="1131"/>
      <c r="S3" s="1131"/>
      <c r="T3" s="1131"/>
      <c r="U3" s="1131"/>
      <c r="V3" s="1131"/>
      <c r="W3" s="1131"/>
      <c r="X3" s="1131"/>
      <c r="Y3" s="1131"/>
      <c r="Z3" s="1131"/>
      <c r="AA3" s="1131"/>
      <c r="AB3" s="1131"/>
      <c r="AC3" s="2627"/>
    </row>
    <row r="4" spans="1:29" ht="15">
      <c r="A4" s="400" t="s">
        <v>2616</v>
      </c>
      <c r="B4" s="401"/>
      <c r="C4" s="3310" t="s">
        <v>2617</v>
      </c>
      <c r="D4" s="3311"/>
      <c r="E4" s="3312" t="s">
        <v>2618</v>
      </c>
      <c r="F4" s="3313"/>
      <c r="G4" s="3310" t="s">
        <v>2619</v>
      </c>
      <c r="H4" s="3311"/>
      <c r="I4" s="3310" t="s">
        <v>2620</v>
      </c>
      <c r="J4" s="3311"/>
      <c r="K4" s="609" t="s">
        <v>2621</v>
      </c>
      <c r="L4" s="1132"/>
      <c r="M4" s="1133"/>
      <c r="N4" s="1133"/>
      <c r="O4" s="1133"/>
      <c r="P4" s="3355" t="s">
        <v>2622</v>
      </c>
      <c r="Q4" s="3356"/>
      <c r="R4" s="3359" t="s">
        <v>2618</v>
      </c>
      <c r="S4" s="3360"/>
      <c r="T4" s="3359" t="s">
        <v>2619</v>
      </c>
      <c r="U4" s="3360"/>
      <c r="V4" s="3327" t="s">
        <v>2620</v>
      </c>
      <c r="W4" s="3327"/>
      <c r="X4" s="1815"/>
      <c r="Y4" s="3359" t="s">
        <v>2622</v>
      </c>
      <c r="Z4" s="3360"/>
      <c r="AA4" s="3354" t="s">
        <v>2618</v>
      </c>
      <c r="AB4" s="3327" t="s">
        <v>2619</v>
      </c>
      <c r="AC4" s="3354" t="s">
        <v>2620</v>
      </c>
    </row>
    <row r="5" spans="1:29" ht="15">
      <c r="A5" s="403"/>
      <c r="B5" s="404"/>
      <c r="C5" s="3363" t="s">
        <v>2513</v>
      </c>
      <c r="D5" s="3364"/>
      <c r="E5" s="3367" t="s">
        <v>2514</v>
      </c>
      <c r="F5" s="3368"/>
      <c r="G5" s="3363" t="s">
        <v>2515</v>
      </c>
      <c r="H5" s="3364"/>
      <c r="I5" s="3363" t="s">
        <v>2516</v>
      </c>
      <c r="J5" s="3364"/>
      <c r="K5" s="609"/>
      <c r="L5" s="1132"/>
      <c r="M5" s="1133"/>
      <c r="N5" s="1133"/>
      <c r="O5" s="1133"/>
      <c r="P5" s="3357"/>
      <c r="Q5" s="3317"/>
      <c r="R5" s="3322"/>
      <c r="S5" s="3323"/>
      <c r="T5" s="3322"/>
      <c r="U5" s="3323"/>
      <c r="V5" s="3327"/>
      <c r="W5" s="3327"/>
      <c r="X5" s="1815"/>
      <c r="Y5" s="3322"/>
      <c r="Z5" s="3323"/>
      <c r="AA5" s="3339"/>
      <c r="AB5" s="3327"/>
      <c r="AC5" s="3339"/>
    </row>
    <row r="6" spans="1:29" ht="15.75" thickBot="1">
      <c r="A6" s="405"/>
      <c r="B6" s="406"/>
      <c r="C6" s="3361" t="s">
        <v>2517</v>
      </c>
      <c r="D6" s="3362"/>
      <c r="E6" s="3365" t="s">
        <v>2517</v>
      </c>
      <c r="F6" s="3366"/>
      <c r="G6" s="3361" t="s">
        <v>2517</v>
      </c>
      <c r="H6" s="3362"/>
      <c r="I6" s="3361" t="s">
        <v>2517</v>
      </c>
      <c r="J6" s="3362"/>
      <c r="K6" s="609" t="s">
        <v>2518</v>
      </c>
      <c r="L6" s="1132"/>
      <c r="M6" s="1133"/>
      <c r="N6" s="1133"/>
      <c r="O6" s="1133"/>
      <c r="P6" s="3358"/>
      <c r="Q6" s="3319"/>
      <c r="R6" s="3322"/>
      <c r="S6" s="3323"/>
      <c r="T6" s="3324"/>
      <c r="U6" s="3325"/>
      <c r="V6" s="3327"/>
      <c r="W6" s="3327"/>
      <c r="X6" s="1815"/>
      <c r="Y6" s="3324"/>
      <c r="Z6" s="3325"/>
      <c r="AA6" s="3340"/>
      <c r="AB6" s="3327"/>
      <c r="AC6" s="3340"/>
    </row>
    <row r="7" spans="1:29" s="117" customFormat="1" ht="15.75" thickBot="1">
      <c r="A7" s="407" t="s">
        <v>2519</v>
      </c>
      <c r="B7" s="408"/>
      <c r="C7" s="409">
        <f>'数据-取费表'!B2</f>
        <v>43395</v>
      </c>
      <c r="D7" s="410">
        <v>100</v>
      </c>
      <c r="E7" s="411"/>
      <c r="F7" s="412">
        <f>SUMIF(58:58,YEAR(E7)&amp;"-"&amp;MONTH(E7),59:59)</f>
        <v>0</v>
      </c>
      <c r="G7" s="411"/>
      <c r="H7" s="410">
        <f>SUMIF(58:58,YEAR(G7)&amp;"-"&amp;MONTH(G7),59:59)</f>
        <v>0</v>
      </c>
      <c r="I7" s="411"/>
      <c r="J7" s="410">
        <f>SUMIF(58:58,YEAR(I7)&amp;"-"&amp;MONTH(I7),59:59)</f>
        <v>0</v>
      </c>
      <c r="K7" s="610"/>
      <c r="L7" s="1134"/>
      <c r="M7" s="1135"/>
      <c r="N7" s="1135"/>
      <c r="O7" s="1135"/>
      <c r="P7" s="3334" t="s">
        <v>2520</v>
      </c>
      <c r="Q7" s="3335"/>
      <c r="R7" s="769" t="s">
        <v>17</v>
      </c>
      <c r="S7" s="770">
        <f t="shared" ref="S7:S15" si="0">F7</f>
        <v>0</v>
      </c>
      <c r="T7" s="769" t="s">
        <v>17</v>
      </c>
      <c r="U7" s="770">
        <f t="shared" ref="U7:U15" si="1">H7</f>
        <v>0</v>
      </c>
      <c r="V7" s="769" t="s">
        <v>17</v>
      </c>
      <c r="W7" s="770">
        <f t="shared" ref="W7:W15" si="2">J7</f>
        <v>0</v>
      </c>
      <c r="X7" s="771"/>
      <c r="Y7" s="3334" t="s">
        <v>2520</v>
      </c>
      <c r="Z7" s="3333"/>
      <c r="AA7" s="772" t="e">
        <f>D7/F7</f>
        <v>#DIV/0!</v>
      </c>
      <c r="AB7" s="772" t="e">
        <f>D7/H7</f>
        <v>#DIV/0!</v>
      </c>
      <c r="AC7" s="772" t="e">
        <f>D7/J7</f>
        <v>#DIV/0!</v>
      </c>
    </row>
    <row r="8" spans="1:29" s="117" customFormat="1" ht="15.75" thickBot="1">
      <c r="A8" s="407" t="s">
        <v>2521</v>
      </c>
      <c r="B8" s="408"/>
      <c r="C8" s="413" t="s">
        <v>2623</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334" t="s">
        <v>2523</v>
      </c>
      <c r="Q8" s="3333"/>
      <c r="R8" s="769" t="s">
        <v>17</v>
      </c>
      <c r="S8" s="770">
        <f t="shared" si="0"/>
        <v>0</v>
      </c>
      <c r="T8" s="769" t="s">
        <v>17</v>
      </c>
      <c r="U8" s="770">
        <f t="shared" si="1"/>
        <v>0</v>
      </c>
      <c r="V8" s="769" t="s">
        <v>17</v>
      </c>
      <c r="W8" s="770">
        <f t="shared" si="2"/>
        <v>0</v>
      </c>
      <c r="X8" s="771"/>
      <c r="Y8" s="3334" t="s">
        <v>2523</v>
      </c>
      <c r="Z8" s="3333"/>
      <c r="AA8" s="772" t="e">
        <f t="shared" ref="AA8:AA46" si="3">D8/F8</f>
        <v>#DIV/0!</v>
      </c>
      <c r="AB8" s="772" t="e">
        <f t="shared" ref="AB8:AB46" si="4">D8/H8</f>
        <v>#DIV/0!</v>
      </c>
      <c r="AC8" s="772" t="e">
        <f t="shared" ref="AC8:AC46" si="5">D8/J8</f>
        <v>#DIV/0!</v>
      </c>
    </row>
    <row r="9" spans="1:29" s="117" customFormat="1">
      <c r="A9" s="414" t="s">
        <v>2524</v>
      </c>
      <c r="B9" s="71" t="s">
        <v>2525</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292" t="s">
        <v>2526</v>
      </c>
      <c r="Q9" s="1797" t="str">
        <f t="shared" ref="Q9:Q15" si="6">B9</f>
        <v>用途</v>
      </c>
      <c r="R9" s="769" t="s">
        <v>17</v>
      </c>
      <c r="S9" s="770">
        <f t="shared" si="0"/>
        <v>100</v>
      </c>
      <c r="T9" s="769" t="s">
        <v>17</v>
      </c>
      <c r="U9" s="770">
        <f t="shared" si="1"/>
        <v>100</v>
      </c>
      <c r="V9" s="769" t="s">
        <v>17</v>
      </c>
      <c r="W9" s="770">
        <f t="shared" si="2"/>
        <v>100</v>
      </c>
      <c r="X9" s="771"/>
      <c r="Y9" s="3150" t="s">
        <v>2527</v>
      </c>
      <c r="Z9" s="55" t="str">
        <f t="shared" ref="Z9:Z15" si="7">Q9</f>
        <v>用途</v>
      </c>
      <c r="AA9" s="772">
        <f t="shared" si="3"/>
        <v>1</v>
      </c>
      <c r="AB9" s="772">
        <f t="shared" si="4"/>
        <v>1</v>
      </c>
      <c r="AC9" s="772">
        <f t="shared" si="5"/>
        <v>1</v>
      </c>
    </row>
    <row r="10" spans="1:29" s="426" customFormat="1" ht="27">
      <c r="A10" s="420"/>
      <c r="B10" s="421" t="s">
        <v>2528</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292"/>
      <c r="Q10" s="1797" t="str">
        <f t="shared" si="6"/>
        <v>土地使用年限（年）</v>
      </c>
      <c r="R10" s="769" t="s">
        <v>17</v>
      </c>
      <c r="S10" s="770">
        <f t="shared" si="0"/>
        <v>100</v>
      </c>
      <c r="T10" s="769" t="s">
        <v>17</v>
      </c>
      <c r="U10" s="770">
        <f t="shared" si="1"/>
        <v>100</v>
      </c>
      <c r="V10" s="769" t="s">
        <v>17</v>
      </c>
      <c r="W10" s="770">
        <f t="shared" si="2"/>
        <v>100</v>
      </c>
      <c r="X10" s="771"/>
      <c r="Y10" s="3150"/>
      <c r="Z10" s="55" t="str">
        <f t="shared" si="7"/>
        <v>土地使用年限（年）</v>
      </c>
      <c r="AA10" s="772">
        <f t="shared" si="3"/>
        <v>1</v>
      </c>
      <c r="AB10" s="772">
        <f t="shared" si="4"/>
        <v>1</v>
      </c>
      <c r="AC10" s="772">
        <f t="shared" si="5"/>
        <v>1</v>
      </c>
    </row>
    <row r="11" spans="1:29" ht="15">
      <c r="A11" s="427"/>
      <c r="B11" s="421" t="s">
        <v>2529</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292"/>
      <c r="Q11" s="1797" t="str">
        <f t="shared" si="6"/>
        <v>容积率</v>
      </c>
      <c r="R11" s="769" t="s">
        <v>17</v>
      </c>
      <c r="S11" s="770" t="e">
        <f t="shared" si="0"/>
        <v>#N/A</v>
      </c>
      <c r="T11" s="769" t="s">
        <v>17</v>
      </c>
      <c r="U11" s="770" t="e">
        <f t="shared" si="1"/>
        <v>#N/A</v>
      </c>
      <c r="V11" s="769" t="s">
        <v>17</v>
      </c>
      <c r="W11" s="770" t="e">
        <f t="shared" si="2"/>
        <v>#N/A</v>
      </c>
      <c r="X11" s="771"/>
      <c r="Y11" s="3150"/>
      <c r="Z11" s="55" t="str">
        <f t="shared" si="7"/>
        <v>容积率</v>
      </c>
      <c r="AA11" s="772" t="e">
        <f t="shared" si="3"/>
        <v>#N/A</v>
      </c>
      <c r="AB11" s="772" t="e">
        <f t="shared" si="4"/>
        <v>#N/A</v>
      </c>
      <c r="AC11" s="772" t="e">
        <f t="shared" si="5"/>
        <v>#N/A</v>
      </c>
    </row>
    <row r="12" spans="1:29" s="117" customFormat="1" ht="15">
      <c r="A12" s="430"/>
      <c r="B12" s="2564">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292"/>
      <c r="Q12" s="1797">
        <f t="shared" si="6"/>
        <v>111</v>
      </c>
      <c r="R12" s="769" t="s">
        <v>17</v>
      </c>
      <c r="S12" s="770">
        <f t="shared" si="0"/>
        <v>100</v>
      </c>
      <c r="T12" s="769" t="s">
        <v>17</v>
      </c>
      <c r="U12" s="770">
        <f t="shared" si="1"/>
        <v>100</v>
      </c>
      <c r="V12" s="769" t="s">
        <v>17</v>
      </c>
      <c r="W12" s="770">
        <f t="shared" si="2"/>
        <v>100</v>
      </c>
      <c r="X12" s="771"/>
      <c r="Y12" s="3150"/>
      <c r="Z12" s="55">
        <f t="shared" si="7"/>
        <v>111</v>
      </c>
      <c r="AA12" s="772">
        <f>D12/F12</f>
        <v>1</v>
      </c>
      <c r="AB12" s="772">
        <f>D12/H12</f>
        <v>1</v>
      </c>
      <c r="AC12" s="772">
        <f>D12/J12</f>
        <v>1</v>
      </c>
    </row>
    <row r="13" spans="1:29" ht="15">
      <c r="A13" s="427"/>
      <c r="B13" s="2564">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292"/>
      <c r="Q13" s="1797">
        <f t="shared" si="6"/>
        <v>111</v>
      </c>
      <c r="R13" s="769" t="s">
        <v>17</v>
      </c>
      <c r="S13" s="770">
        <f t="shared" si="0"/>
        <v>100</v>
      </c>
      <c r="T13" s="769" t="s">
        <v>17</v>
      </c>
      <c r="U13" s="770">
        <f t="shared" si="1"/>
        <v>100</v>
      </c>
      <c r="V13" s="769" t="s">
        <v>17</v>
      </c>
      <c r="W13" s="770">
        <f t="shared" si="2"/>
        <v>100</v>
      </c>
      <c r="X13" s="771"/>
      <c r="Y13" s="3150"/>
      <c r="Z13" s="55">
        <f t="shared" si="7"/>
        <v>111</v>
      </c>
      <c r="AA13" s="772">
        <f t="shared" si="3"/>
        <v>1</v>
      </c>
      <c r="AB13" s="772">
        <f t="shared" si="4"/>
        <v>1</v>
      </c>
      <c r="AC13" s="772">
        <f t="shared" si="5"/>
        <v>1</v>
      </c>
    </row>
    <row r="14" spans="1:29" ht="15.75" thickBot="1">
      <c r="A14" s="435"/>
      <c r="B14" s="2566">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292"/>
      <c r="Q14" s="1797">
        <f t="shared" si="6"/>
        <v>111</v>
      </c>
      <c r="R14" s="769" t="s">
        <v>17</v>
      </c>
      <c r="S14" s="770">
        <f t="shared" si="0"/>
        <v>100</v>
      </c>
      <c r="T14" s="769" t="s">
        <v>17</v>
      </c>
      <c r="U14" s="770">
        <f t="shared" si="1"/>
        <v>100</v>
      </c>
      <c r="V14" s="769" t="s">
        <v>17</v>
      </c>
      <c r="W14" s="770">
        <f t="shared" si="2"/>
        <v>100</v>
      </c>
      <c r="X14" s="771"/>
      <c r="Y14" s="3150"/>
      <c r="Z14" s="55">
        <f t="shared" si="7"/>
        <v>111</v>
      </c>
      <c r="AA14" s="772">
        <f t="shared" si="3"/>
        <v>1</v>
      </c>
      <c r="AB14" s="772">
        <f t="shared" si="4"/>
        <v>1</v>
      </c>
      <c r="AC14" s="772">
        <f t="shared" si="5"/>
        <v>1</v>
      </c>
    </row>
    <row r="15" spans="1:29" ht="15">
      <c r="A15" s="439" t="s">
        <v>2530</v>
      </c>
      <c r="B15" s="69" t="s">
        <v>2624</v>
      </c>
      <c r="C15" s="2567" t="str">
        <f>估价对象房地状况!C4</f>
        <v>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98" t="s">
        <v>2531</v>
      </c>
      <c r="Q15" s="1812" t="str">
        <f t="shared" si="6"/>
        <v>商业繁华度</v>
      </c>
      <c r="R15" s="773" t="s">
        <v>17</v>
      </c>
      <c r="S15" s="774">
        <f t="shared" si="0"/>
        <v>100</v>
      </c>
      <c r="T15" s="773" t="s">
        <v>17</v>
      </c>
      <c r="U15" s="774">
        <f t="shared" si="1"/>
        <v>100</v>
      </c>
      <c r="V15" s="773" t="s">
        <v>17</v>
      </c>
      <c r="W15" s="774">
        <f t="shared" si="2"/>
        <v>100</v>
      </c>
      <c r="X15" s="1815"/>
      <c r="Y15" s="3300" t="s">
        <v>2531</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33"/>
      <c r="P16" s="3299"/>
      <c r="Q16" s="1812"/>
      <c r="R16" s="773"/>
      <c r="S16" s="774"/>
      <c r="T16" s="773"/>
      <c r="U16" s="774"/>
      <c r="V16" s="773"/>
      <c r="W16" s="774"/>
      <c r="X16" s="1815"/>
      <c r="Y16" s="3301"/>
      <c r="Z16" s="1816"/>
      <c r="AA16" s="1813">
        <v>1</v>
      </c>
      <c r="AB16" s="1813">
        <v>1</v>
      </c>
      <c r="AC16" s="1813">
        <v>1</v>
      </c>
    </row>
    <row r="17" spans="1:29" ht="15">
      <c r="A17" s="427"/>
      <c r="B17" s="450" t="s">
        <v>2085</v>
      </c>
      <c r="C17" s="2571" t="str">
        <f>估价对象房地状况!C6</f>
        <v>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99"/>
      <c r="Q17" s="1812" t="str">
        <f>B17</f>
        <v>交通便捷度</v>
      </c>
      <c r="R17" s="773" t="s">
        <v>17</v>
      </c>
      <c r="S17" s="774">
        <f>F17</f>
        <v>100</v>
      </c>
      <c r="T17" s="773" t="s">
        <v>17</v>
      </c>
      <c r="U17" s="774">
        <f>H17</f>
        <v>100</v>
      </c>
      <c r="V17" s="773" t="s">
        <v>17</v>
      </c>
      <c r="W17" s="774">
        <f>J17</f>
        <v>100</v>
      </c>
      <c r="X17" s="1815"/>
      <c r="Y17" s="3301"/>
      <c r="Z17" s="1816" t="str">
        <f>Q17</f>
        <v>交通便捷度</v>
      </c>
      <c r="AA17" s="1813">
        <f t="shared" si="3"/>
        <v>1</v>
      </c>
      <c r="AB17" s="1813">
        <f t="shared" si="4"/>
        <v>1</v>
      </c>
      <c r="AC17" s="1813">
        <f t="shared" si="5"/>
        <v>1</v>
      </c>
    </row>
    <row r="18" spans="1:29" ht="15">
      <c r="A18" s="427"/>
      <c r="B18" s="455"/>
      <c r="C18" s="2572"/>
      <c r="D18" s="449"/>
      <c r="E18" s="2574"/>
      <c r="F18" s="452"/>
      <c r="G18" s="2573"/>
      <c r="H18" s="447"/>
      <c r="I18" s="2574"/>
      <c r="J18" s="447"/>
      <c r="K18" s="614"/>
      <c r="L18" s="1142"/>
      <c r="M18" s="1133"/>
      <c r="N18" s="1133"/>
      <c r="O18" s="1133"/>
      <c r="P18" s="3299"/>
      <c r="Q18" s="1812"/>
      <c r="R18" s="773"/>
      <c r="S18" s="774"/>
      <c r="T18" s="773"/>
      <c r="U18" s="774"/>
      <c r="V18" s="773"/>
      <c r="W18" s="774"/>
      <c r="X18" s="1815"/>
      <c r="Y18" s="3301"/>
      <c r="Z18" s="1816"/>
      <c r="AA18" s="1813">
        <v>1</v>
      </c>
      <c r="AB18" s="1813">
        <v>1</v>
      </c>
      <c r="AC18" s="1813">
        <v>1</v>
      </c>
    </row>
    <row r="19" spans="1:29" ht="15">
      <c r="A19" s="427"/>
      <c r="B19" s="450" t="s">
        <v>2625</v>
      </c>
      <c r="C19" s="2571" t="str">
        <f>估价对象房地状况!C7</f>
        <v>好</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99"/>
      <c r="Q19" s="1812" t="str">
        <f>B19</f>
        <v>公共配套设施</v>
      </c>
      <c r="R19" s="773" t="s">
        <v>17</v>
      </c>
      <c r="S19" s="774">
        <f>F19</f>
        <v>100</v>
      </c>
      <c r="T19" s="773" t="s">
        <v>17</v>
      </c>
      <c r="U19" s="774">
        <f>H19</f>
        <v>100</v>
      </c>
      <c r="V19" s="773" t="s">
        <v>17</v>
      </c>
      <c r="W19" s="774">
        <f>J19</f>
        <v>100</v>
      </c>
      <c r="X19" s="1815"/>
      <c r="Y19" s="3301"/>
      <c r="Z19" s="1816" t="str">
        <f>Q19</f>
        <v>公共配套设施</v>
      </c>
      <c r="AA19" s="1813">
        <f t="shared" si="3"/>
        <v>1</v>
      </c>
      <c r="AB19" s="1813">
        <f t="shared" si="4"/>
        <v>1</v>
      </c>
      <c r="AC19" s="1813">
        <f t="shared" si="5"/>
        <v>1</v>
      </c>
    </row>
    <row r="20" spans="1:29" ht="15">
      <c r="A20" s="427"/>
      <c r="B20" s="455"/>
      <c r="C20" s="446"/>
      <c r="D20" s="447"/>
      <c r="E20" s="2569"/>
      <c r="F20" s="448"/>
      <c r="G20" s="2568"/>
      <c r="H20" s="447"/>
      <c r="I20" s="2569"/>
      <c r="J20" s="447"/>
      <c r="K20" s="614"/>
      <c r="L20" s="1142"/>
      <c r="M20" s="1133"/>
      <c r="N20" s="1133"/>
      <c r="O20" s="1133"/>
      <c r="P20" s="3299"/>
      <c r="Q20" s="1812"/>
      <c r="R20" s="773"/>
      <c r="S20" s="774"/>
      <c r="T20" s="773"/>
      <c r="U20" s="774"/>
      <c r="V20" s="773"/>
      <c r="W20" s="774"/>
      <c r="X20" s="1815"/>
      <c r="Y20" s="3301"/>
      <c r="Z20" s="1816"/>
      <c r="AA20" s="1813">
        <v>1</v>
      </c>
      <c r="AB20" s="1813">
        <v>1</v>
      </c>
      <c r="AC20" s="1813">
        <v>1</v>
      </c>
    </row>
    <row r="21" spans="1:29" ht="15">
      <c r="A21" s="427"/>
      <c r="B21" s="1386" t="s">
        <v>2626</v>
      </c>
      <c r="C21" s="2571" t="str">
        <f>估价对象房地状况!C8</f>
        <v>七通</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99"/>
      <c r="Q21" s="1812" t="str">
        <f>B21</f>
        <v>基础设施水平</v>
      </c>
      <c r="R21" s="773" t="s">
        <v>17</v>
      </c>
      <c r="S21" s="774">
        <f>F21</f>
        <v>100</v>
      </c>
      <c r="T21" s="773" t="s">
        <v>17</v>
      </c>
      <c r="U21" s="774">
        <f>H21</f>
        <v>100</v>
      </c>
      <c r="V21" s="773" t="s">
        <v>17</v>
      </c>
      <c r="W21" s="774">
        <f>J21</f>
        <v>100</v>
      </c>
      <c r="X21" s="1815"/>
      <c r="Y21" s="3301"/>
      <c r="Z21" s="1816" t="str">
        <f>Q21</f>
        <v>基础设施水平</v>
      </c>
      <c r="AA21" s="1813">
        <f t="shared" ref="AA21" si="8">D21/F21</f>
        <v>1</v>
      </c>
      <c r="AB21" s="1813">
        <f t="shared" ref="AB21" si="9">D21/H21</f>
        <v>1</v>
      </c>
      <c r="AC21" s="1813">
        <f t="shared" ref="AC21" si="10">D21/J21</f>
        <v>1</v>
      </c>
    </row>
    <row r="22" spans="1:29" ht="15">
      <c r="A22" s="427"/>
      <c r="B22" s="1386"/>
      <c r="C22" s="2572"/>
      <c r="D22" s="447"/>
      <c r="E22" s="446"/>
      <c r="F22" s="448"/>
      <c r="G22" s="446"/>
      <c r="H22" s="447"/>
      <c r="I22" s="446"/>
      <c r="J22" s="447"/>
      <c r="K22" s="1385"/>
      <c r="L22" s="1142"/>
      <c r="M22" s="1133"/>
      <c r="N22" s="1133"/>
      <c r="O22" s="1133"/>
      <c r="P22" s="3299"/>
      <c r="Q22" s="1812"/>
      <c r="R22" s="773"/>
      <c r="S22" s="774"/>
      <c r="T22" s="773"/>
      <c r="U22" s="774"/>
      <c r="V22" s="773"/>
      <c r="W22" s="774"/>
      <c r="X22" s="1815"/>
      <c r="Y22" s="3301"/>
      <c r="Z22" s="1816"/>
      <c r="AA22" s="1813">
        <v>1</v>
      </c>
      <c r="AB22" s="1813">
        <v>1</v>
      </c>
      <c r="AC22" s="1813">
        <v>1</v>
      </c>
    </row>
    <row r="23" spans="1:29" ht="15">
      <c r="A23" s="427"/>
      <c r="B23" s="450" t="s">
        <v>2087</v>
      </c>
      <c r="C23" s="2628" t="str">
        <f>估价对象房地状况!C9</f>
        <v>好</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99"/>
      <c r="Q23" s="1812" t="str">
        <f>B23</f>
        <v>自然及人文环境</v>
      </c>
      <c r="R23" s="773" t="s">
        <v>17</v>
      </c>
      <c r="S23" s="774">
        <f>F23</f>
        <v>100</v>
      </c>
      <c r="T23" s="773" t="s">
        <v>17</v>
      </c>
      <c r="U23" s="774">
        <f>H23</f>
        <v>100</v>
      </c>
      <c r="V23" s="773" t="s">
        <v>17</v>
      </c>
      <c r="W23" s="774">
        <f>J23</f>
        <v>100</v>
      </c>
      <c r="X23" s="1815"/>
      <c r="Y23" s="3301"/>
      <c r="Z23" s="1816" t="str">
        <f>Q23</f>
        <v>自然及人文环境</v>
      </c>
      <c r="AA23" s="1813">
        <f t="shared" si="3"/>
        <v>1</v>
      </c>
      <c r="AB23" s="1813">
        <f t="shared" si="4"/>
        <v>1</v>
      </c>
      <c r="AC23" s="1813">
        <f t="shared" si="5"/>
        <v>1</v>
      </c>
    </row>
    <row r="24" spans="1:29" ht="15">
      <c r="A24" s="427"/>
      <c r="B24" s="455"/>
      <c r="C24" s="446"/>
      <c r="D24" s="447"/>
      <c r="E24" s="2569"/>
      <c r="F24" s="448"/>
      <c r="G24" s="2568"/>
      <c r="H24" s="447"/>
      <c r="I24" s="2569"/>
      <c r="J24" s="447"/>
      <c r="K24" s="614"/>
      <c r="L24" s="1142"/>
      <c r="M24" s="1133"/>
      <c r="N24" s="1133"/>
      <c r="O24" s="1133"/>
      <c r="P24" s="3299"/>
      <c r="Q24" s="1812"/>
      <c r="R24" s="773"/>
      <c r="S24" s="774"/>
      <c r="T24" s="773"/>
      <c r="U24" s="774"/>
      <c r="V24" s="773"/>
      <c r="W24" s="774"/>
      <c r="X24" s="1815"/>
      <c r="Y24" s="3301"/>
      <c r="Z24" s="1816"/>
      <c r="AA24" s="1813">
        <v>1</v>
      </c>
      <c r="AB24" s="1813">
        <v>1</v>
      </c>
      <c r="AC24" s="1813">
        <v>1</v>
      </c>
    </row>
    <row r="25" spans="1:29" ht="15">
      <c r="A25" s="427"/>
      <c r="B25" s="421" t="s">
        <v>2627</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99"/>
      <c r="Q25" s="1812" t="str">
        <f t="shared" ref="Q25:Q46" si="11">B25</f>
        <v>临街状况</v>
      </c>
      <c r="R25" s="773" t="s">
        <v>17</v>
      </c>
      <c r="S25" s="774">
        <f>F25</f>
        <v>100</v>
      </c>
      <c r="T25" s="773" t="s">
        <v>17</v>
      </c>
      <c r="U25" s="774">
        <f>H25</f>
        <v>100</v>
      </c>
      <c r="V25" s="773" t="s">
        <v>17</v>
      </c>
      <c r="W25" s="774">
        <f>J25</f>
        <v>100</v>
      </c>
      <c r="X25" s="1815"/>
      <c r="Y25" s="3301"/>
      <c r="Z25" s="1816" t="str">
        <f>Q25</f>
        <v>临街状况</v>
      </c>
      <c r="AA25" s="1813">
        <f t="shared" si="3"/>
        <v>1</v>
      </c>
      <c r="AB25" s="1813">
        <f t="shared" si="4"/>
        <v>1</v>
      </c>
      <c r="AC25" s="1813">
        <f t="shared" si="5"/>
        <v>1</v>
      </c>
    </row>
    <row r="26" spans="1:29" ht="15">
      <c r="A26" s="427"/>
      <c r="B26" s="1388" t="s">
        <v>2628</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99"/>
      <c r="Q26" s="1812" t="str">
        <f t="shared" si="11"/>
        <v>平面位置/可视性</v>
      </c>
      <c r="R26" s="773" t="s">
        <v>17</v>
      </c>
      <c r="S26" s="774">
        <f>F26</f>
        <v>100</v>
      </c>
      <c r="T26" s="773" t="s">
        <v>17</v>
      </c>
      <c r="U26" s="774">
        <f>H26</f>
        <v>100</v>
      </c>
      <c r="V26" s="773" t="s">
        <v>17</v>
      </c>
      <c r="W26" s="774">
        <f>J26</f>
        <v>100</v>
      </c>
      <c r="X26" s="1815"/>
      <c r="Y26" s="3301"/>
      <c r="Z26" s="1816" t="str">
        <f>Q26</f>
        <v>平面位置/可视性</v>
      </c>
      <c r="AA26" s="1813">
        <f t="shared" si="3"/>
        <v>1</v>
      </c>
      <c r="AB26" s="1813">
        <f t="shared" si="4"/>
        <v>1</v>
      </c>
      <c r="AC26" s="1813">
        <f t="shared" si="5"/>
        <v>1</v>
      </c>
    </row>
    <row r="27" spans="1:29" s="117" customFormat="1" ht="15">
      <c r="A27" s="430"/>
      <c r="B27" s="450" t="s">
        <v>2629</v>
      </c>
      <c r="C27" s="2629"/>
      <c r="D27" s="461">
        <v>100</v>
      </c>
      <c r="E27" s="2629"/>
      <c r="F27" s="463">
        <f>SUMIF(90:90,E27,91:91)-SUMIF(90:90,C27,91:91)+100</f>
        <v>100</v>
      </c>
      <c r="G27" s="2629"/>
      <c r="H27" s="461">
        <f>SUMIF(90:90,G27,91:91)-SUMIF(90:90,C27,91:91)+100</f>
        <v>100</v>
      </c>
      <c r="I27" s="2629"/>
      <c r="J27" s="461">
        <f>SUMIF(90:90,I27,91:91)-SUMIF(90:90,C27,91:91)+100</f>
        <v>100</v>
      </c>
      <c r="K27" s="611"/>
      <c r="L27" s="1134"/>
      <c r="M27" s="1135"/>
      <c r="N27" s="1135"/>
      <c r="O27" s="1135"/>
      <c r="P27" s="3299"/>
      <c r="Q27" s="1797" t="str">
        <f t="shared" si="11"/>
        <v>人流量</v>
      </c>
      <c r="R27" s="769" t="s">
        <v>17</v>
      </c>
      <c r="S27" s="770">
        <f>F27</f>
        <v>100</v>
      </c>
      <c r="T27" s="769" t="s">
        <v>17</v>
      </c>
      <c r="U27" s="770">
        <f>H27</f>
        <v>100</v>
      </c>
      <c r="V27" s="769" t="s">
        <v>17</v>
      </c>
      <c r="W27" s="770">
        <f>J27</f>
        <v>100</v>
      </c>
      <c r="X27" s="771"/>
      <c r="Y27" s="3301"/>
      <c r="Z27" s="55" t="str">
        <f>Q27</f>
        <v>人流量</v>
      </c>
      <c r="AA27" s="1813">
        <f>D27/F27</f>
        <v>1</v>
      </c>
      <c r="AB27" s="1813">
        <f>D27/H27</f>
        <v>1</v>
      </c>
      <c r="AC27" s="1813">
        <f>D27/J27</f>
        <v>1</v>
      </c>
    </row>
    <row r="28" spans="1:29" ht="15">
      <c r="A28" s="427"/>
      <c r="B28" s="421" t="s">
        <v>2630</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99"/>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301"/>
      <c r="Z28" s="1816" t="str">
        <f t="shared" ref="Z28:Z46" si="15">Q28</f>
        <v>楼层</v>
      </c>
      <c r="AA28" s="1813">
        <f t="shared" si="3"/>
        <v>1</v>
      </c>
      <c r="AB28" s="1813">
        <f t="shared" si="4"/>
        <v>1</v>
      </c>
      <c r="AC28" s="1813">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99"/>
      <c r="Q29" s="1812">
        <f t="shared" si="11"/>
        <v>111</v>
      </c>
      <c r="R29" s="773" t="s">
        <v>17</v>
      </c>
      <c r="S29" s="774">
        <f t="shared" si="12"/>
        <v>100</v>
      </c>
      <c r="T29" s="773" t="s">
        <v>17</v>
      </c>
      <c r="U29" s="774">
        <f t="shared" si="13"/>
        <v>100</v>
      </c>
      <c r="V29" s="773" t="s">
        <v>17</v>
      </c>
      <c r="W29" s="774">
        <f t="shared" si="14"/>
        <v>100</v>
      </c>
      <c r="X29" s="1815"/>
      <c r="Y29" s="3301"/>
      <c r="Z29" s="1816">
        <f t="shared" si="15"/>
        <v>111</v>
      </c>
      <c r="AA29" s="1813">
        <f t="shared" si="3"/>
        <v>1</v>
      </c>
      <c r="AB29" s="1813">
        <f t="shared" si="4"/>
        <v>1</v>
      </c>
      <c r="AC29" s="1813">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99"/>
      <c r="Q30" s="1812">
        <f t="shared" si="11"/>
        <v>111</v>
      </c>
      <c r="R30" s="773" t="s">
        <v>17</v>
      </c>
      <c r="S30" s="774">
        <f t="shared" si="12"/>
        <v>100</v>
      </c>
      <c r="T30" s="773" t="s">
        <v>17</v>
      </c>
      <c r="U30" s="774">
        <f t="shared" si="13"/>
        <v>100</v>
      </c>
      <c r="V30" s="773" t="s">
        <v>17</v>
      </c>
      <c r="W30" s="774">
        <f t="shared" si="14"/>
        <v>100</v>
      </c>
      <c r="X30" s="1815"/>
      <c r="Y30" s="3301"/>
      <c r="Z30" s="1816">
        <f t="shared" si="15"/>
        <v>111</v>
      </c>
      <c r="AA30" s="1813">
        <f t="shared" si="3"/>
        <v>1</v>
      </c>
      <c r="AB30" s="1813">
        <f t="shared" si="4"/>
        <v>1</v>
      </c>
      <c r="AC30" s="1813">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99"/>
      <c r="Q31" s="1812">
        <f t="shared" si="11"/>
        <v>111</v>
      </c>
      <c r="R31" s="773" t="s">
        <v>17</v>
      </c>
      <c r="S31" s="774">
        <f t="shared" si="12"/>
        <v>100</v>
      </c>
      <c r="T31" s="773" t="s">
        <v>17</v>
      </c>
      <c r="U31" s="774">
        <f t="shared" si="13"/>
        <v>100</v>
      </c>
      <c r="V31" s="773" t="s">
        <v>17</v>
      </c>
      <c r="W31" s="774">
        <f t="shared" si="14"/>
        <v>100</v>
      </c>
      <c r="X31" s="1815"/>
      <c r="Y31" s="3301"/>
      <c r="Z31" s="1816">
        <f t="shared" si="15"/>
        <v>111</v>
      </c>
      <c r="AA31" s="1813">
        <f t="shared" si="3"/>
        <v>1</v>
      </c>
      <c r="AB31" s="1813">
        <f t="shared" si="4"/>
        <v>1</v>
      </c>
      <c r="AC31" s="1813">
        <f t="shared" si="5"/>
        <v>1</v>
      </c>
    </row>
    <row r="32" spans="1:29" ht="15">
      <c r="A32" s="439" t="s">
        <v>2534</v>
      </c>
      <c r="B32" s="71" t="s">
        <v>2631</v>
      </c>
      <c r="C32" s="2581"/>
      <c r="D32" s="466">
        <v>100</v>
      </c>
      <c r="E32" s="2581"/>
      <c r="F32" s="460">
        <f>SUMIF(100:100,E32,101:101)-SUMIF(100:100,C32,101:101)+100</f>
        <v>100</v>
      </c>
      <c r="G32" s="2581"/>
      <c r="H32" s="434">
        <f>SUMIF(100:100,G32,101:101)-SUMIF(100:100,C32,101:101)+100</f>
        <v>100</v>
      </c>
      <c r="I32" s="2581"/>
      <c r="J32" s="466">
        <f>SUMIF(100:100,I32,101:101)-SUMIF(100:100,C32,101:101)+100</f>
        <v>100</v>
      </c>
      <c r="K32" s="611"/>
      <c r="L32" s="1142"/>
      <c r="M32" s="1133"/>
      <c r="N32" s="1133"/>
      <c r="O32" s="1133"/>
      <c r="P32" s="3302" t="s">
        <v>2536</v>
      </c>
      <c r="Q32" s="1812" t="str">
        <f t="shared" si="11"/>
        <v>商业类型</v>
      </c>
      <c r="R32" s="773" t="s">
        <v>17</v>
      </c>
      <c r="S32" s="774">
        <f t="shared" si="12"/>
        <v>100</v>
      </c>
      <c r="T32" s="773" t="s">
        <v>17</v>
      </c>
      <c r="U32" s="774">
        <f t="shared" si="13"/>
        <v>100</v>
      </c>
      <c r="V32" s="773" t="s">
        <v>17</v>
      </c>
      <c r="W32" s="774">
        <f t="shared" si="14"/>
        <v>100</v>
      </c>
      <c r="X32" s="1815"/>
      <c r="Y32" s="3305" t="s">
        <v>2536</v>
      </c>
      <c r="Z32" s="1816" t="str">
        <f t="shared" si="15"/>
        <v>商业类型</v>
      </c>
      <c r="AA32" s="1813">
        <f t="shared" si="3"/>
        <v>1</v>
      </c>
      <c r="AB32" s="1813">
        <f t="shared" si="4"/>
        <v>1</v>
      </c>
      <c r="AC32" s="1813">
        <f t="shared" si="5"/>
        <v>1</v>
      </c>
    </row>
    <row r="33" spans="1:29" s="470" customFormat="1" ht="15">
      <c r="A33" s="467"/>
      <c r="B33" s="421" t="s">
        <v>2537</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303"/>
      <c r="Q33" s="775" t="str">
        <f t="shared" si="11"/>
        <v>项目建筑规模</v>
      </c>
      <c r="R33" s="776" t="s">
        <v>17</v>
      </c>
      <c r="S33" s="777" t="e">
        <f t="shared" si="12"/>
        <v>#N/A</v>
      </c>
      <c r="T33" s="776" t="s">
        <v>17</v>
      </c>
      <c r="U33" s="777" t="e">
        <f t="shared" si="13"/>
        <v>#N/A</v>
      </c>
      <c r="V33" s="776" t="s">
        <v>17</v>
      </c>
      <c r="W33" s="777" t="e">
        <f t="shared" si="14"/>
        <v>#N/A</v>
      </c>
      <c r="X33" s="778"/>
      <c r="Y33" s="3305"/>
      <c r="Z33" s="779" t="str">
        <f t="shared" si="15"/>
        <v>项目建筑规模</v>
      </c>
      <c r="AA33" s="1813" t="e">
        <f t="shared" si="3"/>
        <v>#N/A</v>
      </c>
      <c r="AB33" s="1813" t="e">
        <f t="shared" si="4"/>
        <v>#N/A</v>
      </c>
      <c r="AC33" s="1813" t="e">
        <f t="shared" si="5"/>
        <v>#N/A</v>
      </c>
    </row>
    <row r="34" spans="1:29" ht="15">
      <c r="A34" s="471"/>
      <c r="B34" s="421" t="s">
        <v>2538</v>
      </c>
      <c r="C34" s="2583"/>
      <c r="D34" s="434">
        <v>100</v>
      </c>
      <c r="E34" s="2583"/>
      <c r="F34" s="460">
        <f>SUMIF(105:105,E34,106:106)-SUMIF(105:105,C34,106:106)+100</f>
        <v>100</v>
      </c>
      <c r="G34" s="2583"/>
      <c r="H34" s="434">
        <f>SUMIF(105:105,G34,106:106)-SUMIF(105:105,C34,106:106)+100</f>
        <v>100</v>
      </c>
      <c r="I34" s="2583"/>
      <c r="J34" s="434">
        <f>SUMIF(105:105,I34,106:106)-SUMIF(105:105,C34,106:106)+100</f>
        <v>100</v>
      </c>
      <c r="K34" s="611"/>
      <c r="L34" s="1142"/>
      <c r="M34" s="1133"/>
      <c r="N34" s="1133"/>
      <c r="O34" s="1133"/>
      <c r="P34" s="3303"/>
      <c r="Q34" s="1812" t="str">
        <f t="shared" si="11"/>
        <v>建筑结构</v>
      </c>
      <c r="R34" s="773" t="s">
        <v>17</v>
      </c>
      <c r="S34" s="774">
        <f t="shared" si="12"/>
        <v>100</v>
      </c>
      <c r="T34" s="773" t="s">
        <v>17</v>
      </c>
      <c r="U34" s="774">
        <f t="shared" si="13"/>
        <v>100</v>
      </c>
      <c r="V34" s="773" t="s">
        <v>17</v>
      </c>
      <c r="W34" s="774">
        <f t="shared" si="14"/>
        <v>100</v>
      </c>
      <c r="X34" s="1815"/>
      <c r="Y34" s="3305"/>
      <c r="Z34" s="1816" t="str">
        <f t="shared" si="15"/>
        <v>建筑结构</v>
      </c>
      <c r="AA34" s="1813">
        <f t="shared" si="3"/>
        <v>1</v>
      </c>
      <c r="AB34" s="1813">
        <f t="shared" si="4"/>
        <v>1</v>
      </c>
      <c r="AC34" s="1813">
        <f t="shared" si="5"/>
        <v>1</v>
      </c>
    </row>
    <row r="35" spans="1:29" ht="15">
      <c r="A35" s="471"/>
      <c r="B35" s="421" t="s">
        <v>2632</v>
      </c>
      <c r="C35" s="2577"/>
      <c r="D35" s="434">
        <v>100</v>
      </c>
      <c r="E35" s="2577"/>
      <c r="F35" s="460">
        <f>SUMIF(107:107,E35,108:108)-SUMIF(107:107,C35,108:108)+100</f>
        <v>100</v>
      </c>
      <c r="G35" s="2577"/>
      <c r="H35" s="434">
        <f>SUMIF(107:107,G35,108:108)-SUMIF(107:107,C35,108:108)+100</f>
        <v>100</v>
      </c>
      <c r="I35" s="2577"/>
      <c r="J35" s="434">
        <f>SUMIF(107:107,I35,108:108)-SUMIF(107:107,C35,108:108)+100</f>
        <v>100</v>
      </c>
      <c r="K35" s="611"/>
      <c r="L35" s="1142"/>
      <c r="M35" s="1133"/>
      <c r="N35" s="1133"/>
      <c r="O35" s="1133"/>
      <c r="P35" s="3303"/>
      <c r="Q35" s="1812" t="str">
        <f t="shared" si="11"/>
        <v>公共部分装修</v>
      </c>
      <c r="R35" s="773" t="s">
        <v>17</v>
      </c>
      <c r="S35" s="774">
        <f t="shared" si="12"/>
        <v>100</v>
      </c>
      <c r="T35" s="773" t="s">
        <v>17</v>
      </c>
      <c r="U35" s="774">
        <f t="shared" si="13"/>
        <v>100</v>
      </c>
      <c r="V35" s="773" t="s">
        <v>17</v>
      </c>
      <c r="W35" s="774">
        <f t="shared" si="14"/>
        <v>100</v>
      </c>
      <c r="X35" s="1815"/>
      <c r="Y35" s="3305"/>
      <c r="Z35" s="1816" t="str">
        <f t="shared" si="15"/>
        <v>公共部分装修</v>
      </c>
      <c r="AA35" s="1813">
        <f t="shared" si="3"/>
        <v>1</v>
      </c>
      <c r="AB35" s="1813">
        <f t="shared" si="4"/>
        <v>1</v>
      </c>
      <c r="AC35" s="1813">
        <f t="shared" si="5"/>
        <v>1</v>
      </c>
    </row>
    <row r="36" spans="1:29" ht="15">
      <c r="A36" s="471"/>
      <c r="B36" s="421" t="s">
        <v>2633</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303"/>
      <c r="Q36" s="1812" t="str">
        <f t="shared" si="11"/>
        <v>成新度</v>
      </c>
      <c r="R36" s="773" t="s">
        <v>17</v>
      </c>
      <c r="S36" s="774" t="e">
        <f t="shared" si="12"/>
        <v>#N/A</v>
      </c>
      <c r="T36" s="773" t="s">
        <v>17</v>
      </c>
      <c r="U36" s="774" t="e">
        <f t="shared" si="13"/>
        <v>#N/A</v>
      </c>
      <c r="V36" s="773" t="s">
        <v>17</v>
      </c>
      <c r="W36" s="774" t="e">
        <f t="shared" si="14"/>
        <v>#N/A</v>
      </c>
      <c r="X36" s="1815"/>
      <c r="Y36" s="3305"/>
      <c r="Z36" s="1816" t="str">
        <f t="shared" si="15"/>
        <v>成新度</v>
      </c>
      <c r="AA36" s="1813" t="e">
        <f t="shared" si="3"/>
        <v>#N/A</v>
      </c>
      <c r="AB36" s="1813" t="e">
        <f t="shared" si="4"/>
        <v>#N/A</v>
      </c>
      <c r="AC36" s="1813" t="e">
        <f t="shared" si="5"/>
        <v>#N/A</v>
      </c>
    </row>
    <row r="37" spans="1:29" s="117" customFormat="1" ht="15">
      <c r="A37" s="472"/>
      <c r="B37" s="421" t="s">
        <v>2634</v>
      </c>
      <c r="C37" s="2577"/>
      <c r="D37" s="135">
        <v>100</v>
      </c>
      <c r="E37" s="2577"/>
      <c r="F37" s="460">
        <f>SUMIF(112:112,E37,113:113)-SUMIF(112:112,C37,113:113)+100</f>
        <v>100</v>
      </c>
      <c r="G37" s="2577"/>
      <c r="H37" s="434">
        <f>SUMIF(112:112,G37,113:113)-SUMIF(112:112,C37,113:113)+100</f>
        <v>100</v>
      </c>
      <c r="I37" s="2577"/>
      <c r="J37" s="434">
        <f>SUMIF(112:112,I37,113:113)-SUMIF(112:112,C37,113:113)+100</f>
        <v>100</v>
      </c>
      <c r="K37" s="611"/>
      <c r="L37" s="1134"/>
      <c r="M37" s="1135"/>
      <c r="N37" s="1135"/>
      <c r="O37" s="1135"/>
      <c r="P37" s="3303"/>
      <c r="Q37" s="1797" t="str">
        <f t="shared" si="11"/>
        <v>市政基础设施</v>
      </c>
      <c r="R37" s="769" t="s">
        <v>17</v>
      </c>
      <c r="S37" s="770">
        <f t="shared" si="12"/>
        <v>100</v>
      </c>
      <c r="T37" s="769" t="s">
        <v>17</v>
      </c>
      <c r="U37" s="770">
        <f t="shared" si="13"/>
        <v>100</v>
      </c>
      <c r="V37" s="769" t="s">
        <v>17</v>
      </c>
      <c r="W37" s="770">
        <f t="shared" si="14"/>
        <v>100</v>
      </c>
      <c r="X37" s="771"/>
      <c r="Y37" s="3305"/>
      <c r="Z37" s="55" t="str">
        <f t="shared" si="15"/>
        <v>市政基础设施</v>
      </c>
      <c r="AA37" s="772">
        <f t="shared" si="3"/>
        <v>1</v>
      </c>
      <c r="AB37" s="772">
        <f t="shared" si="4"/>
        <v>1</v>
      </c>
      <c r="AC37" s="772">
        <f t="shared" si="5"/>
        <v>1</v>
      </c>
    </row>
    <row r="38" spans="1:29" ht="15">
      <c r="A38" s="471"/>
      <c r="B38" s="421" t="s">
        <v>2635</v>
      </c>
      <c r="C38" s="2577"/>
      <c r="D38" s="434">
        <v>100</v>
      </c>
      <c r="E38" s="2577"/>
      <c r="F38" s="460">
        <f>SUMIF(114:114,E38,115:115)-SUMIF(114:114,C38,115:115)+100</f>
        <v>100</v>
      </c>
      <c r="G38" s="2577"/>
      <c r="H38" s="434">
        <f>SUMIF(114:114,G38,115:115)-SUMIF(114:114,C38,115:115)+100</f>
        <v>100</v>
      </c>
      <c r="I38" s="2577"/>
      <c r="J38" s="434">
        <f>SUMIF(114:114,I38,115:115)-SUMIF(114:114,C38,115:115)+100</f>
        <v>100</v>
      </c>
      <c r="K38" s="611"/>
      <c r="L38" s="1142"/>
      <c r="M38" s="1133"/>
      <c r="N38" s="1133"/>
      <c r="O38" s="1133"/>
      <c r="P38" s="3303" t="s">
        <v>2536</v>
      </c>
      <c r="Q38" s="1812" t="str">
        <f t="shared" si="11"/>
        <v>业态</v>
      </c>
      <c r="R38" s="773" t="s">
        <v>17</v>
      </c>
      <c r="S38" s="774">
        <f t="shared" si="12"/>
        <v>100</v>
      </c>
      <c r="T38" s="773" t="s">
        <v>17</v>
      </c>
      <c r="U38" s="774">
        <f t="shared" si="13"/>
        <v>100</v>
      </c>
      <c r="V38" s="773" t="s">
        <v>17</v>
      </c>
      <c r="W38" s="774">
        <f t="shared" si="14"/>
        <v>100</v>
      </c>
      <c r="X38" s="1815"/>
      <c r="Y38" s="3305" t="s">
        <v>2536</v>
      </c>
      <c r="Z38" s="1816" t="str">
        <f t="shared" si="15"/>
        <v>业态</v>
      </c>
      <c r="AA38" s="1813">
        <f t="shared" si="3"/>
        <v>1</v>
      </c>
      <c r="AB38" s="1813">
        <f t="shared" si="4"/>
        <v>1</v>
      </c>
      <c r="AC38" s="1813">
        <f t="shared" si="5"/>
        <v>1</v>
      </c>
    </row>
    <row r="39" spans="1:29" ht="15">
      <c r="A39" s="471"/>
      <c r="B39" s="421" t="s">
        <v>2636</v>
      </c>
      <c r="C39" s="2577"/>
      <c r="D39" s="434">
        <v>100</v>
      </c>
      <c r="E39" s="2577"/>
      <c r="F39" s="460">
        <f>SUMIF(116:116,E39,117:117)-SUMIF(116:116,C39,117:117)+100</f>
        <v>100</v>
      </c>
      <c r="G39" s="2577"/>
      <c r="H39" s="434">
        <f>SUMIF(116:116,G39,117:117)-SUMIF(116:116,C39,117:117)+100</f>
        <v>100</v>
      </c>
      <c r="I39" s="2577"/>
      <c r="J39" s="434">
        <f>SUMIF(116:116,I39,117:117)-SUMIF(116:116,C39,117:117)+100</f>
        <v>100</v>
      </c>
      <c r="K39" s="611"/>
      <c r="L39" s="1142"/>
      <c r="M39" s="1133"/>
      <c r="N39" s="1133"/>
      <c r="O39" s="1133"/>
      <c r="P39" s="3303"/>
      <c r="Q39" s="1812" t="str">
        <f t="shared" si="11"/>
        <v>层高</v>
      </c>
      <c r="R39" s="773" t="s">
        <v>17</v>
      </c>
      <c r="S39" s="774">
        <f t="shared" si="12"/>
        <v>100</v>
      </c>
      <c r="T39" s="773" t="s">
        <v>17</v>
      </c>
      <c r="U39" s="774">
        <f t="shared" si="13"/>
        <v>100</v>
      </c>
      <c r="V39" s="773" t="s">
        <v>17</v>
      </c>
      <c r="W39" s="774">
        <f t="shared" si="14"/>
        <v>100</v>
      </c>
      <c r="X39" s="1815"/>
      <c r="Y39" s="3305"/>
      <c r="Z39" s="1816" t="str">
        <f t="shared" si="15"/>
        <v>层高</v>
      </c>
      <c r="AA39" s="1813">
        <f t="shared" si="3"/>
        <v>1</v>
      </c>
      <c r="AB39" s="1813">
        <f t="shared" si="4"/>
        <v>1</v>
      </c>
      <c r="AC39" s="1813">
        <f t="shared" si="5"/>
        <v>1</v>
      </c>
    </row>
    <row r="40" spans="1:29" ht="15">
      <c r="A40" s="471"/>
      <c r="B40" s="421" t="s">
        <v>2637</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303"/>
      <c r="Q40" s="1812" t="str">
        <f t="shared" si="11"/>
        <v>单套建筑面积</v>
      </c>
      <c r="R40" s="773" t="s">
        <v>17</v>
      </c>
      <c r="S40" s="774">
        <f t="shared" si="12"/>
        <v>100</v>
      </c>
      <c r="T40" s="773" t="s">
        <v>17</v>
      </c>
      <c r="U40" s="774">
        <f t="shared" si="13"/>
        <v>100</v>
      </c>
      <c r="V40" s="773" t="s">
        <v>17</v>
      </c>
      <c r="W40" s="774">
        <f t="shared" si="14"/>
        <v>100</v>
      </c>
      <c r="X40" s="1815"/>
      <c r="Y40" s="3305"/>
      <c r="Z40" s="1816" t="str">
        <f t="shared" si="15"/>
        <v>单套建筑面积</v>
      </c>
      <c r="AA40" s="1813">
        <f t="shared" si="3"/>
        <v>1</v>
      </c>
      <c r="AB40" s="1813">
        <f t="shared" si="4"/>
        <v>1</v>
      </c>
      <c r="AC40" s="1813">
        <f t="shared" si="5"/>
        <v>1</v>
      </c>
    </row>
    <row r="41" spans="1:29" s="470" customFormat="1" ht="15">
      <c r="A41" s="467"/>
      <c r="B41" s="1814" t="s">
        <v>2638</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303"/>
      <c r="Q41" s="775" t="str">
        <f t="shared" si="11"/>
        <v>进深比</v>
      </c>
      <c r="R41" s="776" t="s">
        <v>17</v>
      </c>
      <c r="S41" s="777">
        <f t="shared" si="12"/>
        <v>100</v>
      </c>
      <c r="T41" s="776" t="s">
        <v>17</v>
      </c>
      <c r="U41" s="777">
        <f t="shared" si="13"/>
        <v>100</v>
      </c>
      <c r="V41" s="776" t="s">
        <v>17</v>
      </c>
      <c r="W41" s="777">
        <f t="shared" si="14"/>
        <v>100</v>
      </c>
      <c r="X41" s="778"/>
      <c r="Y41" s="3305"/>
      <c r="Z41" s="779" t="str">
        <f t="shared" si="15"/>
        <v>进深比</v>
      </c>
      <c r="AA41" s="1813">
        <f t="shared" si="3"/>
        <v>1</v>
      </c>
      <c r="AB41" s="1813">
        <f t="shared" si="4"/>
        <v>1</v>
      </c>
      <c r="AC41" s="1813">
        <f t="shared" si="5"/>
        <v>1</v>
      </c>
    </row>
    <row r="42" spans="1:29" ht="15">
      <c r="A42" s="471"/>
      <c r="B42" s="421" t="s">
        <v>2639</v>
      </c>
      <c r="C42" s="2577"/>
      <c r="D42" s="434">
        <v>100</v>
      </c>
      <c r="E42" s="2577"/>
      <c r="F42" s="460">
        <f>SUMIF(122:122,E42,123:123)-SUMIF(122:122,C42,123:123)+100</f>
        <v>100</v>
      </c>
      <c r="G42" s="2577"/>
      <c r="H42" s="434">
        <f>SUMIF(122:122,G42,123:123)-SUMIF(122:122,C42,123:123)+100</f>
        <v>100</v>
      </c>
      <c r="I42" s="2577"/>
      <c r="J42" s="434">
        <f>SUMIF(122:122,I42,123:123)-SUMIF(122:122,C42,123:123)+100</f>
        <v>100</v>
      </c>
      <c r="K42" s="611"/>
      <c r="L42" s="1142"/>
      <c r="M42" s="1133"/>
      <c r="N42" s="1133"/>
      <c r="O42" s="1133"/>
      <c r="P42" s="3303"/>
      <c r="Q42" s="1812" t="str">
        <f t="shared" si="11"/>
        <v>内部装修</v>
      </c>
      <c r="R42" s="773" t="s">
        <v>17</v>
      </c>
      <c r="S42" s="774">
        <f t="shared" si="12"/>
        <v>100</v>
      </c>
      <c r="T42" s="773" t="s">
        <v>17</v>
      </c>
      <c r="U42" s="774">
        <f t="shared" si="13"/>
        <v>100</v>
      </c>
      <c r="V42" s="773" t="s">
        <v>17</v>
      </c>
      <c r="W42" s="774">
        <f t="shared" si="14"/>
        <v>100</v>
      </c>
      <c r="X42" s="1815"/>
      <c r="Y42" s="3305"/>
      <c r="Z42" s="1816" t="str">
        <f t="shared" si="15"/>
        <v>内部装修</v>
      </c>
      <c r="AA42" s="1813">
        <f t="shared" si="3"/>
        <v>1</v>
      </c>
      <c r="AB42" s="1813">
        <f t="shared" si="4"/>
        <v>1</v>
      </c>
      <c r="AC42" s="1813">
        <f t="shared" si="5"/>
        <v>1</v>
      </c>
    </row>
    <row r="43" spans="1:29" ht="15">
      <c r="A43" s="471"/>
      <c r="B43" s="421" t="s">
        <v>2547</v>
      </c>
      <c r="C43" s="2577"/>
      <c r="D43" s="434">
        <v>100</v>
      </c>
      <c r="E43" s="2577"/>
      <c r="F43" s="460">
        <f>SUMIF(124:124,E43,125:125)-SUMIF(124:124,C43,125:125)+100</f>
        <v>100</v>
      </c>
      <c r="G43" s="2577"/>
      <c r="H43" s="434">
        <f>SUMIF(124:124,G43,125:125)-SUMIF(124:124,C43,125:125)+100</f>
        <v>100</v>
      </c>
      <c r="I43" s="2577"/>
      <c r="J43" s="434">
        <f>SUMIF(124:124,I43,125:125)-SUMIF(124:124,C43,125:125)+100</f>
        <v>100</v>
      </c>
      <c r="K43" s="611"/>
      <c r="L43" s="1142"/>
      <c r="M43" s="1133"/>
      <c r="N43" s="1133"/>
      <c r="O43" s="1133"/>
      <c r="P43" s="3303"/>
      <c r="Q43" s="1812" t="str">
        <f t="shared" si="11"/>
        <v>内部装修维护情况</v>
      </c>
      <c r="R43" s="773" t="s">
        <v>17</v>
      </c>
      <c r="S43" s="774">
        <f t="shared" si="12"/>
        <v>100</v>
      </c>
      <c r="T43" s="773" t="s">
        <v>17</v>
      </c>
      <c r="U43" s="774">
        <f t="shared" si="13"/>
        <v>100</v>
      </c>
      <c r="V43" s="773" t="s">
        <v>17</v>
      </c>
      <c r="W43" s="774">
        <f t="shared" si="14"/>
        <v>100</v>
      </c>
      <c r="X43" s="1815"/>
      <c r="Y43" s="3305"/>
      <c r="Z43" s="1816" t="str">
        <f t="shared" si="15"/>
        <v>内部装修维护情况</v>
      </c>
      <c r="AA43" s="1813">
        <f t="shared" si="3"/>
        <v>1</v>
      </c>
      <c r="AB43" s="1813">
        <f t="shared" si="4"/>
        <v>1</v>
      </c>
      <c r="AC43" s="1813">
        <f t="shared" si="5"/>
        <v>1</v>
      </c>
    </row>
    <row r="44" spans="1:29" s="117"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303"/>
      <c r="Q44" s="1797">
        <f t="shared" si="11"/>
        <v>111</v>
      </c>
      <c r="R44" s="769" t="s">
        <v>17</v>
      </c>
      <c r="S44" s="770">
        <f t="shared" si="12"/>
        <v>100</v>
      </c>
      <c r="T44" s="769" t="s">
        <v>17</v>
      </c>
      <c r="U44" s="770">
        <f t="shared" si="13"/>
        <v>100</v>
      </c>
      <c r="V44" s="769" t="s">
        <v>17</v>
      </c>
      <c r="W44" s="770">
        <f t="shared" si="14"/>
        <v>100</v>
      </c>
      <c r="X44" s="771"/>
      <c r="Y44" s="3305"/>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303"/>
      <c r="Q45" s="1812">
        <f t="shared" si="11"/>
        <v>111</v>
      </c>
      <c r="R45" s="773" t="s">
        <v>17</v>
      </c>
      <c r="S45" s="774">
        <f t="shared" si="12"/>
        <v>100</v>
      </c>
      <c r="T45" s="773" t="s">
        <v>17</v>
      </c>
      <c r="U45" s="774">
        <f t="shared" si="13"/>
        <v>100</v>
      </c>
      <c r="V45" s="773" t="s">
        <v>17</v>
      </c>
      <c r="W45" s="774">
        <f t="shared" si="14"/>
        <v>100</v>
      </c>
      <c r="X45" s="1815"/>
      <c r="Y45" s="3305"/>
      <c r="Z45" s="1816">
        <f t="shared" si="15"/>
        <v>111</v>
      </c>
      <c r="AA45" s="1813">
        <f t="shared" si="3"/>
        <v>1</v>
      </c>
      <c r="AB45" s="1813">
        <f t="shared" si="4"/>
        <v>1</v>
      </c>
      <c r="AC45" s="1813">
        <f t="shared" si="5"/>
        <v>1</v>
      </c>
    </row>
    <row r="46" spans="1:29" ht="15.75" thickBot="1">
      <c r="A46" s="477"/>
      <c r="B46" s="2566">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304"/>
      <c r="Q46" s="1812">
        <f t="shared" si="11"/>
        <v>111</v>
      </c>
      <c r="R46" s="773" t="s">
        <v>17</v>
      </c>
      <c r="S46" s="774">
        <f t="shared" si="12"/>
        <v>100</v>
      </c>
      <c r="T46" s="773" t="s">
        <v>17</v>
      </c>
      <c r="U46" s="774">
        <f t="shared" si="13"/>
        <v>100</v>
      </c>
      <c r="V46" s="773" t="s">
        <v>17</v>
      </c>
      <c r="W46" s="774">
        <f t="shared" si="14"/>
        <v>100</v>
      </c>
      <c r="X46" s="1815"/>
      <c r="Y46" s="3306"/>
      <c r="Z46" s="1816">
        <f t="shared" si="15"/>
        <v>111</v>
      </c>
      <c r="AA46" s="1813">
        <f t="shared" si="3"/>
        <v>1</v>
      </c>
      <c r="AB46" s="1813">
        <f t="shared" si="4"/>
        <v>1</v>
      </c>
      <c r="AC46" s="1813">
        <f t="shared" si="5"/>
        <v>1</v>
      </c>
    </row>
    <row r="47" spans="1:29" ht="15">
      <c r="A47" s="478" t="s">
        <v>2548</v>
      </c>
      <c r="B47" s="479"/>
      <c r="C47" s="1409" t="s">
        <v>1</v>
      </c>
      <c r="D47" s="1410"/>
      <c r="E47" s="1411"/>
      <c r="F47" s="1412"/>
      <c r="G47" s="1413"/>
      <c r="H47" s="1414"/>
      <c r="I47" s="1411"/>
      <c r="J47" s="1414"/>
      <c r="K47" s="782"/>
      <c r="L47" s="1145"/>
      <c r="M47" s="1146"/>
      <c r="N47" s="1133"/>
      <c r="O47" s="1146"/>
      <c r="P47" s="3293" t="str">
        <f>A47</f>
        <v>成交单价（元/平方米）</v>
      </c>
      <c r="Q47" s="3293"/>
      <c r="R47" s="3327">
        <f>E47</f>
        <v>0</v>
      </c>
      <c r="S47" s="3327"/>
      <c r="T47" s="3327">
        <f>G47</f>
        <v>0</v>
      </c>
      <c r="U47" s="3327"/>
      <c r="V47" s="3327">
        <f>I47</f>
        <v>0</v>
      </c>
      <c r="W47" s="3327"/>
      <c r="X47" s="758"/>
      <c r="Y47" s="780"/>
      <c r="Z47" s="758"/>
      <c r="AA47" s="758"/>
      <c r="AB47" s="758"/>
      <c r="AC47" s="758"/>
    </row>
    <row r="48" spans="1:29" ht="15.75" thickBot="1">
      <c r="A48" s="485" t="s">
        <v>2640</v>
      </c>
      <c r="B48" s="486"/>
      <c r="C48" s="1415" t="e">
        <f>R49</f>
        <v>#DIV/0!</v>
      </c>
      <c r="D48" s="1416"/>
      <c r="E48" s="1417" t="e">
        <f>R48</f>
        <v>#DIV/0!</v>
      </c>
      <c r="F48" s="1417"/>
      <c r="G48" s="1415" t="e">
        <f>T48</f>
        <v>#DIV/0!</v>
      </c>
      <c r="H48" s="1416"/>
      <c r="I48" s="1417" t="e">
        <f>V48</f>
        <v>#DIV/0!</v>
      </c>
      <c r="J48" s="1416"/>
      <c r="K48" s="783"/>
      <c r="L48" s="1145"/>
      <c r="M48" s="1146"/>
      <c r="N48" s="1133"/>
      <c r="O48" s="1146"/>
      <c r="P48" s="3293" t="str">
        <f>A48</f>
        <v>比较价值（元/平方米）</v>
      </c>
      <c r="Q48" s="3293"/>
      <c r="R48" s="3294" t="e">
        <f>IF(F1="售价",ROUND(PRODUCT(R47,AA7:AA46),0),ROUND(PRODUCT(R47,AA7:AA46),1))</f>
        <v>#DIV/0!</v>
      </c>
      <c r="S48" s="3294"/>
      <c r="T48" s="3294" t="e">
        <f>IF(F1="售价",ROUND(PRODUCT(T47,AB7:AB46),0),ROUND(PRODUCT(T47,AB7:AB46),1))</f>
        <v>#DIV/0!</v>
      </c>
      <c r="U48" s="3294"/>
      <c r="V48" s="3294" t="e">
        <f>IF(F1="售价",ROUND(PRODUCT(V47,AC7:AC46),0),ROUND(PRODUCT(V47,AC7:AC46),1))</f>
        <v>#DIV/0!</v>
      </c>
      <c r="W48" s="3294"/>
      <c r="X48" s="758"/>
      <c r="Y48" s="758"/>
      <c r="Z48" s="758"/>
      <c r="AA48" s="758"/>
      <c r="AB48" s="758"/>
      <c r="AC48" s="758"/>
    </row>
    <row r="49" spans="1:29" ht="15.75" thickBot="1">
      <c r="A49" s="491" t="s">
        <v>2641</v>
      </c>
      <c r="B49" s="492"/>
      <c r="C49" s="1419" t="e">
        <f>R49</f>
        <v>#DIV/0!</v>
      </c>
      <c r="D49" s="1419"/>
      <c r="E49" s="1419"/>
      <c r="F49" s="1419"/>
      <c r="G49" s="1419"/>
      <c r="H49" s="1419"/>
      <c r="I49" s="1419"/>
      <c r="J49" s="1419"/>
      <c r="K49" s="784"/>
      <c r="L49" s="1145"/>
      <c r="M49" s="1146"/>
      <c r="N49" s="1133"/>
      <c r="O49" s="1146"/>
      <c r="P49" s="3351" t="str">
        <f>A49</f>
        <v>估价对象XX用房的比较价值（楼面单价，元/平方米）</v>
      </c>
      <c r="Q49" s="3352"/>
      <c r="R49" s="3353" t="e">
        <f>IF(F1="售价",ROUND(AVERAGE(R48:V48),0),ROUND(AVERAGE(R48:V48),1))</f>
        <v>#DIV/0!</v>
      </c>
      <c r="S49" s="3353"/>
      <c r="T49" s="3353"/>
      <c r="U49" s="3353"/>
      <c r="V49" s="3353"/>
      <c r="W49" s="335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2642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2643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2644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30"/>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30"/>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2645</v>
      </c>
      <c r="B57" s="758"/>
      <c r="C57" s="763"/>
      <c r="D57" s="763"/>
      <c r="E57" s="763"/>
      <c r="F57" s="764"/>
      <c r="G57" s="764"/>
      <c r="H57" s="763"/>
      <c r="I57" s="763"/>
      <c r="J57" s="763"/>
      <c r="K57" s="765"/>
      <c r="L57" s="1163"/>
      <c r="M57" s="1161"/>
      <c r="N57" s="1161"/>
      <c r="O57" s="1161"/>
      <c r="P57" s="2631"/>
      <c r="Q57" s="2632"/>
      <c r="R57" s="758"/>
      <c r="S57" s="758"/>
      <c r="T57" s="758"/>
      <c r="U57" s="758"/>
      <c r="V57" s="758"/>
      <c r="W57" s="758"/>
      <c r="X57" s="758"/>
      <c r="Y57" s="758"/>
      <c r="Z57" s="758"/>
      <c r="AA57" s="758"/>
      <c r="AB57" s="758"/>
      <c r="AC57" s="758"/>
    </row>
    <row r="58" spans="1:29" s="507" customFormat="1" ht="15">
      <c r="A58" s="504" t="s">
        <v>2519</v>
      </c>
      <c r="B58" s="505"/>
      <c r="C58" s="1576" t="str">
        <f>YEAR(C7)&amp;"-"&amp;MONTH(C7)</f>
        <v>2018-10</v>
      </c>
      <c r="D58" s="1577">
        <f>EDATE(C58,-1)</f>
        <v>43344</v>
      </c>
      <c r="E58" s="1577">
        <f t="shared" ref="E58:N58" si="16">EDATE(D58,-1)</f>
        <v>43313</v>
      </c>
      <c r="F58" s="1577">
        <f t="shared" si="16"/>
        <v>43282</v>
      </c>
      <c r="G58" s="1577">
        <f t="shared" si="16"/>
        <v>43252</v>
      </c>
      <c r="H58" s="1577">
        <f t="shared" si="16"/>
        <v>43221</v>
      </c>
      <c r="I58" s="1577">
        <f t="shared" si="16"/>
        <v>43191</v>
      </c>
      <c r="J58" s="1577">
        <f t="shared" si="16"/>
        <v>43160</v>
      </c>
      <c r="K58" s="1577">
        <f t="shared" si="16"/>
        <v>43132</v>
      </c>
      <c r="L58" s="1577">
        <f t="shared" si="16"/>
        <v>43101</v>
      </c>
      <c r="M58" s="1577">
        <f t="shared" si="16"/>
        <v>43070</v>
      </c>
      <c r="N58" s="1577">
        <f t="shared" si="16"/>
        <v>43040</v>
      </c>
      <c r="O58" s="1577">
        <f>EDATE(N58,-1)</f>
        <v>43009</v>
      </c>
      <c r="P58" s="1572"/>
    </row>
    <row r="59" spans="1:29" s="117" customFormat="1" ht="15">
      <c r="A59" s="508"/>
      <c r="B59" s="509"/>
      <c r="C59" s="1575">
        <v>100</v>
      </c>
      <c r="D59" s="511"/>
      <c r="E59" s="511"/>
      <c r="F59" s="511"/>
      <c r="G59" s="511"/>
      <c r="H59" s="511"/>
      <c r="I59" s="511"/>
      <c r="J59" s="511"/>
      <c r="K59" s="511"/>
      <c r="L59" s="511"/>
      <c r="M59" s="512"/>
      <c r="N59" s="511"/>
      <c r="O59" s="512"/>
      <c r="P59" s="2592"/>
    </row>
    <row r="60" spans="1:29" s="117" customFormat="1" ht="15.75" thickBot="1">
      <c r="A60" s="514" t="s">
        <v>2556</v>
      </c>
      <c r="B60" s="515"/>
      <c r="C60" s="516"/>
      <c r="D60" s="517"/>
      <c r="E60" s="517"/>
      <c r="F60" s="517"/>
      <c r="G60" s="517"/>
      <c r="H60" s="517"/>
      <c r="I60" s="517"/>
      <c r="J60" s="517"/>
      <c r="K60" s="517"/>
      <c r="L60" s="517"/>
      <c r="M60" s="518"/>
      <c r="N60" s="517"/>
      <c r="O60" s="518"/>
      <c r="P60" s="2592"/>
      <c r="Q60" s="503"/>
    </row>
    <row r="61" spans="1:29" s="117" customFormat="1" ht="15">
      <c r="A61" s="520" t="s">
        <v>2521</v>
      </c>
      <c r="B61" s="509"/>
      <c r="C61" s="521" t="s">
        <v>2623</v>
      </c>
      <c r="D61" s="522"/>
      <c r="E61" s="522"/>
      <c r="F61" s="522"/>
      <c r="G61" s="522"/>
      <c r="H61" s="522"/>
      <c r="I61" s="522"/>
      <c r="J61" s="522"/>
      <c r="K61" s="522"/>
      <c r="L61" s="523"/>
      <c r="M61" s="524"/>
      <c r="N61" s="1153"/>
      <c r="O61" s="1153"/>
      <c r="P61" s="2593"/>
      <c r="Q61" s="503"/>
    </row>
    <row r="62" spans="1:29" s="117" customFormat="1" ht="15.75" thickBot="1">
      <c r="A62" s="520"/>
      <c r="B62" s="509"/>
      <c r="C62" s="510">
        <v>100</v>
      </c>
      <c r="D62" s="511"/>
      <c r="E62" s="511"/>
      <c r="F62" s="511"/>
      <c r="G62" s="511"/>
      <c r="H62" s="511"/>
      <c r="I62" s="511"/>
      <c r="J62" s="511"/>
      <c r="K62" s="511"/>
      <c r="L62" s="511"/>
      <c r="M62" s="513"/>
      <c r="N62" s="1153"/>
      <c r="O62" s="1153"/>
      <c r="P62" s="2592"/>
      <c r="Q62" s="503"/>
    </row>
    <row r="63" spans="1:29">
      <c r="A63" s="526" t="s">
        <v>2559</v>
      </c>
      <c r="B63" s="527" t="s">
        <v>2525</v>
      </c>
      <c r="C63" s="528">
        <f>C9</f>
        <v>0</v>
      </c>
      <c r="D63" s="529"/>
      <c r="E63" s="529"/>
      <c r="F63" s="529"/>
      <c r="G63" s="529"/>
      <c r="H63" s="529"/>
      <c r="I63" s="529"/>
      <c r="J63" s="529"/>
      <c r="K63" s="530"/>
      <c r="L63" s="531"/>
      <c r="M63" s="532"/>
      <c r="N63" s="1154"/>
      <c r="O63" s="1154"/>
      <c r="P63" s="2594"/>
      <c r="Q63" s="503"/>
    </row>
    <row r="64" spans="1:29" ht="15.75" thickBot="1">
      <c r="A64" s="533"/>
      <c r="B64" s="534"/>
      <c r="C64" s="535">
        <v>100</v>
      </c>
      <c r="D64" s="535"/>
      <c r="E64" s="535"/>
      <c r="F64" s="535"/>
      <c r="G64" s="535"/>
      <c r="H64" s="535"/>
      <c r="I64" s="535"/>
      <c r="J64" s="535"/>
      <c r="K64" s="535"/>
      <c r="L64" s="535"/>
      <c r="M64" s="536"/>
      <c r="N64" s="1155"/>
      <c r="O64" s="1155"/>
      <c r="P64" s="2594"/>
      <c r="Q64" s="503"/>
    </row>
    <row r="65" spans="1:17" ht="27.75" thickTop="1">
      <c r="A65" s="533"/>
      <c r="B65" s="537" t="s">
        <v>2528</v>
      </c>
      <c r="C65" s="538" t="s">
        <v>2560</v>
      </c>
      <c r="D65" s="538" t="s">
        <v>2561</v>
      </c>
      <c r="E65" s="538" t="s">
        <v>2562</v>
      </c>
      <c r="F65" s="538" t="s">
        <v>2563</v>
      </c>
      <c r="G65" s="538" t="s">
        <v>2564</v>
      </c>
      <c r="H65" s="538" t="s">
        <v>2565</v>
      </c>
      <c r="I65" s="538" t="s">
        <v>2566</v>
      </c>
      <c r="J65" s="538"/>
      <c r="K65" s="539"/>
      <c r="L65" s="540"/>
      <c r="M65" s="541"/>
      <c r="N65" s="1154"/>
      <c r="O65" s="1154"/>
      <c r="P65" s="2594"/>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594"/>
      <c r="Q66" s="503"/>
    </row>
    <row r="67" spans="1:17" ht="15.75" thickTop="1">
      <c r="A67" s="533"/>
      <c r="B67" s="545" t="s">
        <v>2529</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594"/>
      <c r="Q67" s="503"/>
    </row>
    <row r="68" spans="1:17" ht="15">
      <c r="A68" s="533"/>
      <c r="B68" s="547"/>
      <c r="C68" s="548"/>
      <c r="D68" s="548"/>
      <c r="E68" s="548"/>
      <c r="F68" s="548"/>
      <c r="G68" s="548"/>
      <c r="H68" s="548"/>
      <c r="I68" s="548"/>
      <c r="J68" s="548"/>
      <c r="K68" s="549"/>
      <c r="L68" s="550"/>
      <c r="M68" s="551"/>
      <c r="N68" s="1154"/>
      <c r="O68" s="1154"/>
      <c r="P68" s="2594"/>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594"/>
      <c r="Q69" s="503"/>
    </row>
    <row r="70" spans="1:17" s="470" customFormat="1" ht="15.75" thickTop="1">
      <c r="A70" s="552"/>
      <c r="B70" s="537">
        <f>B12</f>
        <v>111</v>
      </c>
      <c r="C70" s="553"/>
      <c r="D70" s="553"/>
      <c r="E70" s="553"/>
      <c r="F70" s="553"/>
      <c r="G70" s="553"/>
      <c r="H70" s="554"/>
      <c r="I70" s="554"/>
      <c r="J70" s="554"/>
      <c r="K70" s="554"/>
      <c r="L70" s="555"/>
      <c r="M70" s="556"/>
      <c r="N70" s="1156"/>
      <c r="O70" s="1156"/>
      <c r="P70" s="2595"/>
      <c r="Q70" s="558"/>
    </row>
    <row r="71" spans="1:17" s="470" customFormat="1" ht="15.75" thickBot="1">
      <c r="A71" s="552"/>
      <c r="B71" s="542"/>
      <c r="C71" s="559"/>
      <c r="D71" s="535"/>
      <c r="E71" s="535"/>
      <c r="F71" s="535"/>
      <c r="G71" s="535"/>
      <c r="H71" s="535"/>
      <c r="I71" s="535"/>
      <c r="J71" s="535"/>
      <c r="K71" s="535"/>
      <c r="L71" s="535"/>
      <c r="M71" s="536"/>
      <c r="N71" s="1155"/>
      <c r="O71" s="1155"/>
      <c r="P71" s="2595"/>
      <c r="Q71" s="558"/>
    </row>
    <row r="72" spans="1:17" s="470" customFormat="1" ht="15.75" thickTop="1">
      <c r="A72" s="552"/>
      <c r="B72" s="537">
        <f>B13</f>
        <v>111</v>
      </c>
      <c r="C72" s="553"/>
      <c r="D72" s="553"/>
      <c r="E72" s="553"/>
      <c r="F72" s="553"/>
      <c r="G72" s="553"/>
      <c r="H72" s="554"/>
      <c r="I72" s="554"/>
      <c r="J72" s="554"/>
      <c r="K72" s="554"/>
      <c r="L72" s="555"/>
      <c r="M72" s="556"/>
      <c r="N72" s="1156"/>
      <c r="O72" s="1156"/>
      <c r="P72" s="2596"/>
      <c r="Q72" s="560"/>
    </row>
    <row r="73" spans="1:17" s="470" customFormat="1" ht="15.75" thickBot="1">
      <c r="A73" s="552"/>
      <c r="B73" s="542"/>
      <c r="C73" s="559"/>
      <c r="D73" s="535"/>
      <c r="E73" s="535"/>
      <c r="F73" s="535"/>
      <c r="G73" s="559"/>
      <c r="H73" s="561"/>
      <c r="I73" s="561"/>
      <c r="J73" s="561"/>
      <c r="K73" s="561"/>
      <c r="L73" s="561"/>
      <c r="M73" s="562"/>
      <c r="N73" s="1156"/>
      <c r="O73" s="1156"/>
      <c r="P73" s="2595"/>
      <c r="Q73" s="558"/>
    </row>
    <row r="74" spans="1:17" s="470" customFormat="1" ht="15.75" thickTop="1">
      <c r="A74" s="552"/>
      <c r="B74" s="545">
        <f>B14</f>
        <v>111</v>
      </c>
      <c r="C74" s="553"/>
      <c r="D74" s="553"/>
      <c r="E74" s="553"/>
      <c r="F74" s="553"/>
      <c r="G74" s="522"/>
      <c r="H74" s="563"/>
      <c r="I74" s="563"/>
      <c r="J74" s="563"/>
      <c r="K74" s="563"/>
      <c r="L74" s="564"/>
      <c r="M74" s="565"/>
      <c r="N74" s="1156"/>
      <c r="O74" s="1156"/>
      <c r="P74" s="2597"/>
      <c r="Q74" s="558"/>
    </row>
    <row r="75" spans="1:17" s="470" customFormat="1" ht="15.75" thickBot="1">
      <c r="A75" s="567"/>
      <c r="B75" s="568"/>
      <c r="C75" s="569"/>
      <c r="D75" s="569"/>
      <c r="E75" s="569"/>
      <c r="F75" s="569"/>
      <c r="G75" s="569"/>
      <c r="H75" s="570"/>
      <c r="I75" s="570"/>
      <c r="J75" s="570"/>
      <c r="K75" s="570"/>
      <c r="L75" s="570"/>
      <c r="M75" s="571"/>
      <c r="N75" s="1156"/>
      <c r="O75" s="1156"/>
      <c r="P75" s="2595"/>
      <c r="Q75" s="558"/>
    </row>
    <row r="76" spans="1:17">
      <c r="A76" s="526" t="s">
        <v>2530</v>
      </c>
      <c r="B76" s="527" t="s">
        <v>2567</v>
      </c>
      <c r="C76" s="572" t="s">
        <v>2568</v>
      </c>
      <c r="D76" s="572" t="s">
        <v>2569</v>
      </c>
      <c r="E76" s="572" t="s">
        <v>2570</v>
      </c>
      <c r="F76" s="572" t="s">
        <v>2571</v>
      </c>
      <c r="G76" s="572" t="s">
        <v>2572</v>
      </c>
      <c r="H76" s="528"/>
      <c r="I76" s="528"/>
      <c r="J76" s="528"/>
      <c r="K76" s="573"/>
      <c r="L76" s="574"/>
      <c r="M76" s="575"/>
      <c r="N76" s="1154"/>
      <c r="O76" s="1154"/>
      <c r="P76" s="259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594"/>
      <c r="Q77" s="503"/>
    </row>
    <row r="78" spans="1:17" ht="15.75" thickTop="1">
      <c r="A78" s="533"/>
      <c r="B78" s="537" t="s">
        <v>2573</v>
      </c>
      <c r="C78" s="577" t="s">
        <v>2568</v>
      </c>
      <c r="D78" s="577" t="s">
        <v>2569</v>
      </c>
      <c r="E78" s="577" t="s">
        <v>2570</v>
      </c>
      <c r="F78" s="577" t="s">
        <v>2571</v>
      </c>
      <c r="G78" s="577" t="s">
        <v>2572</v>
      </c>
      <c r="H78" s="538"/>
      <c r="I78" s="538"/>
      <c r="J78" s="538"/>
      <c r="K78" s="539"/>
      <c r="L78" s="540"/>
      <c r="M78" s="541"/>
      <c r="N78" s="1154"/>
      <c r="O78" s="1154"/>
      <c r="P78" s="259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594"/>
      <c r="Q79" s="503"/>
    </row>
    <row r="80" spans="1:17" ht="15.75" thickTop="1">
      <c r="A80" s="533"/>
      <c r="B80" s="537" t="s">
        <v>2574</v>
      </c>
      <c r="C80" s="577" t="s">
        <v>2568</v>
      </c>
      <c r="D80" s="577" t="s">
        <v>2569</v>
      </c>
      <c r="E80" s="577" t="s">
        <v>2570</v>
      </c>
      <c r="F80" s="577" t="s">
        <v>2571</v>
      </c>
      <c r="G80" s="577" t="s">
        <v>2572</v>
      </c>
      <c r="H80" s="538"/>
      <c r="I80" s="538"/>
      <c r="J80" s="538"/>
      <c r="K80" s="539"/>
      <c r="L80" s="540"/>
      <c r="M80" s="541"/>
      <c r="N80" s="1154"/>
      <c r="O80" s="1154"/>
      <c r="P80" s="259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594"/>
      <c r="Q81" s="503"/>
    </row>
    <row r="82" spans="1:17" ht="15.75" thickTop="1">
      <c r="A82" s="533"/>
      <c r="B82" s="545" t="s">
        <v>2626</v>
      </c>
      <c r="C82" s="659" t="s">
        <v>2646</v>
      </c>
      <c r="D82" s="659" t="s">
        <v>2647</v>
      </c>
      <c r="E82" s="659" t="s">
        <v>2648</v>
      </c>
      <c r="F82" s="659" t="s">
        <v>2649</v>
      </c>
      <c r="G82" s="659" t="s">
        <v>2650</v>
      </c>
      <c r="H82" s="538"/>
      <c r="I82" s="538"/>
      <c r="J82" s="538"/>
      <c r="K82" s="538"/>
      <c r="L82" s="538"/>
      <c r="M82" s="1384"/>
      <c r="N82" s="1155"/>
      <c r="O82" s="1155"/>
      <c r="P82" s="2594"/>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594"/>
      <c r="Q83" s="503"/>
    </row>
    <row r="84" spans="1:17" ht="15.75" thickTop="1">
      <c r="A84" s="533"/>
      <c r="B84" s="537" t="s">
        <v>2580</v>
      </c>
      <c r="C84" s="577" t="s">
        <v>2568</v>
      </c>
      <c r="D84" s="577" t="s">
        <v>2569</v>
      </c>
      <c r="E84" s="577" t="s">
        <v>2570</v>
      </c>
      <c r="F84" s="577" t="s">
        <v>2571</v>
      </c>
      <c r="G84" s="577" t="s">
        <v>2572</v>
      </c>
      <c r="H84" s="538"/>
      <c r="I84" s="538"/>
      <c r="J84" s="538"/>
      <c r="K84" s="539"/>
      <c r="L84" s="540"/>
      <c r="M84" s="541"/>
      <c r="N84" s="1154"/>
      <c r="O84" s="1154"/>
      <c r="P84" s="259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594"/>
      <c r="Q85" s="503"/>
    </row>
    <row r="86" spans="1:17" s="117" customFormat="1" ht="15.75" thickTop="1">
      <c r="A86" s="578"/>
      <c r="B86" s="537" t="s">
        <v>2651</v>
      </c>
      <c r="C86" s="553"/>
      <c r="D86" s="553"/>
      <c r="E86" s="553"/>
      <c r="F86" s="553"/>
      <c r="G86" s="553"/>
      <c r="H86" s="553"/>
      <c r="I86" s="553"/>
      <c r="J86" s="553"/>
      <c r="K86" s="553"/>
      <c r="L86" s="579"/>
      <c r="M86" s="580"/>
      <c r="N86" s="1153"/>
      <c r="O86" s="1153"/>
      <c r="P86" s="2594"/>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594"/>
      <c r="Q87" s="503"/>
    </row>
    <row r="88" spans="1:17" s="117" customFormat="1" ht="15.75" thickTop="1">
      <c r="A88" s="578"/>
      <c r="B88" s="537" t="str">
        <f>B26</f>
        <v>平面位置/可视性</v>
      </c>
      <c r="C88" s="553"/>
      <c r="D88" s="553"/>
      <c r="E88" s="553"/>
      <c r="F88" s="2599"/>
      <c r="G88" s="553"/>
      <c r="H88" s="553"/>
      <c r="I88" s="553"/>
      <c r="J88" s="553"/>
      <c r="K88" s="553"/>
      <c r="L88" s="553"/>
      <c r="M88" s="580"/>
      <c r="N88" s="1153"/>
      <c r="O88" s="1153"/>
      <c r="P88" s="2594"/>
      <c r="Q88" s="503"/>
    </row>
    <row r="89" spans="1:17" s="117" customFormat="1" ht="15.75" thickBot="1">
      <c r="A89" s="578"/>
      <c r="B89" s="542"/>
      <c r="C89" s="559"/>
      <c r="D89" s="535"/>
      <c r="E89" s="535"/>
      <c r="F89" s="535"/>
      <c r="G89" s="535"/>
      <c r="H89" s="535"/>
      <c r="I89" s="535"/>
      <c r="J89" s="535"/>
      <c r="K89" s="535"/>
      <c r="L89" s="535"/>
      <c r="M89" s="535"/>
      <c r="N89" s="1155"/>
      <c r="O89" s="1155"/>
      <c r="P89" s="2594"/>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595"/>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595"/>
      <c r="Q91" s="558"/>
    </row>
    <row r="92" spans="1:17" ht="15.75" thickTop="1">
      <c r="A92" s="533"/>
      <c r="B92" s="537" t="str">
        <f>B28</f>
        <v>楼层</v>
      </c>
      <c r="C92" s="553"/>
      <c r="D92" s="553"/>
      <c r="E92" s="553"/>
      <c r="F92" s="553"/>
      <c r="G92" s="553"/>
      <c r="H92" s="553"/>
      <c r="I92" s="553"/>
      <c r="J92" s="553"/>
      <c r="K92" s="553"/>
      <c r="L92" s="579"/>
      <c r="M92" s="580"/>
      <c r="N92" s="1154"/>
      <c r="O92" s="1154"/>
      <c r="P92" s="2594"/>
      <c r="Q92" s="503"/>
    </row>
    <row r="93" spans="1:17" ht="15.75" thickBot="1">
      <c r="A93" s="533"/>
      <c r="B93" s="542"/>
      <c r="C93" s="535"/>
      <c r="D93" s="535"/>
      <c r="E93" s="535"/>
      <c r="F93" s="535"/>
      <c r="G93" s="535"/>
      <c r="H93" s="535"/>
      <c r="I93" s="535"/>
      <c r="J93" s="535"/>
      <c r="K93" s="535"/>
      <c r="L93" s="535"/>
      <c r="M93" s="536"/>
      <c r="N93" s="1155"/>
      <c r="O93" s="1155"/>
      <c r="P93" s="2594"/>
      <c r="Q93" s="503"/>
    </row>
    <row r="94" spans="1:17" ht="15.75" thickTop="1">
      <c r="A94" s="533"/>
      <c r="B94" s="537">
        <f>B29</f>
        <v>111</v>
      </c>
      <c r="C94" s="553"/>
      <c r="D94" s="553"/>
      <c r="E94" s="553"/>
      <c r="F94" s="553"/>
      <c r="G94" s="582"/>
      <c r="H94" s="582"/>
      <c r="I94" s="582"/>
      <c r="J94" s="582"/>
      <c r="K94" s="583"/>
      <c r="L94" s="584"/>
      <c r="M94" s="585"/>
      <c r="N94" s="1154"/>
      <c r="O94" s="1154"/>
      <c r="P94" s="2594"/>
      <c r="Q94" s="503"/>
    </row>
    <row r="95" spans="1:17" ht="15.75" thickBot="1">
      <c r="A95" s="533"/>
      <c r="B95" s="542"/>
      <c r="C95" s="559"/>
      <c r="D95" s="535"/>
      <c r="E95" s="535"/>
      <c r="F95" s="535"/>
      <c r="G95" s="535"/>
      <c r="H95" s="535"/>
      <c r="I95" s="535"/>
      <c r="J95" s="535"/>
      <c r="K95" s="535"/>
      <c r="L95" s="535"/>
      <c r="M95" s="536"/>
      <c r="N95" s="1155"/>
      <c r="O95" s="1155"/>
      <c r="P95" s="2594"/>
      <c r="Q95" s="503"/>
    </row>
    <row r="96" spans="1:17" ht="15.75" thickTop="1">
      <c r="A96" s="533"/>
      <c r="B96" s="537">
        <f>B30</f>
        <v>111</v>
      </c>
      <c r="C96" s="553"/>
      <c r="D96" s="553"/>
      <c r="E96" s="553"/>
      <c r="F96" s="553"/>
      <c r="G96" s="582"/>
      <c r="H96" s="582"/>
      <c r="I96" s="582"/>
      <c r="J96" s="582"/>
      <c r="K96" s="583"/>
      <c r="L96" s="584"/>
      <c r="M96" s="585"/>
      <c r="N96" s="1154"/>
      <c r="O96" s="1154"/>
      <c r="P96" s="2594"/>
      <c r="Q96" s="503"/>
    </row>
    <row r="97" spans="1:17" ht="15.75" thickBot="1">
      <c r="A97" s="533"/>
      <c r="B97" s="542"/>
      <c r="C97" s="559"/>
      <c r="D97" s="535"/>
      <c r="E97" s="535"/>
      <c r="F97" s="535"/>
      <c r="G97" s="535"/>
      <c r="H97" s="535"/>
      <c r="I97" s="535"/>
      <c r="J97" s="535"/>
      <c r="K97" s="535"/>
      <c r="L97" s="535"/>
      <c r="M97" s="536"/>
      <c r="N97" s="1155"/>
      <c r="O97" s="1155"/>
      <c r="P97" s="2594"/>
      <c r="Q97" s="503"/>
    </row>
    <row r="98" spans="1:17" ht="15.75" thickTop="1">
      <c r="A98" s="533"/>
      <c r="B98" s="545">
        <f>B31</f>
        <v>111</v>
      </c>
      <c r="C98" s="553"/>
      <c r="D98" s="553"/>
      <c r="E98" s="553"/>
      <c r="F98" s="553"/>
      <c r="G98" s="586"/>
      <c r="H98" s="586"/>
      <c r="I98" s="586"/>
      <c r="J98" s="586"/>
      <c r="K98" s="587"/>
      <c r="L98" s="588"/>
      <c r="M98" s="589"/>
      <c r="N98" s="1154"/>
      <c r="O98" s="1154"/>
      <c r="P98" s="2594"/>
      <c r="Q98" s="503"/>
    </row>
    <row r="99" spans="1:17" ht="15.75" thickBot="1">
      <c r="A99" s="2600"/>
      <c r="B99" s="568"/>
      <c r="C99" s="569"/>
      <c r="D99" s="569"/>
      <c r="E99" s="569"/>
      <c r="F99" s="569"/>
      <c r="G99" s="590"/>
      <c r="H99" s="590"/>
      <c r="I99" s="590"/>
      <c r="J99" s="590"/>
      <c r="K99" s="590"/>
      <c r="L99" s="590"/>
      <c r="M99" s="591"/>
      <c r="N99" s="1155"/>
      <c r="O99" s="1155"/>
      <c r="P99" s="2594"/>
      <c r="Q99" s="503"/>
    </row>
    <row r="100" spans="1:17">
      <c r="A100" s="526" t="s">
        <v>2534</v>
      </c>
      <c r="B100" s="527" t="s">
        <v>2652</v>
      </c>
      <c r="C100" s="529"/>
      <c r="D100" s="529"/>
      <c r="E100" s="529"/>
      <c r="F100" s="529"/>
      <c r="G100" s="529"/>
      <c r="H100" s="529"/>
      <c r="I100" s="529"/>
      <c r="J100" s="529"/>
      <c r="K100" s="530"/>
      <c r="L100" s="531"/>
      <c r="M100" s="532"/>
      <c r="N100" s="1154"/>
      <c r="O100" s="1154"/>
      <c r="P100" s="2594"/>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594"/>
      <c r="Q101" s="503"/>
    </row>
    <row r="102" spans="1:17" ht="15.75" thickTop="1">
      <c r="A102" s="533"/>
      <c r="B102" s="537" t="s">
        <v>2584</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594"/>
      <c r="Q102" s="503"/>
    </row>
    <row r="103" spans="1:17" s="470" customFormat="1">
      <c r="A103" s="592"/>
      <c r="B103" s="593"/>
      <c r="C103" s="594"/>
      <c r="D103" s="594"/>
      <c r="E103" s="594"/>
      <c r="F103" s="594"/>
      <c r="G103" s="594"/>
      <c r="H103" s="594"/>
      <c r="I103" s="594"/>
      <c r="J103" s="595"/>
      <c r="K103" s="595"/>
      <c r="L103" s="596"/>
      <c r="M103" s="597"/>
      <c r="N103" s="1156"/>
      <c r="O103" s="1156"/>
      <c r="P103" s="2595"/>
      <c r="Q103" s="558"/>
    </row>
    <row r="104" spans="1:17" s="470" customFormat="1" ht="15.75" thickBot="1">
      <c r="A104" s="552"/>
      <c r="B104" s="542"/>
      <c r="C104" s="559"/>
      <c r="D104" s="535"/>
      <c r="E104" s="535"/>
      <c r="F104" s="535"/>
      <c r="G104" s="535"/>
      <c r="H104" s="535"/>
      <c r="I104" s="535"/>
      <c r="J104" s="535"/>
      <c r="K104" s="535"/>
      <c r="L104" s="535"/>
      <c r="M104" s="536"/>
      <c r="N104" s="1155"/>
      <c r="O104" s="1155"/>
      <c r="P104" s="2595"/>
      <c r="Q104" s="558"/>
    </row>
    <row r="105" spans="1:17" ht="15" thickTop="1">
      <c r="A105" s="598"/>
      <c r="B105" s="537" t="s">
        <v>2585</v>
      </c>
      <c r="C105" s="553"/>
      <c r="D105" s="553"/>
      <c r="E105" s="582"/>
      <c r="F105" s="582"/>
      <c r="G105" s="582"/>
      <c r="H105" s="582"/>
      <c r="I105" s="582"/>
      <c r="J105" s="582"/>
      <c r="K105" s="583"/>
      <c r="L105" s="584"/>
      <c r="M105" s="585"/>
      <c r="N105" s="1154"/>
      <c r="O105" s="1154"/>
      <c r="P105" s="2594"/>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594"/>
      <c r="Q106" s="503"/>
    </row>
    <row r="107" spans="1:17" ht="15" thickTop="1">
      <c r="A107" s="598"/>
      <c r="B107" s="537" t="s">
        <v>2587</v>
      </c>
      <c r="C107" s="553"/>
      <c r="D107" s="553"/>
      <c r="E107" s="553"/>
      <c r="F107" s="582"/>
      <c r="G107" s="582"/>
      <c r="H107" s="582"/>
      <c r="I107" s="582"/>
      <c r="J107" s="582"/>
      <c r="K107" s="583"/>
      <c r="L107" s="584"/>
      <c r="M107" s="585"/>
      <c r="N107" s="1154"/>
      <c r="O107" s="1154"/>
      <c r="P107" s="2594"/>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594"/>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594"/>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594"/>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594"/>
      <c r="Q111" s="503"/>
    </row>
    <row r="112" spans="1:17" s="470" customFormat="1" ht="15" thickTop="1">
      <c r="A112" s="592"/>
      <c r="B112" s="537" t="s">
        <v>2589</v>
      </c>
      <c r="C112" s="553"/>
      <c r="D112" s="553"/>
      <c r="E112" s="553"/>
      <c r="F112" s="553"/>
      <c r="G112" s="553"/>
      <c r="H112" s="582"/>
      <c r="I112" s="582"/>
      <c r="J112" s="582"/>
      <c r="K112" s="583"/>
      <c r="L112" s="584"/>
      <c r="M112" s="585"/>
      <c r="N112" s="1156"/>
      <c r="O112" s="1156"/>
      <c r="P112" s="2595"/>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595"/>
      <c r="Q113" s="558"/>
    </row>
    <row r="114" spans="1:17" ht="15" thickTop="1">
      <c r="A114" s="598"/>
      <c r="B114" s="537" t="s">
        <v>2653</v>
      </c>
      <c r="C114" s="553"/>
      <c r="D114" s="553"/>
      <c r="E114" s="582"/>
      <c r="F114" s="582"/>
      <c r="G114" s="582"/>
      <c r="H114" s="582"/>
      <c r="I114" s="582"/>
      <c r="J114" s="582"/>
      <c r="K114" s="583"/>
      <c r="L114" s="584"/>
      <c r="M114" s="585"/>
      <c r="N114" s="1154"/>
      <c r="O114" s="1154"/>
      <c r="P114" s="2594"/>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594"/>
      <c r="Q115" s="503"/>
    </row>
    <row r="116" spans="1:17" ht="15" thickTop="1">
      <c r="A116" s="598"/>
      <c r="B116" s="537" t="s">
        <v>2654</v>
      </c>
      <c r="C116" s="553"/>
      <c r="D116" s="553"/>
      <c r="E116" s="553"/>
      <c r="F116" s="553"/>
      <c r="G116" s="553"/>
      <c r="H116" s="582"/>
      <c r="I116" s="582"/>
      <c r="J116" s="582"/>
      <c r="K116" s="583"/>
      <c r="L116" s="584"/>
      <c r="M116" s="585"/>
      <c r="N116" s="1154"/>
      <c r="O116" s="1154"/>
      <c r="P116" s="259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594"/>
      <c r="Q117" s="503"/>
    </row>
    <row r="118" spans="1:17" ht="15" thickTop="1">
      <c r="A118" s="598"/>
      <c r="B118" s="537" t="s">
        <v>2655</v>
      </c>
      <c r="C118" s="626"/>
      <c r="D118" s="626"/>
      <c r="E118" s="626"/>
      <c r="F118" s="626"/>
      <c r="G118" s="626"/>
      <c r="H118" s="554"/>
      <c r="I118" s="554"/>
      <c r="J118" s="554"/>
      <c r="K118" s="554"/>
      <c r="L118" s="555"/>
      <c r="M118" s="556"/>
      <c r="N118" s="1154"/>
      <c r="O118" s="1154"/>
      <c r="P118" s="2594"/>
      <c r="Q118" s="503"/>
    </row>
    <row r="119" spans="1:17" ht="15.75" thickBot="1">
      <c r="A119" s="533"/>
      <c r="B119" s="542"/>
      <c r="C119" s="559"/>
      <c r="D119" s="535"/>
      <c r="E119" s="535"/>
      <c r="F119" s="535"/>
      <c r="G119" s="535"/>
      <c r="H119" s="535"/>
      <c r="I119" s="535"/>
      <c r="J119" s="535"/>
      <c r="K119" s="535"/>
      <c r="L119" s="535"/>
      <c r="M119" s="536"/>
      <c r="N119" s="1155"/>
      <c r="O119" s="1155"/>
      <c r="P119" s="2594"/>
      <c r="Q119" s="503"/>
    </row>
    <row r="120" spans="1:17" s="470" customFormat="1" ht="15" thickTop="1">
      <c r="A120" s="592"/>
      <c r="B120" s="537" t="s">
        <v>2656</v>
      </c>
      <c r="C120" s="582"/>
      <c r="D120" s="582"/>
      <c r="E120" s="582"/>
      <c r="F120" s="582"/>
      <c r="G120" s="554"/>
      <c r="H120" s="554"/>
      <c r="I120" s="554"/>
      <c r="J120" s="554"/>
      <c r="K120" s="554"/>
      <c r="L120" s="555"/>
      <c r="M120" s="556"/>
      <c r="N120" s="1156"/>
      <c r="O120" s="1156"/>
      <c r="P120" s="2595"/>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595"/>
      <c r="Q121" s="558"/>
    </row>
    <row r="122" spans="1:17" ht="15" thickTop="1">
      <c r="A122" s="598"/>
      <c r="B122" s="537" t="s">
        <v>2591</v>
      </c>
      <c r="C122" s="553"/>
      <c r="D122" s="553"/>
      <c r="E122" s="553"/>
      <c r="F122" s="582"/>
      <c r="G122" s="582"/>
      <c r="H122" s="582"/>
      <c r="I122" s="582"/>
      <c r="J122" s="582"/>
      <c r="K122" s="583"/>
      <c r="L122" s="584"/>
      <c r="M122" s="585"/>
      <c r="N122" s="1154"/>
      <c r="O122" s="1154"/>
      <c r="P122" s="2594"/>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594"/>
      <c r="Q123" s="503"/>
    </row>
    <row r="124" spans="1:17" ht="15" thickTop="1">
      <c r="A124" s="598"/>
      <c r="B124" s="537" t="s">
        <v>2592</v>
      </c>
      <c r="C124" s="577" t="s">
        <v>2568</v>
      </c>
      <c r="D124" s="577" t="s">
        <v>2569</v>
      </c>
      <c r="E124" s="577" t="s">
        <v>2570</v>
      </c>
      <c r="F124" s="577" t="s">
        <v>2571</v>
      </c>
      <c r="G124" s="577" t="s">
        <v>2572</v>
      </c>
      <c r="H124" s="538"/>
      <c r="I124" s="538"/>
      <c r="J124" s="538"/>
      <c r="K124" s="539"/>
      <c r="L124" s="540"/>
      <c r="M124" s="541"/>
      <c r="N124" s="1154"/>
      <c r="O124" s="1154"/>
      <c r="P124" s="259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59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59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595"/>
      <c r="Q127" s="558"/>
    </row>
    <row r="128" spans="1:17" ht="15" thickTop="1">
      <c r="A128" s="598"/>
      <c r="B128" s="537">
        <f>B45</f>
        <v>111</v>
      </c>
      <c r="C128" s="553"/>
      <c r="D128" s="553"/>
      <c r="E128" s="553"/>
      <c r="F128" s="553"/>
      <c r="G128" s="582"/>
      <c r="H128" s="582"/>
      <c r="I128" s="582"/>
      <c r="J128" s="582"/>
      <c r="K128" s="583"/>
      <c r="L128" s="584"/>
      <c r="M128" s="585"/>
      <c r="N128" s="1154"/>
      <c r="O128" s="1154"/>
      <c r="P128" s="2594"/>
      <c r="Q128" s="503"/>
    </row>
    <row r="129" spans="1:17" ht="15.75" thickBot="1">
      <c r="A129" s="533"/>
      <c r="B129" s="542"/>
      <c r="C129" s="559"/>
      <c r="D129" s="535"/>
      <c r="E129" s="535"/>
      <c r="F129" s="535"/>
      <c r="G129" s="535"/>
      <c r="H129" s="535"/>
      <c r="I129" s="535"/>
      <c r="J129" s="535"/>
      <c r="K129" s="535"/>
      <c r="L129" s="535"/>
      <c r="M129" s="536"/>
      <c r="N129" s="1155"/>
      <c r="O129" s="1155"/>
      <c r="P129" s="2594"/>
      <c r="Q129" s="503"/>
    </row>
    <row r="130" spans="1:17" ht="15" thickTop="1">
      <c r="A130" s="598"/>
      <c r="B130" s="545">
        <f>B46</f>
        <v>111</v>
      </c>
      <c r="C130" s="553"/>
      <c r="D130" s="553"/>
      <c r="E130" s="553"/>
      <c r="F130" s="553"/>
      <c r="G130" s="586"/>
      <c r="H130" s="586"/>
      <c r="I130" s="586"/>
      <c r="J130" s="586"/>
      <c r="K130" s="522"/>
      <c r="L130" s="523"/>
      <c r="M130" s="589"/>
      <c r="N130" s="1154"/>
      <c r="O130" s="1154"/>
      <c r="P130" s="2594"/>
      <c r="Q130" s="503"/>
    </row>
    <row r="131" spans="1:17" ht="15.75" thickBot="1">
      <c r="A131" s="2600"/>
      <c r="B131" s="568"/>
      <c r="C131" s="569"/>
      <c r="D131" s="569"/>
      <c r="E131" s="569"/>
      <c r="F131" s="569"/>
      <c r="G131" s="590"/>
      <c r="H131" s="590"/>
      <c r="I131" s="590"/>
      <c r="J131" s="590"/>
      <c r="K131" s="590"/>
      <c r="L131" s="590"/>
      <c r="M131" s="591"/>
      <c r="N131" s="1155"/>
      <c r="O131" s="1155"/>
      <c r="P131" s="2594"/>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6" priority="17" stopIfTrue="1" operator="containsText" text="超过">
      <formula>NOT(ISERROR(SEARCH("超过",F52)))</formula>
    </cfRule>
  </conditionalFormatting>
  <conditionalFormatting sqref="H54">
    <cfRule type="containsText" dxfId="145" priority="15" stopIfTrue="1" operator="containsText" text="超过">
      <formula>NOT(ISERROR(SEARCH("超过",H54)))</formula>
    </cfRule>
  </conditionalFormatting>
  <conditionalFormatting sqref="F54">
    <cfRule type="containsText" dxfId="144" priority="14" stopIfTrue="1" operator="containsText" text="超过">
      <formula>NOT(ISERROR(SEARCH("超过",F54)))</formula>
    </cfRule>
  </conditionalFormatting>
  <conditionalFormatting sqref="F53 H53">
    <cfRule type="containsText" dxfId="143" priority="13" stopIfTrue="1" operator="containsText" text="超过">
      <formula>NOT(ISERROR(SEARCH("超过",F53)))</formula>
    </cfRule>
  </conditionalFormatting>
  <conditionalFormatting sqref="E52">
    <cfRule type="expression" dxfId="142" priority="12" stopIfTrue="1">
      <formula>$F$52="超过30%"</formula>
    </cfRule>
  </conditionalFormatting>
  <conditionalFormatting sqref="E53">
    <cfRule type="expression" dxfId="141" priority="11" stopIfTrue="1">
      <formula>$F$53="超过20%"</formula>
    </cfRule>
  </conditionalFormatting>
  <conditionalFormatting sqref="E54">
    <cfRule type="expression" dxfId="140" priority="10" stopIfTrue="1">
      <formula>$F$54="超过30%"</formula>
    </cfRule>
  </conditionalFormatting>
  <conditionalFormatting sqref="G54">
    <cfRule type="expression" dxfId="139" priority="9" stopIfTrue="1">
      <formula>$H$54="超过30%"</formula>
    </cfRule>
  </conditionalFormatting>
  <conditionalFormatting sqref="G52">
    <cfRule type="expression" dxfId="138" priority="8" stopIfTrue="1">
      <formula>$H$52="超过30%"</formula>
    </cfRule>
  </conditionalFormatting>
  <conditionalFormatting sqref="G53">
    <cfRule type="expression" dxfId="137" priority="7" stopIfTrue="1">
      <formula>$H$53="超过20%"</formula>
    </cfRule>
  </conditionalFormatting>
  <conditionalFormatting sqref="J52">
    <cfRule type="containsText" dxfId="136" priority="6" stopIfTrue="1" operator="containsText" text="超过">
      <formula>NOT(ISERROR(SEARCH("超过",J52)))</formula>
    </cfRule>
  </conditionalFormatting>
  <conditionalFormatting sqref="J54">
    <cfRule type="containsText" dxfId="135" priority="5" stopIfTrue="1" operator="containsText" text="超过">
      <formula>NOT(ISERROR(SEARCH("超过",J54)))</formula>
    </cfRule>
  </conditionalFormatting>
  <conditionalFormatting sqref="J53">
    <cfRule type="containsText" dxfId="134" priority="4" stopIfTrue="1" operator="containsText" text="超过">
      <formula>NOT(ISERROR(SEARCH("超过",J53)))</formula>
    </cfRule>
  </conditionalFormatting>
  <conditionalFormatting sqref="I52">
    <cfRule type="expression" dxfId="133" priority="3" stopIfTrue="1">
      <formula>$J$52="超过30%"</formula>
    </cfRule>
  </conditionalFormatting>
  <conditionalFormatting sqref="I53">
    <cfRule type="expression" dxfId="132" priority="2" stopIfTrue="1">
      <formula>$J$53="超过20%"</formula>
    </cfRule>
  </conditionalFormatting>
  <conditionalFormatting sqref="I54">
    <cfRule type="expression" dxfId="131"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E28" sqref="E28"/>
    </sheetView>
  </sheetViews>
  <sheetFormatPr defaultColWidth="12.625" defaultRowHeight="21.75" customHeight="1"/>
  <cols>
    <col min="1" max="2" width="12.625" style="2386"/>
    <col min="3" max="4" width="12.625" style="2386" customWidth="1"/>
    <col min="5" max="9" width="12.625" style="2386"/>
    <col min="10" max="11" width="12.625" style="794" customWidth="1"/>
    <col min="12" max="12" width="12.625" style="794"/>
    <col min="13" max="13" width="14.125" style="794" bestFit="1" customWidth="1"/>
    <col min="14" max="26" width="12.625" style="794"/>
    <col min="27" max="35" width="12.625" style="2385"/>
    <col min="36" max="16384" width="12.625" style="2386"/>
  </cols>
  <sheetData>
    <row r="1" spans="1:12" ht="21.75" customHeight="1" thickBot="1">
      <c r="A1" s="2227" t="s">
        <v>2088</v>
      </c>
      <c r="B1" s="2380"/>
      <c r="C1" s="2381" t="s">
        <v>1377</v>
      </c>
      <c r="D1" s="2380"/>
      <c r="E1" s="2380"/>
      <c r="F1" s="2382" t="s">
        <v>2089</v>
      </c>
      <c r="G1" s="2072" t="s">
        <v>3235</v>
      </c>
      <c r="H1" s="2383" t="str">
        <f>IF(G1="现房","——","估价对象范围")</f>
        <v>——</v>
      </c>
      <c r="I1" s="2384" t="s">
        <v>3374</v>
      </c>
    </row>
    <row r="2" spans="1:12" ht="21.75" customHeight="1" thickBot="1">
      <c r="A2" s="3232" t="str">
        <f>项目基本情况!S2</f>
        <v>北京市财源国际大厦A、B座房地产</v>
      </c>
      <c r="B2" s="3233"/>
      <c r="C2" s="3233"/>
      <c r="D2" s="3233"/>
      <c r="E2" s="3233"/>
      <c r="F2" s="3233"/>
      <c r="G2" s="3233"/>
      <c r="H2" s="3233"/>
      <c r="I2" s="3234"/>
    </row>
    <row r="3" spans="1:12" ht="12.75">
      <c r="A3" s="3236" t="s">
        <v>2090</v>
      </c>
      <c r="B3" s="3237"/>
      <c r="C3" s="3237"/>
      <c r="D3" s="3237"/>
      <c r="E3" s="3237"/>
      <c r="F3" s="3237"/>
      <c r="G3" s="3237"/>
      <c r="H3" s="3237"/>
      <c r="I3" s="3237"/>
    </row>
    <row r="4" spans="1:12" ht="14.25">
      <c r="A4" s="2387" t="s">
        <v>2091</v>
      </c>
      <c r="B4" s="2388" t="s">
        <v>2092</v>
      </c>
      <c r="C4" s="2389" t="s">
        <v>3375</v>
      </c>
      <c r="D4" s="2389" t="s">
        <v>3254</v>
      </c>
      <c r="E4" s="3229" t="s">
        <v>2093</v>
      </c>
      <c r="F4" s="3230"/>
      <c r="G4" s="3230"/>
      <c r="H4" s="3230"/>
      <c r="I4" s="3238"/>
      <c r="K4" s="2390" t="str">
        <f>IF(ISNUMBER(FIND("比较法",'结果表（商业）'!C4)),"比较法",IF(ISNUMBER(FIND("成本法",'结果表（商业）'!C4)),"成本法",IF(ISNUMBER(FIND("假设开发法",'结果表（商业）'!C4)),"假设开发法",IF(ISNUMBER(FIND("收益法",'结果表（商业）'!C4)),"收益法","基准地价系数修正法"))))</f>
        <v>成本法</v>
      </c>
      <c r="L4" s="2390"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212" t="s">
        <v>2094</v>
      </c>
      <c r="B5" s="3150">
        <v>25</v>
      </c>
      <c r="C5" s="3215"/>
      <c r="D5" s="3235"/>
      <c r="E5" s="139" t="s">
        <v>2095</v>
      </c>
      <c r="F5" s="2391"/>
      <c r="G5" s="2391"/>
      <c r="H5" s="2391"/>
      <c r="I5" s="1833"/>
    </row>
    <row r="6" spans="1:12" ht="12.75">
      <c r="A6" s="3212"/>
      <c r="B6" s="3150"/>
      <c r="C6" s="3216"/>
      <c r="D6" s="3235"/>
      <c r="E6" s="139" t="s">
        <v>2096</v>
      </c>
      <c r="F6" s="2391"/>
      <c r="G6" s="2391"/>
      <c r="H6" s="2391"/>
      <c r="I6" s="1833"/>
    </row>
    <row r="7" spans="1:12" ht="12.75">
      <c r="A7" s="3212"/>
      <c r="B7" s="3150"/>
      <c r="C7" s="3217"/>
      <c r="D7" s="3235"/>
      <c r="E7" s="139" t="s">
        <v>2097</v>
      </c>
      <c r="F7" s="2391"/>
      <c r="G7" s="2391"/>
      <c r="H7" s="2391"/>
      <c r="I7" s="1833"/>
    </row>
    <row r="8" spans="1:12" ht="12.75">
      <c r="A8" s="3212" t="s">
        <v>2098</v>
      </c>
      <c r="B8" s="3150">
        <v>15</v>
      </c>
      <c r="C8" s="3215"/>
      <c r="D8" s="3235"/>
      <c r="E8" s="139" t="s">
        <v>2099</v>
      </c>
      <c r="F8" s="2391"/>
      <c r="G8" s="2391"/>
      <c r="H8" s="2391"/>
      <c r="I8" s="1833"/>
    </row>
    <row r="9" spans="1:12" ht="12.75">
      <c r="A9" s="3212"/>
      <c r="B9" s="3150"/>
      <c r="C9" s="3217"/>
      <c r="D9" s="3235"/>
      <c r="E9" s="139" t="s">
        <v>2100</v>
      </c>
      <c r="F9" s="2391"/>
      <c r="G9" s="2391"/>
      <c r="H9" s="2391"/>
      <c r="I9" s="1833"/>
    </row>
    <row r="10" spans="1:12" ht="12.75">
      <c r="A10" s="3212" t="s">
        <v>2101</v>
      </c>
      <c r="B10" s="3150">
        <v>15</v>
      </c>
      <c r="C10" s="3215"/>
      <c r="D10" s="3235"/>
      <c r="E10" s="139" t="s">
        <v>2102</v>
      </c>
      <c r="F10" s="2391"/>
      <c r="G10" s="2391"/>
      <c r="H10" s="2391"/>
      <c r="I10" s="1833"/>
    </row>
    <row r="11" spans="1:12" ht="12.75">
      <c r="A11" s="3212"/>
      <c r="B11" s="3150"/>
      <c r="C11" s="3217"/>
      <c r="D11" s="3235"/>
      <c r="E11" s="139" t="s">
        <v>2103</v>
      </c>
      <c r="F11" s="2391"/>
      <c r="G11" s="2391"/>
      <c r="H11" s="2391"/>
      <c r="I11" s="1833"/>
    </row>
    <row r="12" spans="1:12" ht="12.75">
      <c r="A12" s="3212" t="s">
        <v>2104</v>
      </c>
      <c r="B12" s="3150">
        <v>15</v>
      </c>
      <c r="C12" s="3215"/>
      <c r="D12" s="3235"/>
      <c r="E12" s="139" t="s">
        <v>2105</v>
      </c>
      <c r="F12" s="2391"/>
      <c r="G12" s="2391"/>
      <c r="H12" s="2391"/>
      <c r="I12" s="1833"/>
    </row>
    <row r="13" spans="1:12" ht="12.75">
      <c r="A13" s="3212"/>
      <c r="B13" s="3150"/>
      <c r="C13" s="3217"/>
      <c r="D13" s="3235"/>
      <c r="E13" s="139" t="s">
        <v>2106</v>
      </c>
      <c r="F13" s="2391"/>
      <c r="G13" s="2391"/>
      <c r="H13" s="2391"/>
      <c r="I13" s="1833"/>
    </row>
    <row r="14" spans="1:12" ht="12.75">
      <c r="A14" s="3212" t="s">
        <v>2107</v>
      </c>
      <c r="B14" s="3150">
        <v>30</v>
      </c>
      <c r="C14" s="3215">
        <v>5</v>
      </c>
      <c r="D14" s="3235">
        <v>5</v>
      </c>
      <c r="E14" s="139" t="s">
        <v>2108</v>
      </c>
      <c r="F14" s="2391"/>
      <c r="G14" s="2391"/>
      <c r="H14" s="2391"/>
      <c r="I14" s="1833"/>
    </row>
    <row r="15" spans="1:12" ht="12.75">
      <c r="A15" s="3212"/>
      <c r="B15" s="3150"/>
      <c r="C15" s="3216"/>
      <c r="D15" s="3235"/>
      <c r="E15" s="139" t="s">
        <v>2109</v>
      </c>
      <c r="F15" s="2391"/>
      <c r="G15" s="2391"/>
      <c r="H15" s="2391"/>
      <c r="I15" s="1833"/>
    </row>
    <row r="16" spans="1:12" ht="12.75">
      <c r="A16" s="3212"/>
      <c r="B16" s="3150"/>
      <c r="C16" s="3217"/>
      <c r="D16" s="3235"/>
      <c r="E16" s="139" t="s">
        <v>2110</v>
      </c>
      <c r="F16" s="2391"/>
      <c r="G16" s="2391"/>
      <c r="H16" s="2391"/>
      <c r="I16" s="1833"/>
    </row>
    <row r="17" spans="1:35" ht="15">
      <c r="A17" s="2392" t="s">
        <v>2111</v>
      </c>
      <c r="B17" s="64"/>
      <c r="C17" s="140">
        <f>SUM(C5:C16)</f>
        <v>5</v>
      </c>
      <c r="D17" s="140">
        <f>SUM(D5:D16)</f>
        <v>5</v>
      </c>
      <c r="E17" s="137"/>
      <c r="F17" s="137"/>
      <c r="G17" s="137"/>
      <c r="H17" s="137"/>
      <c r="I17" s="137"/>
      <c r="K17" s="2390"/>
      <c r="L17" s="2393" t="s">
        <v>2112</v>
      </c>
      <c r="M17" s="2393" t="s">
        <v>2113</v>
      </c>
    </row>
    <row r="18" spans="1:35" ht="15.75" thickBot="1">
      <c r="A18" s="2394" t="s">
        <v>2114</v>
      </c>
      <c r="B18" s="2395"/>
      <c r="C18" s="141">
        <f>ROUND(C17/SUM(C17:D17),2)</f>
        <v>0.5</v>
      </c>
      <c r="D18" s="141">
        <f>1-C18</f>
        <v>0.5</v>
      </c>
      <c r="E18" s="137"/>
      <c r="F18" s="137"/>
      <c r="G18" s="137"/>
      <c r="H18" s="137"/>
      <c r="I18" s="137"/>
      <c r="K18" s="2390" t="s">
        <v>2115</v>
      </c>
      <c r="L18" s="2390">
        <f>IF(C1="",'数据-汇总表'!E3,SUMIF(项目类型,C1,'数据-汇总表'!E17:E26)+SUMIF(项目类型,C1,'数据-汇总表'!I17:I26))</f>
        <v>10755.880000000001</v>
      </c>
      <c r="M18" s="2390">
        <f>IF(C1="",'数据-汇总表'!E3,SUMIF(项目类型,C1,'数据-汇总表'!E17:E26))</f>
        <v>10535.52</v>
      </c>
    </row>
    <row r="19" spans="1:35" ht="15">
      <c r="A19" s="2396" t="s">
        <v>2116</v>
      </c>
      <c r="B19" s="2397" t="s">
        <v>2117</v>
      </c>
      <c r="C19" s="142">
        <f ca="1">SUMIF(INDIRECT("'"&amp;C4&amp;"'"&amp;"!A:A"),'结果表（商业）'!B19,INDIRECT("'"&amp;C4&amp;"'"&amp;"!B:B"))</f>
        <v>79833</v>
      </c>
      <c r="D19" s="143">
        <f ca="1">SUMIF(INDIRECT("'"&amp;D4&amp;"'"&amp;"!A:A"),'结果表（商业）'!B19,INDIRECT("'"&amp;D4&amp;"'"&amp;"!B:B"))</f>
        <v>95859</v>
      </c>
      <c r="E19" s="2396" t="s">
        <v>2118</v>
      </c>
      <c r="F19" s="2397" t="s">
        <v>2117</v>
      </c>
      <c r="G19" s="144">
        <f ca="1">ROUND(C19*$C$18+D19*$D$18,0)</f>
        <v>87846</v>
      </c>
      <c r="H19" s="2398" t="s">
        <v>2119</v>
      </c>
      <c r="I19" s="137"/>
      <c r="K19" s="2390" t="s">
        <v>2120</v>
      </c>
      <c r="L19" s="2390">
        <f>IF(C1="",'数据-汇总表'!D3,SUMIF(项目类型,C1,'数据-汇总表'!D17:D26)+SUMIF(项目类型,C1,'数据-汇总表'!H17:H27))</f>
        <v>701.23</v>
      </c>
      <c r="M19" s="2390">
        <f>IF(C1="",'数据-汇总表'!D3,SUMIF(项目类型,C1,'数据-汇总表'!D17:D26))</f>
        <v>686.86</v>
      </c>
    </row>
    <row r="20" spans="1:35" ht="15">
      <c r="A20" s="2399"/>
      <c r="B20" s="1249" t="s">
        <v>2121</v>
      </c>
      <c r="C20" s="145">
        <f ca="1">SUMIF(INDIRECT("'"&amp;C4&amp;"'"&amp;"!A:A"),'结果表（商业）'!B20,INDIRECT("'"&amp;C4&amp;"'"&amp;"!B:B"))</f>
        <v>75775</v>
      </c>
      <c r="D20" s="146">
        <f ca="1">SUMIF(INDIRECT("'"&amp;D4&amp;"'"&amp;"!A:A"),'结果表（商业）'!B20,INDIRECT("'"&amp;D4&amp;"'"&amp;"!B:B"))</f>
        <v>90986</v>
      </c>
      <c r="E20" s="2399"/>
      <c r="F20" s="1249" t="s">
        <v>2121</v>
      </c>
      <c r="G20" s="147">
        <f ca="1">ROUND(C20*$C$18+D20*$D$18,0)</f>
        <v>83381</v>
      </c>
      <c r="H20" s="982" t="s">
        <v>2122</v>
      </c>
      <c r="I20" s="137"/>
    </row>
    <row r="21" spans="1:35" ht="15" customHeight="1" thickBot="1">
      <c r="A21" s="1002"/>
      <c r="B21" s="2400" t="s">
        <v>2123</v>
      </c>
      <c r="C21" s="788">
        <f ca="1">ROUND(C19*10000/L19,0)</f>
        <v>1138471</v>
      </c>
      <c r="D21" s="789">
        <f ca="1">ROUND(D19*10000/L19,0)</f>
        <v>1367012</v>
      </c>
      <c r="E21" s="1002"/>
      <c r="F21" s="2400" t="s">
        <v>2123</v>
      </c>
      <c r="G21" s="148">
        <f ca="1">ROUND(G19*10000/L19,0)</f>
        <v>1252742</v>
      </c>
      <c r="H21" s="2401" t="s">
        <v>2122</v>
      </c>
      <c r="I21" s="137"/>
    </row>
    <row r="22" spans="1:35" ht="15" thickBot="1">
      <c r="A22" s="2282" t="s">
        <v>2124</v>
      </c>
      <c r="B22" s="2402"/>
      <c r="C22" s="2403"/>
      <c r="D22" s="790">
        <f ca="1">IF(C19&lt;D19,D19/C19-1,C19/D19-1)</f>
        <v>0.20074405321107802</v>
      </c>
      <c r="E22" s="137"/>
      <c r="F22" s="137"/>
      <c r="G22" s="137"/>
      <c r="H22" s="137"/>
      <c r="I22" s="137"/>
    </row>
    <row r="23" spans="1:35" ht="13.5" thickBot="1">
      <c r="A23" s="2380"/>
      <c r="B23" s="2380"/>
      <c r="C23" s="2380"/>
      <c r="D23" s="2380"/>
      <c r="E23" s="137"/>
      <c r="F23" s="137"/>
      <c r="G23" s="137"/>
      <c r="H23" s="137"/>
      <c r="I23" s="137"/>
    </row>
    <row r="24" spans="1:35" ht="14.25">
      <c r="A24" s="3206" t="s">
        <v>2125</v>
      </c>
      <c r="B24" s="2397" t="s">
        <v>2117</v>
      </c>
      <c r="C24" s="144">
        <f>IF(B30=0,0,D30)</f>
        <v>0</v>
      </c>
      <c r="D24" s="2404"/>
      <c r="E24" s="137"/>
      <c r="F24" s="137"/>
      <c r="G24" s="137"/>
      <c r="H24" s="137"/>
      <c r="I24" s="137"/>
    </row>
    <row r="25" spans="1:35" ht="14.25">
      <c r="A25" s="3207"/>
      <c r="B25" s="1249" t="s">
        <v>2121</v>
      </c>
      <c r="C25" s="149">
        <f>IF(B30=0,0,C30)</f>
        <v>0</v>
      </c>
      <c r="D25" s="2405"/>
      <c r="E25" s="137"/>
      <c r="F25" s="137"/>
      <c r="G25" s="137"/>
      <c r="H25" s="137"/>
      <c r="I25" s="137"/>
    </row>
    <row r="26" spans="1:35" ht="13.5" customHeight="1">
      <c r="A26" s="2406" t="s">
        <v>2126</v>
      </c>
      <c r="B26" s="150" t="s">
        <v>2127</v>
      </c>
      <c r="C26" s="150" t="s">
        <v>2128</v>
      </c>
      <c r="D26" s="151" t="s">
        <v>2129</v>
      </c>
      <c r="E26" s="137"/>
      <c r="F26" s="137"/>
      <c r="G26" s="137"/>
      <c r="H26" s="137"/>
      <c r="I26" s="137"/>
    </row>
    <row r="27" spans="1:35" ht="14.25">
      <c r="A27" s="2406"/>
      <c r="B27" s="150">
        <v>0</v>
      </c>
      <c r="C27" s="150">
        <v>0</v>
      </c>
      <c r="D27" s="151">
        <f>ROUND(C27*B27/10000,0)</f>
        <v>0</v>
      </c>
      <c r="E27" s="137"/>
      <c r="F27" s="137"/>
      <c r="G27" s="137"/>
      <c r="H27" s="137"/>
      <c r="I27" s="137"/>
    </row>
    <row r="28" spans="1:35" ht="14.25">
      <c r="A28" s="2406"/>
      <c r="B28" s="150"/>
      <c r="C28" s="150"/>
      <c r="D28" s="151"/>
      <c r="E28" s="137"/>
      <c r="F28" s="137"/>
      <c r="G28" s="137"/>
      <c r="H28" s="137"/>
      <c r="I28" s="137"/>
    </row>
    <row r="29" spans="1:35" ht="14.25">
      <c r="A29" s="2406"/>
      <c r="B29" s="150"/>
      <c r="C29" s="150"/>
      <c r="D29" s="151"/>
      <c r="E29" s="137"/>
      <c r="F29" s="137"/>
      <c r="G29" s="137"/>
      <c r="H29" s="137"/>
      <c r="I29" s="137"/>
    </row>
    <row r="30" spans="1:35" ht="14.25">
      <c r="A30" s="150" t="s">
        <v>2130</v>
      </c>
      <c r="B30" s="150"/>
      <c r="C30" s="150"/>
      <c r="D30" s="150"/>
      <c r="E30" s="2889" t="s">
        <v>3007</v>
      </c>
      <c r="F30" s="137"/>
      <c r="G30" s="137"/>
      <c r="H30" s="137"/>
      <c r="I30" s="137"/>
    </row>
    <row r="31" spans="1:35" s="2408" customFormat="1" ht="15" thickBot="1">
      <c r="A31" s="2407"/>
      <c r="B31" s="2407"/>
      <c r="C31" s="2407"/>
      <c r="D31" s="2407"/>
      <c r="E31" s="137"/>
      <c r="F31" s="137"/>
      <c r="G31" s="137"/>
      <c r="H31" s="137"/>
      <c r="I31" s="137"/>
      <c r="J31" s="794"/>
      <c r="K31" s="794"/>
      <c r="L31" s="794"/>
      <c r="M31" s="794"/>
      <c r="N31" s="794"/>
      <c r="O31" s="794"/>
      <c r="P31" s="794"/>
      <c r="Q31" s="794"/>
      <c r="R31" s="794"/>
      <c r="S31" s="794"/>
      <c r="T31" s="794"/>
      <c r="U31" s="794"/>
      <c r="V31" s="794"/>
      <c r="W31" s="794"/>
      <c r="X31" s="794"/>
      <c r="Y31" s="794"/>
      <c r="Z31" s="794"/>
      <c r="AA31" s="2385"/>
      <c r="AB31" s="2385"/>
      <c r="AC31" s="2385"/>
      <c r="AD31" s="2385"/>
      <c r="AE31" s="2385"/>
      <c r="AF31" s="2385"/>
      <c r="AG31" s="2385"/>
      <c r="AH31" s="2385"/>
      <c r="AI31" s="2385"/>
    </row>
    <row r="32" spans="1:35" ht="15.75" thickBot="1">
      <c r="A32" s="2409" t="s">
        <v>2131</v>
      </c>
      <c r="B32" s="2410"/>
      <c r="C32" s="152">
        <f ca="1">IF(D32="总价",G19-C24,G20-C25)</f>
        <v>87846</v>
      </c>
      <c r="D32" s="2411" t="s">
        <v>2132</v>
      </c>
      <c r="E32" s="137"/>
      <c r="F32" s="137"/>
      <c r="G32" s="137"/>
      <c r="H32" s="137"/>
      <c r="I32" s="137"/>
    </row>
    <row r="33" spans="1:15" ht="15">
      <c r="A33" s="959" t="s">
        <v>2133</v>
      </c>
      <c r="B33" s="2412"/>
      <c r="C33" s="2413" t="s">
        <v>3380</v>
      </c>
      <c r="D33" s="2414" t="s">
        <v>3375</v>
      </c>
      <c r="E33" s="2415" t="s">
        <v>2134</v>
      </c>
      <c r="F33" s="3014" t="str">
        <f>IF(D32="楼面单价","取值（单价）","取值（总价）")</f>
        <v>取值（总价）</v>
      </c>
      <c r="G33" s="137"/>
      <c r="H33" s="137"/>
      <c r="I33" s="137"/>
    </row>
    <row r="34" spans="1:15" ht="15">
      <c r="A34" s="2417"/>
      <c r="B34" s="2418" t="s">
        <v>2135</v>
      </c>
      <c r="C34" s="156">
        <f ca="1">IF(C33="自定义",F34,C32-C35)</f>
        <v>79061</v>
      </c>
      <c r="D34" s="1057">
        <f ca="1">IF(C33="自定义",ROUND(C34/C32,3),IF(C33="收益比率",SUMIF(INDIRECT("'"&amp;D33&amp;"'"&amp;"!b:b"),"土地收益比率",INDIRECT("'"&amp;D33&amp;"'"&amp;"!c:c")),SUMIF(INDIRECT("'"&amp;D33&amp;"'"&amp;"!b:b"),"土地成本比率",INDIRECT("'"&amp;D33&amp;"'"&amp;"!c:c"))))</f>
        <v>0.9</v>
      </c>
      <c r="E34" s="2419" t="s">
        <v>2136</v>
      </c>
      <c r="F34" s="1738"/>
      <c r="G34" s="137"/>
      <c r="H34" s="137"/>
      <c r="I34" s="137"/>
    </row>
    <row r="35" spans="1:15" ht="15.75" thickBot="1">
      <c r="A35" s="2420"/>
      <c r="B35" s="2421" t="s">
        <v>2137</v>
      </c>
      <c r="C35" s="1443">
        <f ca="1">IF(C33="自定义",F35,ROUND(C32*D35,0))</f>
        <v>8785</v>
      </c>
      <c r="D35" s="1444">
        <f ca="1">IF(C33="自定义",ROUND(C35/C32,3),IF(C33="收益比率",SUMIF(INDIRECT("'"&amp;D33&amp;"'"&amp;"!b:b"),"建筑物收益比率",INDIRECT("'"&amp;D33&amp;"'"&amp;"!c:c")),SUMIF(INDIRECT("'"&amp;D33&amp;"'"&amp;"!b:b"),"建筑物成本比率",INDIRECT("'"&amp;D33&amp;"'"&amp;"!c:c"))))</f>
        <v>0.1</v>
      </c>
      <c r="E35" s="2422" t="s">
        <v>2138</v>
      </c>
      <c r="F35" s="162"/>
      <c r="G35" s="137"/>
      <c r="H35" s="137"/>
      <c r="I35" s="137"/>
    </row>
    <row r="36" spans="1:15" ht="15.75" thickBot="1">
      <c r="A36" s="3224" t="s">
        <v>2139</v>
      </c>
      <c r="B36" s="2423" t="s">
        <v>2140</v>
      </c>
      <c r="C36" s="153"/>
      <c r="D36" s="2424"/>
      <c r="E36" s="2425"/>
      <c r="F36" s="2426"/>
      <c r="G36" s="137"/>
      <c r="H36" s="137"/>
      <c r="I36" s="137"/>
    </row>
    <row r="37" spans="1:15" ht="15.75" thickBot="1">
      <c r="A37" s="3225"/>
      <c r="B37" s="2268" t="s">
        <v>2141</v>
      </c>
      <c r="C37" s="155"/>
      <c r="D37" s="1394"/>
      <c r="E37" s="1394"/>
      <c r="F37" s="2426"/>
      <c r="G37" s="137"/>
      <c r="H37" s="137"/>
      <c r="I37" s="137"/>
    </row>
    <row r="38" spans="1:15" ht="15.75" thickBot="1">
      <c r="A38" s="3226"/>
      <c r="B38" s="2427" t="s">
        <v>2142</v>
      </c>
      <c r="C38" s="726"/>
      <c r="D38" s="2428" t="s">
        <v>2143</v>
      </c>
      <c r="E38" s="1394"/>
      <c r="F38" s="2426"/>
      <c r="G38" s="137"/>
      <c r="H38" s="137"/>
      <c r="I38" s="137"/>
    </row>
    <row r="39" spans="1:15" ht="15">
      <c r="A39" s="2399" t="s">
        <v>2144</v>
      </c>
      <c r="B39" s="2429" t="s">
        <v>2127</v>
      </c>
      <c r="C39" s="2430" t="s">
        <v>2128</v>
      </c>
      <c r="D39" s="2430" t="s">
        <v>2147</v>
      </c>
      <c r="E39" s="2431" t="s">
        <v>2129</v>
      </c>
      <c r="F39" s="2426"/>
      <c r="G39" s="137"/>
      <c r="H39" s="137"/>
      <c r="I39" s="137"/>
    </row>
    <row r="40" spans="1:15" ht="14.25">
      <c r="A40" s="2432" t="s">
        <v>2149</v>
      </c>
      <c r="B40" s="157"/>
      <c r="C40" s="158"/>
      <c r="D40" s="158"/>
      <c r="E40" s="159"/>
      <c r="F40" s="2426"/>
      <c r="G40" s="137"/>
      <c r="H40" s="137"/>
      <c r="I40" s="137"/>
    </row>
    <row r="41" spans="1:15" ht="14.25">
      <c r="A41" s="2432" t="s">
        <v>2150</v>
      </c>
      <c r="B41" s="157"/>
      <c r="C41" s="158"/>
      <c r="D41" s="158"/>
      <c r="E41" s="159"/>
      <c r="F41" s="2426"/>
      <c r="G41" s="137"/>
      <c r="H41" s="137"/>
      <c r="I41" s="137"/>
    </row>
    <row r="42" spans="1:15" ht="15" thickBot="1">
      <c r="A42" s="2433"/>
      <c r="B42" s="160"/>
      <c r="C42" s="161"/>
      <c r="D42" s="161"/>
      <c r="E42" s="162"/>
      <c r="F42" s="2426"/>
      <c r="G42" s="137"/>
      <c r="H42" s="137"/>
      <c r="I42" s="137"/>
    </row>
    <row r="43" spans="1:15" ht="12.75">
      <c r="A43" s="2167"/>
      <c r="B43" s="2167"/>
      <c r="C43" s="2167"/>
      <c r="D43" s="2167"/>
      <c r="E43" s="2167"/>
      <c r="F43" s="2434"/>
      <c r="G43" s="2434"/>
      <c r="H43" s="2434"/>
      <c r="I43" s="2435"/>
    </row>
    <row r="44" spans="1:15" ht="18.75">
      <c r="A44" s="2436" t="s">
        <v>2151</v>
      </c>
      <c r="B44" s="2437"/>
      <c r="C44" s="2437"/>
      <c r="D44" s="2438"/>
      <c r="E44" s="2438"/>
      <c r="F44" s="2439"/>
      <c r="G44" s="2439"/>
      <c r="H44" s="2439"/>
      <c r="I44" s="2439"/>
      <c r="J44" s="2440" t="s">
        <v>2152</v>
      </c>
      <c r="K44" s="2441"/>
      <c r="L44" s="2441"/>
      <c r="M44" s="2441"/>
      <c r="N44" s="2441"/>
      <c r="O44" s="2441"/>
    </row>
    <row r="45" spans="1:15" ht="14.25" customHeight="1" thickBot="1">
      <c r="A45" s="3203" t="s">
        <v>2153</v>
      </c>
      <c r="B45" s="3204"/>
      <c r="C45" s="3205"/>
      <c r="D45" s="163">
        <f ca="1">ROUND(H101*F45,0)</f>
        <v>87846</v>
      </c>
      <c r="E45" s="164" t="s">
        <v>2154</v>
      </c>
      <c r="F45" s="165">
        <v>1</v>
      </c>
      <c r="G45" s="166" t="s">
        <v>2155</v>
      </c>
      <c r="H45" s="137"/>
      <c r="I45" s="137"/>
      <c r="J45" s="3263" t="s">
        <v>2156</v>
      </c>
      <c r="K45" s="3263"/>
      <c r="L45" s="3263"/>
      <c r="M45" s="3263"/>
      <c r="N45" s="3263"/>
      <c r="O45" s="3263"/>
    </row>
    <row r="46" spans="1:15" ht="14.25" customHeight="1">
      <c r="A46" s="3200" t="s">
        <v>2157</v>
      </c>
      <c r="B46" s="3201"/>
      <c r="C46" s="3201"/>
      <c r="D46" s="3201"/>
      <c r="E46" s="3201"/>
      <c r="F46" s="3201"/>
      <c r="G46" s="3202"/>
      <c r="H46" s="2442"/>
      <c r="I46" s="167"/>
      <c r="J46" s="3019">
        <v>1</v>
      </c>
      <c r="K46" s="3263" t="s">
        <v>2158</v>
      </c>
      <c r="L46" s="3263"/>
      <c r="M46" s="3283"/>
      <c r="N46" s="3283"/>
      <c r="O46" s="3283"/>
    </row>
    <row r="47" spans="1:15" ht="12" customHeight="1">
      <c r="A47" s="168" t="s">
        <v>2159</v>
      </c>
      <c r="B47" s="169"/>
      <c r="C47" s="170"/>
      <c r="D47" s="171" t="s">
        <v>2160</v>
      </c>
      <c r="E47" s="24" t="s">
        <v>2161</v>
      </c>
      <c r="F47" s="172" t="s">
        <v>2162</v>
      </c>
      <c r="G47" s="173" t="s">
        <v>2163</v>
      </c>
      <c r="H47" s="2442"/>
      <c r="I47" s="167"/>
      <c r="J47" s="3019">
        <v>2</v>
      </c>
      <c r="K47" s="3263" t="s">
        <v>2164</v>
      </c>
      <c r="L47" s="3263"/>
      <c r="M47" s="3284">
        <f>'数据-取费表'!B2</f>
        <v>43395</v>
      </c>
      <c r="N47" s="3284"/>
      <c r="O47" s="3284"/>
    </row>
    <row r="48" spans="1:15" ht="25.5">
      <c r="A48" s="3231" t="s">
        <v>2165</v>
      </c>
      <c r="B48" s="3214"/>
      <c r="C48" s="3214"/>
      <c r="D48" s="139">
        <f>IF(H48="情况1",0,IF(H48="情况2",D52,IF(H48="情况3",D53,IF(H48="情况4",D54))))</f>
        <v>0</v>
      </c>
      <c r="E48" s="3029" t="str">
        <f>IF(H48="情况4","(销售额-原购置价)×税（费）率","销售额×税（费）率")</f>
        <v>销售额×税（费）率</v>
      </c>
      <c r="F48" s="174" t="str">
        <f>IF(H48="情况1","免征",'数据-取费表'!B41)</f>
        <v>免征</v>
      </c>
      <c r="G48" s="2443" t="s">
        <v>2166</v>
      </c>
      <c r="H48" s="2444" t="s">
        <v>2167</v>
      </c>
      <c r="I48" s="2442"/>
      <c r="J48" s="3019">
        <v>3</v>
      </c>
      <c r="K48" s="3263" t="s">
        <v>2168</v>
      </c>
      <c r="L48" s="3263"/>
      <c r="M48" s="3285">
        <f ca="1">H101</f>
        <v>87846</v>
      </c>
      <c r="N48" s="3285"/>
      <c r="O48" s="3285"/>
    </row>
    <row r="49" spans="1:35" ht="25.5" customHeight="1">
      <c r="A49" s="175" t="s">
        <v>2169</v>
      </c>
      <c r="B49" s="3199" t="s">
        <v>2170</v>
      </c>
      <c r="C49" s="3199"/>
      <c r="D49" s="176">
        <v>0</v>
      </c>
      <c r="E49" s="23" t="s">
        <v>2171</v>
      </c>
      <c r="F49" s="28" t="s">
        <v>34</v>
      </c>
      <c r="G49" s="3269"/>
      <c r="H49" s="137"/>
      <c r="I49" s="2445"/>
      <c r="J49" s="3019">
        <v>4</v>
      </c>
      <c r="K49" s="3263" t="str">
        <f>IF(项目基本情况!E8="房地产抵押价值","房地产抵押价值","抵押担保权已注销时的房地产抵押价值")</f>
        <v>抵押担保权已注销时的房地产抵押价值</v>
      </c>
      <c r="L49" s="3263"/>
      <c r="M49" s="3285" t="str">
        <f>IF(项目基本情况!E8="房地产抵押价值",H107,H109)</f>
        <v>——</v>
      </c>
      <c r="N49" s="3285"/>
      <c r="O49" s="3285"/>
    </row>
    <row r="50" spans="1:35" ht="25.5" customHeight="1">
      <c r="A50" s="177"/>
      <c r="B50" s="3199" t="s">
        <v>2172</v>
      </c>
      <c r="C50" s="3199"/>
      <c r="D50" s="178"/>
      <c r="E50" s="31"/>
      <c r="F50" s="179"/>
      <c r="G50" s="3270"/>
      <c r="H50" s="137"/>
      <c r="I50" s="2445"/>
      <c r="J50" s="3263" t="s">
        <v>2173</v>
      </c>
      <c r="K50" s="3263"/>
      <c r="L50" s="3263"/>
      <c r="M50" s="3263"/>
      <c r="N50" s="3263"/>
      <c r="O50" s="3263"/>
    </row>
    <row r="51" spans="1:35" ht="12" customHeight="1">
      <c r="A51" s="180"/>
      <c r="B51" s="3199" t="s">
        <v>2174</v>
      </c>
      <c r="C51" s="3199"/>
      <c r="D51" s="181"/>
      <c r="E51" s="30"/>
      <c r="F51" s="179"/>
      <c r="G51" s="3271"/>
      <c r="H51" s="137"/>
      <c r="I51" s="2445"/>
      <c r="J51" s="3016" t="s">
        <v>2175</v>
      </c>
      <c r="K51" s="3263" t="s">
        <v>2176</v>
      </c>
      <c r="L51" s="3263"/>
      <c r="M51" s="3016" t="s">
        <v>2177</v>
      </c>
      <c r="N51" s="3016" t="s">
        <v>2178</v>
      </c>
      <c r="O51" s="3016" t="s">
        <v>2179</v>
      </c>
    </row>
    <row r="52" spans="1:35" ht="24" customHeight="1">
      <c r="A52" s="182" t="s">
        <v>2180</v>
      </c>
      <c r="B52" s="3199" t="s">
        <v>2181</v>
      </c>
      <c r="C52" s="3199"/>
      <c r="D52" s="181">
        <f ca="1">ROUND(D45*'数据-取费表'!B41/(1+'数据-取费表'!C42),0)</f>
        <v>4685</v>
      </c>
      <c r="E52" s="11" t="s">
        <v>2182</v>
      </c>
      <c r="F52" s="183">
        <f>'数据-取费表'!B41</f>
        <v>5.6000000000000001E-2</v>
      </c>
      <c r="G52" s="2447"/>
      <c r="H52" s="137"/>
      <c r="I52" s="2445"/>
      <c r="J52" s="3019">
        <v>1</v>
      </c>
      <c r="K52" s="3264" t="s">
        <v>2183</v>
      </c>
      <c r="L52" s="3264"/>
      <c r="M52" s="1753">
        <f>D48</f>
        <v>0</v>
      </c>
      <c r="N52" s="3019" t="str">
        <f>E48</f>
        <v>销售额×税（费）率</v>
      </c>
      <c r="O52" s="1754" t="str">
        <f>F48</f>
        <v>免征</v>
      </c>
    </row>
    <row r="53" spans="1:35" ht="12" customHeight="1">
      <c r="A53" s="182" t="s">
        <v>2184</v>
      </c>
      <c r="B53" s="3222" t="s">
        <v>2185</v>
      </c>
      <c r="C53" s="3223"/>
      <c r="D53" s="181">
        <f ca="1">ROUND(D45*'数据-取费表'!B41/(1+'数据-取费表'!C42),0)</f>
        <v>4685</v>
      </c>
      <c r="E53" s="11" t="s">
        <v>2182</v>
      </c>
      <c r="F53" s="183">
        <f>'数据-取费表'!B41</f>
        <v>5.6000000000000001E-2</v>
      </c>
      <c r="G53" s="2447"/>
      <c r="H53" s="137"/>
      <c r="I53" s="2445"/>
      <c r="J53" s="3019">
        <v>2</v>
      </c>
      <c r="K53" s="3264" t="s">
        <v>2186</v>
      </c>
      <c r="L53" s="3264"/>
      <c r="M53" s="1753">
        <f t="shared" ref="M53:O54" ca="1" si="0">D55</f>
        <v>44</v>
      </c>
      <c r="N53" s="3019" t="str">
        <f t="shared" si="0"/>
        <v>销售额×税（费）率</v>
      </c>
      <c r="O53" s="1754">
        <f t="shared" si="0"/>
        <v>5.0000000000000001E-4</v>
      </c>
    </row>
    <row r="54" spans="1:35" ht="12" customHeight="1">
      <c r="A54" s="182" t="s">
        <v>2187</v>
      </c>
      <c r="B54" s="3222" t="s">
        <v>2188</v>
      </c>
      <c r="C54" s="3223"/>
      <c r="D54" s="181">
        <f ca="1">C68</f>
        <v>4685</v>
      </c>
      <c r="E54" s="30" t="s">
        <v>2189</v>
      </c>
      <c r="F54" s="183">
        <f>'数据-取费表'!B41</f>
        <v>5.6000000000000001E-2</v>
      </c>
      <c r="G54" s="2447"/>
      <c r="H54" s="2448"/>
      <c r="I54" s="2445"/>
      <c r="J54" s="3019">
        <v>3</v>
      </c>
      <c r="K54" s="3264" t="s">
        <v>2190</v>
      </c>
      <c r="L54" s="3264"/>
      <c r="M54" s="1753">
        <f t="shared" ca="1" si="0"/>
        <v>49721</v>
      </c>
      <c r="N54" s="3019" t="str">
        <f t="shared" si="0"/>
        <v>增值额×税（费）率</v>
      </c>
      <c r="O54" s="1755" t="str">
        <f t="shared" si="0"/>
        <v>——</v>
      </c>
    </row>
    <row r="55" spans="1:35" ht="24" customHeight="1">
      <c r="A55" s="3213" t="s">
        <v>2191</v>
      </c>
      <c r="B55" s="3214"/>
      <c r="C55" s="3214"/>
      <c r="D55" s="184">
        <f ca="1">IF(H55="个人住宅",0,ROUND(D45*I55,0))</f>
        <v>44</v>
      </c>
      <c r="E55" s="11" t="s">
        <v>2192</v>
      </c>
      <c r="F55" s="183">
        <f>IF(H55="正常",I55,"免征")</f>
        <v>5.0000000000000001E-4</v>
      </c>
      <c r="G55" s="2447"/>
      <c r="H55" s="2444" t="s">
        <v>2193</v>
      </c>
      <c r="I55" s="185">
        <f>'数据-取费表'!B49</f>
        <v>5.0000000000000001E-4</v>
      </c>
      <c r="J55" s="3019" t="str">
        <f>IF(H59="非个人房产","",4)</f>
        <v/>
      </c>
      <c r="K55" s="3264" t="str">
        <f>IF(H59="非个人房产","——","个人所得税")</f>
        <v>——</v>
      </c>
      <c r="L55" s="3264"/>
      <c r="M55" s="1756" t="str">
        <f>D59</f>
        <v>——</v>
      </c>
      <c r="N55" s="3020" t="str">
        <f>E59</f>
        <v>——</v>
      </c>
      <c r="O55" s="1757" t="str">
        <f>F59</f>
        <v>——</v>
      </c>
    </row>
    <row r="56" spans="1:35" ht="24.75">
      <c r="A56" s="3213" t="s">
        <v>2194</v>
      </c>
      <c r="B56" s="3214"/>
      <c r="C56" s="3214"/>
      <c r="D56" s="184">
        <f ca="1">IF(H56="个人住宅",D57,D58)</f>
        <v>49721</v>
      </c>
      <c r="E56" s="11" t="s">
        <v>2195</v>
      </c>
      <c r="F56" s="183" t="str">
        <f>IF(H56="正常",F58,"免征")</f>
        <v>——</v>
      </c>
      <c r="G56" s="2449" t="s">
        <v>2196</v>
      </c>
      <c r="H56" s="2450" t="s">
        <v>2193</v>
      </c>
      <c r="I56" s="2451"/>
      <c r="J56" s="3019" t="str">
        <f>IF(项目基本情况!K6="上海银行",IF(J55="",4,J55+1),"")</f>
        <v/>
      </c>
      <c r="K56" s="3287" t="str">
        <f>IF(项目基本情况!K6="上海银行","其他处置费用","")</f>
        <v/>
      </c>
      <c r="L56" s="3288"/>
      <c r="M56" s="1753" t="str">
        <f>IF(项目基本情况!K6="上海银行",M69,"")</f>
        <v/>
      </c>
      <c r="N56" s="3290" t="str">
        <f>IF(项目基本情况!K6="上海银行","包含处置中涉及的律师、诉讼、拍卖、评估等费用","")</f>
        <v/>
      </c>
      <c r="O56" s="3291"/>
    </row>
    <row r="57" spans="1:35" ht="12.75">
      <c r="A57" s="182" t="s">
        <v>2169</v>
      </c>
      <c r="B57" s="3229" t="s">
        <v>2197</v>
      </c>
      <c r="C57" s="3238"/>
      <c r="D57" s="186">
        <v>0</v>
      </c>
      <c r="E57" s="23" t="s">
        <v>2171</v>
      </c>
      <c r="F57" s="154"/>
      <c r="G57" s="2447"/>
      <c r="H57" s="2451"/>
      <c r="I57" s="2451"/>
      <c r="J57" s="3264">
        <f>IF(AND(J55="",J56=""),4,IF(项目基本情况!K6="上海银行",'结果表（商业）'!J56+1,'结果表（商业）'!J55+1))</f>
        <v>4</v>
      </c>
      <c r="K57" s="3264" t="s">
        <v>2198</v>
      </c>
      <c r="L57" s="2452" t="s">
        <v>2199</v>
      </c>
      <c r="M57" s="1758"/>
      <c r="N57" s="1759">
        <f ca="1">SUMIF(M52:M56,"&lt;9e307")</f>
        <v>49765</v>
      </c>
      <c r="O57" s="2453"/>
      <c r="P57" s="1752" t="e">
        <f ca="1">N57/M49</f>
        <v>#VALUE!</v>
      </c>
    </row>
    <row r="58" spans="1:35" ht="24.75">
      <c r="A58" s="182" t="s">
        <v>2180</v>
      </c>
      <c r="B58" s="3229" t="s">
        <v>2200</v>
      </c>
      <c r="C58" s="3230"/>
      <c r="D58" s="184">
        <f ca="1">IF(H58="转让取得",C81,C97)</f>
        <v>49721</v>
      </c>
      <c r="E58" s="11" t="s">
        <v>2195</v>
      </c>
      <c r="F58" s="24" t="s">
        <v>34</v>
      </c>
      <c r="G58" s="2447"/>
      <c r="H58" s="2450" t="s">
        <v>2201</v>
      </c>
      <c r="I58" s="2451"/>
      <c r="J58" s="3264"/>
      <c r="K58" s="3264"/>
      <c r="L58" s="2452" t="s">
        <v>2202</v>
      </c>
      <c r="M58" s="1760"/>
      <c r="N58" s="2454" t="str">
        <f ca="1">NUMBERSTRING(INT(N57*10000),2)&amp;"元整"</f>
        <v>肆亿玖仟柒佰陆拾伍万元整</v>
      </c>
      <c r="O58" s="2455"/>
    </row>
    <row r="59" spans="1:35" ht="24.75" thickBot="1">
      <c r="A59" s="3267" t="s">
        <v>2203</v>
      </c>
      <c r="B59" s="3268"/>
      <c r="C59" s="3268"/>
      <c r="D59" s="187" t="str">
        <f>IF(H59="非个人房产","——",IF(H59="个人住宅",0,ROUND(D45*I59,0)))</f>
        <v>——</v>
      </c>
      <c r="E59" s="188" t="str">
        <f>IF(H59="非个人房产","——","销售额×税（费）率")</f>
        <v>——</v>
      </c>
      <c r="F59" s="189" t="str">
        <f>IF(H59="非个人房产","——",IF(H59="个人住宅","免征",I59))</f>
        <v>——</v>
      </c>
      <c r="G59" s="2456" t="s">
        <v>2196</v>
      </c>
      <c r="H59" s="2450" t="s">
        <v>2204</v>
      </c>
      <c r="I59" s="190">
        <v>0.01</v>
      </c>
      <c r="J59" s="3265">
        <f>J57+1</f>
        <v>5</v>
      </c>
      <c r="K59" s="3264" t="s">
        <v>2205</v>
      </c>
      <c r="L59" s="3019" t="s">
        <v>2199</v>
      </c>
      <c r="M59" s="1761"/>
      <c r="N59" s="1762" t="e">
        <f ca="1">M49-N57</f>
        <v>#VALUE!</v>
      </c>
      <c r="O59" s="2457"/>
    </row>
    <row r="60" spans="1:35" ht="12" customHeight="1">
      <c r="A60" s="2458"/>
      <c r="B60" s="2380"/>
      <c r="C60" s="2380"/>
      <c r="D60" s="2380"/>
      <c r="E60" s="2168"/>
      <c r="F60" s="2451"/>
      <c r="G60" s="2451"/>
      <c r="H60" s="2459"/>
      <c r="I60" s="137"/>
      <c r="J60" s="3266"/>
      <c r="K60" s="3264"/>
      <c r="L60" s="2452" t="s">
        <v>2202</v>
      </c>
      <c r="M60" s="1760"/>
      <c r="N60" s="2454" t="e">
        <f ca="1">NUMBERSTRING(INT(N59*10000),2)&amp;"元整"</f>
        <v>#VALUE!</v>
      </c>
      <c r="O60" s="2455"/>
    </row>
    <row r="61" spans="1:35" ht="13.5" thickBot="1">
      <c r="A61" s="3211" t="s">
        <v>2206</v>
      </c>
      <c r="B61" s="3211"/>
      <c r="C61" s="3211"/>
      <c r="D61" s="3211"/>
      <c r="E61" s="3211"/>
      <c r="F61" s="2451"/>
      <c r="G61" s="2451"/>
      <c r="H61" s="2459"/>
      <c r="I61" s="137"/>
      <c r="J61" s="3019">
        <f>J59+1</f>
        <v>6</v>
      </c>
      <c r="K61" s="3264" t="s">
        <v>2207</v>
      </c>
      <c r="L61" s="3264"/>
      <c r="M61" s="1763"/>
      <c r="N61" s="1764" t="e">
        <f ca="1">ROUND(N59*10000/'数据-汇总表'!E3,0)</f>
        <v>#VALUE!</v>
      </c>
      <c r="O61" s="2460"/>
    </row>
    <row r="62" spans="1:35" ht="12.75">
      <c r="A62" s="3227" t="s">
        <v>2208</v>
      </c>
      <c r="B62" s="3228"/>
      <c r="C62" s="3025"/>
      <c r="D62" s="3025" t="s">
        <v>2209</v>
      </c>
      <c r="E62" s="191" t="s">
        <v>2210</v>
      </c>
      <c r="F62" s="2451"/>
      <c r="G62" s="2451"/>
      <c r="H62" s="2459"/>
      <c r="I62" s="137"/>
    </row>
    <row r="63" spans="1:35" ht="12.75">
      <c r="A63" s="202" t="s">
        <v>775</v>
      </c>
      <c r="B63" s="192" t="s">
        <v>2211</v>
      </c>
      <c r="C63" s="193">
        <f ca="1">ROUND((C64+C65)/(1+'数据-取费表'!C42),0)</f>
        <v>83663</v>
      </c>
      <c r="D63" s="194"/>
      <c r="E63" s="195"/>
      <c r="F63" s="2451"/>
      <c r="G63" s="2451"/>
      <c r="H63" s="2459"/>
      <c r="I63" s="137"/>
      <c r="J63" s="3289" t="s">
        <v>2212</v>
      </c>
      <c r="K63" s="3017" t="s">
        <v>2213</v>
      </c>
      <c r="L63" s="1751" t="e">
        <f>IF(M49&gt;10000,M49*0.5%,IF(AND(M49&gt;1000,M49&lt;=10000),M49*1%,IF(AND(M49&gt;100,M49&lt;=1000),M49*3%,IF(AND(M49&gt;10,M49&lt;=100),M49*5%,M49*8%))))</f>
        <v>#VALUE!</v>
      </c>
      <c r="M63" s="24" t="e">
        <f>ROUND(L63,1)</f>
        <v>#VALUE!</v>
      </c>
      <c r="Z63" s="2385"/>
      <c r="AI63" s="2386"/>
    </row>
    <row r="64" spans="1:35" ht="14.25" customHeight="1">
      <c r="A64" s="196" t="s">
        <v>770</v>
      </c>
      <c r="B64" s="197" t="s">
        <v>2214</v>
      </c>
      <c r="C64" s="198">
        <f ca="1">D45</f>
        <v>87846</v>
      </c>
      <c r="D64" s="199" t="s">
        <v>32</v>
      </c>
      <c r="E64" s="200"/>
      <c r="F64" s="2451"/>
      <c r="G64" s="2451"/>
      <c r="H64" s="2459"/>
      <c r="I64" s="137"/>
      <c r="J64" s="3289"/>
      <c r="K64" s="3017" t="s">
        <v>2215</v>
      </c>
      <c r="L64" s="1751"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2216</v>
      </c>
      <c r="Z64" s="2385"/>
      <c r="AI64" s="2386"/>
    </row>
    <row r="65" spans="1:35" ht="14.25" customHeight="1">
      <c r="A65" s="196" t="s">
        <v>771</v>
      </c>
      <c r="B65" s="197" t="s">
        <v>2217</v>
      </c>
      <c r="C65" s="201"/>
      <c r="D65" s="199"/>
      <c r="E65" s="200"/>
      <c r="F65" s="2451"/>
      <c r="G65" s="2451"/>
      <c r="H65" s="2459"/>
      <c r="I65" s="137"/>
      <c r="J65" s="3289"/>
      <c r="K65" s="3017" t="s">
        <v>2218</v>
      </c>
      <c r="L65" s="1751" t="e">
        <f>IF(M49&gt;1000,M49*0.1%,IF(AND(M49&gt;500,M49&lt;=1000),M49*0.5%,IF(AND(M49&gt;50,M49&lt;=500),M49*1%,IF(AND(M49&gt;1,M49&lt;=50),M49*1.5%))))</f>
        <v>#VALUE!</v>
      </c>
      <c r="M65" s="24" t="e">
        <f t="shared" si="1"/>
        <v>#VALUE!</v>
      </c>
      <c r="N65" s="137" t="s">
        <v>2216</v>
      </c>
      <c r="Z65" s="2385"/>
      <c r="AI65" s="2386"/>
    </row>
    <row r="66" spans="1:35" ht="14.25" customHeight="1">
      <c r="A66" s="202" t="s">
        <v>772</v>
      </c>
      <c r="B66" s="203" t="s">
        <v>2219</v>
      </c>
      <c r="C66" s="204"/>
      <c r="D66" s="205" t="s">
        <v>32</v>
      </c>
      <c r="E66" s="1775" t="s">
        <v>1371</v>
      </c>
      <c r="F66" s="2451"/>
      <c r="G66" s="2451"/>
      <c r="H66" s="2459"/>
      <c r="I66" s="137"/>
      <c r="J66" s="3289"/>
      <c r="K66" s="3017" t="s">
        <v>2220</v>
      </c>
      <c r="L66" s="1751" t="e">
        <f>M49*0.5%</f>
        <v>#VALUE!</v>
      </c>
      <c r="M66" s="24" t="e">
        <f>IF(L66&gt;0.5,0.5,ROUND(L66,0))</f>
        <v>#VALUE!</v>
      </c>
      <c r="N66" s="137" t="s">
        <v>2221</v>
      </c>
      <c r="Z66" s="2385"/>
      <c r="AI66" s="2386"/>
    </row>
    <row r="67" spans="1:35" ht="14.25" customHeight="1">
      <c r="A67" s="202" t="s">
        <v>773</v>
      </c>
      <c r="B67" s="203" t="s">
        <v>2222</v>
      </c>
      <c r="C67" s="206">
        <f ca="1">C63-C66</f>
        <v>83663</v>
      </c>
      <c r="D67" s="199" t="s">
        <v>32</v>
      </c>
      <c r="E67" s="200"/>
      <c r="F67" s="2451"/>
      <c r="G67" s="2451"/>
      <c r="H67" s="2459"/>
      <c r="I67" s="137"/>
      <c r="J67" s="3289"/>
      <c r="K67" s="3017" t="s">
        <v>2223</v>
      </c>
      <c r="L67" s="1751"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385"/>
      <c r="AI67" s="2386"/>
    </row>
    <row r="68" spans="1:35" ht="14.25" customHeight="1" thickBot="1">
      <c r="A68" s="207" t="s">
        <v>774</v>
      </c>
      <c r="B68" s="208" t="s">
        <v>2224</v>
      </c>
      <c r="C68" s="209">
        <f ca="1">IF(C67&lt;=0,0,ROUND(C67*D68,0))</f>
        <v>4685</v>
      </c>
      <c r="D68" s="210">
        <f>'数据-取费表'!B41</f>
        <v>5.6000000000000001E-2</v>
      </c>
      <c r="E68" s="211"/>
      <c r="F68" s="2451"/>
      <c r="G68" s="2451"/>
      <c r="H68" s="2459"/>
      <c r="I68" s="137"/>
      <c r="J68" s="3289"/>
      <c r="K68" s="3017" t="s">
        <v>2225</v>
      </c>
      <c r="L68" s="1751" t="e">
        <f>IF(M49&gt;10000,M49*0.5%,IF(AND(M49&gt;5000,M49&lt;=10000),M49*1%,IF(AND(M49&gt;1000,M49&lt;=5000),M49*2%,IF(AND(M49&gt;200,M49&lt;=1000),M49*3%,M49*5%))))</f>
        <v>#VALUE!</v>
      </c>
      <c r="M68" s="24" t="e">
        <f>ROUND(L68,1)</f>
        <v>#VALUE!</v>
      </c>
      <c r="Z68" s="2385"/>
      <c r="AI68" s="2386"/>
    </row>
    <row r="69" spans="1:35" s="2408" customFormat="1" ht="16.5" customHeight="1">
      <c r="A69" s="2462"/>
      <c r="B69" s="2463"/>
      <c r="C69" s="2464"/>
      <c r="D69" s="2465"/>
      <c r="E69" s="2466"/>
      <c r="F69" s="2168"/>
      <c r="G69" s="2168"/>
      <c r="H69" s="2167"/>
      <c r="I69" s="2380"/>
      <c r="J69" s="3289"/>
      <c r="K69" s="3017" t="s">
        <v>2226</v>
      </c>
      <c r="L69" s="2467"/>
      <c r="M69" s="24" t="e">
        <f>ROUND(SUM(M63:M68),0)</f>
        <v>#VALUE!</v>
      </c>
      <c r="N69" s="1752" t="e">
        <f>M69/M49</f>
        <v>#VALUE!</v>
      </c>
      <c r="O69" s="794"/>
      <c r="P69" s="794"/>
      <c r="Q69" s="794"/>
      <c r="R69" s="794"/>
      <c r="S69" s="794"/>
      <c r="T69" s="794"/>
      <c r="U69" s="794"/>
      <c r="V69" s="794"/>
      <c r="W69" s="794"/>
      <c r="X69" s="794"/>
      <c r="Y69" s="794"/>
      <c r="Z69" s="2385"/>
      <c r="AA69" s="2385"/>
      <c r="AB69" s="2385"/>
      <c r="AC69" s="2385"/>
      <c r="AD69" s="2385"/>
      <c r="AE69" s="2385"/>
      <c r="AF69" s="2385"/>
      <c r="AG69" s="2385"/>
      <c r="AH69" s="2385"/>
    </row>
    <row r="70" spans="1:35" s="2469" customFormat="1" ht="15" thickBot="1">
      <c r="A70" s="3248" t="s">
        <v>2227</v>
      </c>
      <c r="B70" s="3249"/>
      <c r="C70" s="3249"/>
      <c r="D70" s="3249"/>
      <c r="E70" s="3249"/>
      <c r="F70" s="3249"/>
      <c r="G70" s="3249"/>
      <c r="H70" s="3249"/>
      <c r="I70" s="2468"/>
      <c r="N70" s="2470"/>
      <c r="O70" s="2470"/>
      <c r="P70" s="2470"/>
      <c r="Q70" s="2470"/>
      <c r="R70" s="2470"/>
      <c r="S70" s="2470"/>
      <c r="T70" s="2470"/>
      <c r="U70" s="2470"/>
      <c r="V70" s="2470"/>
      <c r="W70" s="2470"/>
      <c r="X70" s="2470"/>
      <c r="Y70" s="2470"/>
      <c r="Z70" s="2470"/>
      <c r="AA70" s="2471"/>
      <c r="AB70" s="2471"/>
      <c r="AC70" s="2471"/>
      <c r="AD70" s="2471"/>
      <c r="AE70" s="2471"/>
      <c r="AF70" s="2471"/>
      <c r="AG70" s="2471"/>
      <c r="AH70" s="2471"/>
      <c r="AI70" s="2471"/>
    </row>
    <row r="71" spans="1:35" s="2469" customFormat="1" ht="14.25">
      <c r="A71" s="3227" t="s">
        <v>2208</v>
      </c>
      <c r="B71" s="3228"/>
      <c r="C71" s="3025"/>
      <c r="D71" s="3025" t="s">
        <v>2209</v>
      </c>
      <c r="E71" s="212" t="s">
        <v>2210</v>
      </c>
      <c r="F71" s="213"/>
      <c r="G71" s="213"/>
      <c r="H71" s="214"/>
      <c r="I71" s="2472"/>
      <c r="N71" s="2470"/>
      <c r="O71" s="2470"/>
      <c r="P71" s="2470"/>
      <c r="Q71" s="2470"/>
      <c r="R71" s="2470"/>
      <c r="S71" s="2470"/>
      <c r="T71" s="2470"/>
      <c r="U71" s="2470"/>
      <c r="V71" s="2470"/>
      <c r="W71" s="2470"/>
      <c r="X71" s="2470"/>
      <c r="Y71" s="2470"/>
      <c r="Z71" s="2470"/>
      <c r="AA71" s="2471"/>
      <c r="AB71" s="2471"/>
      <c r="AC71" s="2471"/>
      <c r="AD71" s="2471"/>
      <c r="AE71" s="2471"/>
      <c r="AF71" s="2471"/>
      <c r="AG71" s="2471"/>
      <c r="AH71" s="2471"/>
      <c r="AI71" s="2471"/>
    </row>
    <row r="72" spans="1:35" s="2469" customFormat="1" ht="14.25">
      <c r="A72" s="202" t="s">
        <v>775</v>
      </c>
      <c r="B72" s="203" t="s">
        <v>2228</v>
      </c>
      <c r="C72" s="206">
        <f ca="1">ROUND(D45/(1+'数据-取费表'!C42),0)</f>
        <v>83663</v>
      </c>
      <c r="D72" s="199" t="s">
        <v>32</v>
      </c>
      <c r="E72" s="3027"/>
      <c r="F72" s="3026"/>
      <c r="G72" s="3026"/>
      <c r="H72" s="215"/>
      <c r="I72" s="2472"/>
      <c r="N72" s="2470"/>
      <c r="O72" s="2470"/>
      <c r="P72" s="2470"/>
      <c r="Q72" s="2470"/>
      <c r="R72" s="2470"/>
      <c r="S72" s="2470"/>
      <c r="T72" s="2470"/>
      <c r="U72" s="2470"/>
      <c r="V72" s="2470"/>
      <c r="W72" s="2470"/>
      <c r="X72" s="2470"/>
      <c r="Y72" s="2470"/>
      <c r="Z72" s="2470"/>
      <c r="AA72" s="2471"/>
      <c r="AB72" s="2471"/>
      <c r="AC72" s="2471"/>
      <c r="AD72" s="2471"/>
      <c r="AE72" s="2471"/>
      <c r="AF72" s="2471"/>
      <c r="AG72" s="2471"/>
      <c r="AH72" s="2471"/>
      <c r="AI72" s="2471"/>
    </row>
    <row r="73" spans="1:35" s="2469" customFormat="1" ht="14.25">
      <c r="A73" s="202" t="s">
        <v>772</v>
      </c>
      <c r="B73" s="172" t="s">
        <v>2229</v>
      </c>
      <c r="C73" s="206">
        <f ca="1">C74+C78</f>
        <v>502</v>
      </c>
      <c r="D73" s="199" t="s">
        <v>32</v>
      </c>
      <c r="E73" s="3027"/>
      <c r="F73" s="3026"/>
      <c r="G73" s="3026"/>
      <c r="H73" s="215"/>
      <c r="I73" s="2472"/>
      <c r="J73" s="2470"/>
      <c r="K73" s="2470"/>
      <c r="L73" s="2470"/>
      <c r="M73" s="2470"/>
      <c r="N73" s="2470"/>
      <c r="O73" s="2470"/>
      <c r="P73" s="2470"/>
      <c r="Q73" s="2470"/>
      <c r="R73" s="2470"/>
      <c r="S73" s="2470"/>
      <c r="T73" s="2470"/>
      <c r="U73" s="2470"/>
      <c r="V73" s="2470"/>
      <c r="W73" s="2470"/>
      <c r="X73" s="2470"/>
      <c r="Y73" s="2470"/>
      <c r="Z73" s="2470"/>
      <c r="AA73" s="2471"/>
      <c r="AB73" s="2471"/>
      <c r="AC73" s="2471"/>
      <c r="AD73" s="2471"/>
      <c r="AE73" s="2471"/>
      <c r="AF73" s="2471"/>
      <c r="AG73" s="2471"/>
      <c r="AH73" s="2471"/>
      <c r="AI73" s="2471"/>
    </row>
    <row r="74" spans="1:35" s="2469" customFormat="1" ht="24">
      <c r="A74" s="216" t="s">
        <v>770</v>
      </c>
      <c r="B74" s="197" t="s">
        <v>2230</v>
      </c>
      <c r="C74" s="199">
        <f>ROUND(IF(G77="2016年5月1日后购买",C75/(1+'数据-取费表'!C42)+C76+C77,C75+C76+C77),0)</f>
        <v>0</v>
      </c>
      <c r="D74" s="199" t="s">
        <v>32</v>
      </c>
      <c r="E74" s="3027"/>
      <c r="F74" s="3026"/>
      <c r="G74" s="3026"/>
      <c r="H74" s="215"/>
      <c r="I74" s="2472"/>
      <c r="J74" s="2470"/>
      <c r="K74" s="2470"/>
      <c r="L74" s="2470"/>
      <c r="M74" s="2470"/>
      <c r="N74" s="2470"/>
      <c r="O74" s="2470"/>
      <c r="P74" s="2470"/>
      <c r="Q74" s="2470"/>
      <c r="R74" s="2470"/>
      <c r="S74" s="2470"/>
      <c r="T74" s="2470"/>
      <c r="U74" s="2470"/>
      <c r="V74" s="2470"/>
      <c r="W74" s="2470"/>
      <c r="X74" s="2470"/>
      <c r="Y74" s="2470"/>
      <c r="Z74" s="2470"/>
      <c r="AA74" s="2471"/>
      <c r="AB74" s="2471"/>
      <c r="AC74" s="2471"/>
      <c r="AD74" s="2471"/>
      <c r="AE74" s="2471"/>
      <c r="AF74" s="2471"/>
      <c r="AG74" s="2471"/>
      <c r="AH74" s="2471"/>
      <c r="AI74" s="2471"/>
    </row>
    <row r="75" spans="1:35" s="2469" customFormat="1" ht="14.25">
      <c r="A75" s="216" t="s">
        <v>776</v>
      </c>
      <c r="B75" s="197" t="s">
        <v>2231</v>
      </c>
      <c r="C75" s="217"/>
      <c r="D75" s="199" t="s">
        <v>32</v>
      </c>
      <c r="E75" s="218" t="s">
        <v>2232</v>
      </c>
      <c r="F75" s="2473" t="s">
        <v>2233</v>
      </c>
      <c r="G75" s="218" t="s">
        <v>2234</v>
      </c>
      <c r="H75" s="219"/>
      <c r="I75" s="2474"/>
      <c r="J75" s="2470"/>
      <c r="K75" s="2470"/>
      <c r="L75" s="2470"/>
      <c r="M75" s="2470"/>
      <c r="N75" s="2470"/>
      <c r="O75" s="2470"/>
      <c r="P75" s="2470"/>
      <c r="Q75" s="2470"/>
      <c r="R75" s="2470"/>
      <c r="S75" s="2470"/>
      <c r="T75" s="2470"/>
      <c r="U75" s="2470"/>
      <c r="V75" s="2470"/>
      <c r="W75" s="2470"/>
      <c r="X75" s="2470"/>
      <c r="Y75" s="2470"/>
      <c r="Z75" s="2470"/>
      <c r="AA75" s="2471"/>
      <c r="AB75" s="2471"/>
      <c r="AC75" s="2471"/>
      <c r="AD75" s="2471"/>
      <c r="AE75" s="2471"/>
      <c r="AF75" s="2471"/>
      <c r="AG75" s="2471"/>
      <c r="AH75" s="2471"/>
      <c r="AI75" s="2471"/>
    </row>
    <row r="76" spans="1:35" s="2469" customFormat="1" ht="24.75" customHeight="1">
      <c r="A76" s="216" t="s">
        <v>777</v>
      </c>
      <c r="B76" s="220" t="s">
        <v>2235</v>
      </c>
      <c r="C76" s="199">
        <f>IF(F75="购房发票",ROUND(C75*H75*D76,0),0)</f>
        <v>0</v>
      </c>
      <c r="D76" s="221">
        <v>0.05</v>
      </c>
      <c r="E76" s="3222" t="s">
        <v>2236</v>
      </c>
      <c r="F76" s="3199"/>
      <c r="G76" s="3199"/>
      <c r="H76" s="3247"/>
      <c r="I76" s="2472"/>
      <c r="J76" s="2470"/>
      <c r="K76" s="2470"/>
      <c r="L76" s="2470"/>
      <c r="M76" s="2470"/>
      <c r="N76" s="2470"/>
      <c r="O76" s="2470"/>
      <c r="P76" s="2470"/>
      <c r="Q76" s="2470"/>
      <c r="R76" s="2470"/>
      <c r="S76" s="2470"/>
      <c r="T76" s="2470"/>
      <c r="U76" s="2470"/>
      <c r="V76" s="2470"/>
      <c r="W76" s="2470"/>
      <c r="X76" s="2470"/>
      <c r="Y76" s="2470"/>
      <c r="Z76" s="2470"/>
      <c r="AA76" s="2471"/>
      <c r="AB76" s="2471"/>
      <c r="AC76" s="2471"/>
      <c r="AD76" s="2471"/>
      <c r="AE76" s="2471"/>
      <c r="AF76" s="2471"/>
      <c r="AG76" s="2471"/>
      <c r="AH76" s="2471"/>
      <c r="AI76" s="2471"/>
    </row>
    <row r="77" spans="1:35" s="2469" customFormat="1" ht="24.75" customHeight="1">
      <c r="A77" s="216" t="s">
        <v>778</v>
      </c>
      <c r="B77" s="197" t="s">
        <v>2237</v>
      </c>
      <c r="C77" s="199">
        <f>ROUND(IF(G77="个人住宅",0,IF(G77="2016年5月1日前购买",C75*D77,C75*D77/(1+'数据-取费表'!C42))),0)</f>
        <v>0</v>
      </c>
      <c r="D77" s="222">
        <f>'数据-取费表'!B48+'数据-取费表'!B49</f>
        <v>3.0499999999999999E-2</v>
      </c>
      <c r="E77" s="3018" t="s">
        <v>2238</v>
      </c>
      <c r="F77" s="223"/>
      <c r="G77" s="2475" t="s">
        <v>2239</v>
      </c>
      <c r="H77" s="3028" t="str">
        <f>IF(G77="个人买卖住房","免征印花税"," ")</f>
        <v xml:space="preserve"> </v>
      </c>
      <c r="I77" s="2472"/>
      <c r="J77" s="2470"/>
      <c r="K77" s="2470"/>
      <c r="L77" s="2470"/>
      <c r="M77" s="2470"/>
      <c r="N77" s="2470"/>
      <c r="O77" s="2470"/>
      <c r="P77" s="2470"/>
      <c r="Q77" s="2470"/>
      <c r="R77" s="2470"/>
      <c r="S77" s="2470"/>
      <c r="T77" s="2470"/>
      <c r="U77" s="2470"/>
      <c r="V77" s="2470"/>
      <c r="W77" s="2470"/>
      <c r="X77" s="2470"/>
      <c r="Y77" s="2470"/>
      <c r="Z77" s="2470"/>
      <c r="AA77" s="2471"/>
      <c r="AB77" s="2471"/>
      <c r="AC77" s="2471"/>
      <c r="AD77" s="2471"/>
      <c r="AE77" s="2471"/>
      <c r="AF77" s="2471"/>
      <c r="AG77" s="2471"/>
      <c r="AH77" s="2471"/>
      <c r="AI77" s="2471"/>
    </row>
    <row r="78" spans="1:35" s="2469" customFormat="1" ht="24.75" customHeight="1">
      <c r="A78" s="216" t="s">
        <v>771</v>
      </c>
      <c r="B78" s="197" t="s">
        <v>2240</v>
      </c>
      <c r="C78" s="224">
        <f ca="1">ROUND(D45*D78/(1+'数据-取费表'!C42),0)</f>
        <v>502</v>
      </c>
      <c r="D78" s="225">
        <f>'数据-取费表'!B43</f>
        <v>6.000000000000001E-3</v>
      </c>
      <c r="E78" s="3208" t="s">
        <v>2241</v>
      </c>
      <c r="F78" s="3209"/>
      <c r="G78" s="3209"/>
      <c r="H78" s="3218"/>
      <c r="I78" s="2476"/>
      <c r="J78" s="2470"/>
      <c r="K78" s="2470"/>
      <c r="L78" s="2470"/>
      <c r="M78" s="2470"/>
      <c r="N78" s="2470"/>
      <c r="O78" s="2470"/>
      <c r="P78" s="2470"/>
      <c r="Q78" s="2470"/>
      <c r="R78" s="2470"/>
      <c r="S78" s="2470"/>
      <c r="T78" s="2470"/>
      <c r="U78" s="2470"/>
      <c r="V78" s="2470"/>
      <c r="W78" s="2470"/>
      <c r="X78" s="2470"/>
      <c r="Y78" s="2470"/>
      <c r="Z78" s="2470"/>
      <c r="AA78" s="2471"/>
      <c r="AB78" s="2471"/>
      <c r="AC78" s="2471"/>
      <c r="AD78" s="2471"/>
      <c r="AE78" s="2471"/>
      <c r="AF78" s="2471"/>
      <c r="AG78" s="2471"/>
      <c r="AH78" s="2471"/>
      <c r="AI78" s="2471"/>
    </row>
    <row r="79" spans="1:35" s="2469" customFormat="1" ht="14.25">
      <c r="A79" s="2477" t="s">
        <v>773</v>
      </c>
      <c r="B79" s="203" t="s">
        <v>2242</v>
      </c>
      <c r="C79" s="206">
        <f ca="1">C72-C73</f>
        <v>83161</v>
      </c>
      <c r="D79" s="199" t="s">
        <v>32</v>
      </c>
      <c r="E79" s="3027"/>
      <c r="F79" s="3026"/>
      <c r="G79" s="3026"/>
      <c r="H79" s="215"/>
      <c r="I79" s="2472"/>
      <c r="J79" s="2470"/>
      <c r="K79" s="2470"/>
      <c r="L79" s="2470"/>
      <c r="M79" s="2470"/>
      <c r="N79" s="2470"/>
      <c r="O79" s="2470"/>
      <c r="P79" s="2470"/>
      <c r="Q79" s="2470"/>
      <c r="R79" s="2470"/>
      <c r="S79" s="2470"/>
      <c r="T79" s="2470"/>
      <c r="U79" s="2470"/>
      <c r="V79" s="2470"/>
      <c r="W79" s="2470"/>
      <c r="X79" s="2470"/>
      <c r="Y79" s="2470"/>
      <c r="Z79" s="2470"/>
      <c r="AA79" s="2471"/>
      <c r="AB79" s="2471"/>
      <c r="AC79" s="2471"/>
      <c r="AD79" s="2471"/>
      <c r="AE79" s="2471"/>
      <c r="AF79" s="2471"/>
      <c r="AG79" s="2471"/>
      <c r="AH79" s="2471"/>
      <c r="AI79" s="2471"/>
    </row>
    <row r="80" spans="1:35" s="2469" customFormat="1" ht="24">
      <c r="A80" s="2477" t="s">
        <v>780</v>
      </c>
      <c r="B80" s="203" t="s">
        <v>2243</v>
      </c>
      <c r="C80" s="226">
        <f ca="1">IF(C79&lt;=0,0,C79/C73)</f>
        <v>165.65936254980079</v>
      </c>
      <c r="D80" s="199" t="s">
        <v>32</v>
      </c>
      <c r="E80" s="3018" t="str">
        <f ca="1">IF(C80&gt;=200%,"增值额超过扣除项目金额200%",IF(C80&gt;=100%,"增值额超过扣除项目金额100%，未超过200%",IF(C80&gt;=50%,"增值额超过扣除项目金额50%，未超过100%",IF(C80&lt;50%,"增值额未超过扣除项目金额50%"))))</f>
        <v>增值额超过扣除项目金额200%</v>
      </c>
      <c r="F80" s="3026"/>
      <c r="G80" s="3026"/>
      <c r="H80" s="215"/>
      <c r="I80" s="2472"/>
      <c r="J80" s="2470"/>
      <c r="K80" s="2470"/>
      <c r="L80" s="2470"/>
      <c r="M80" s="2470"/>
      <c r="N80" s="2470"/>
      <c r="O80" s="2470"/>
      <c r="P80" s="2470"/>
      <c r="Q80" s="2470"/>
      <c r="R80" s="2470"/>
      <c r="S80" s="2470"/>
      <c r="T80" s="2470"/>
      <c r="U80" s="2470"/>
      <c r="V80" s="2470"/>
      <c r="W80" s="2470"/>
      <c r="X80" s="2470"/>
      <c r="Y80" s="2470"/>
      <c r="Z80" s="2470"/>
      <c r="AA80" s="2471"/>
      <c r="AB80" s="2471"/>
      <c r="AC80" s="2471"/>
      <c r="AD80" s="2471"/>
      <c r="AE80" s="2471"/>
      <c r="AF80" s="2471"/>
      <c r="AG80" s="2471"/>
      <c r="AH80" s="2471"/>
      <c r="AI80" s="2471"/>
    </row>
    <row r="81" spans="1:35" s="2469" customFormat="1" ht="24.75" thickBot="1">
      <c r="A81" s="2478" t="s">
        <v>781</v>
      </c>
      <c r="B81" s="208" t="s">
        <v>2244</v>
      </c>
      <c r="C81" s="227">
        <f ca="1">ROUND(IF(C79&lt;=0,0,IF(C80&gt;=200%,C79*60%-C73*35%,IF(C80&gt;=100%,C79*50%-C73*15%,IF(C80&gt;=50%,C79*40%-C73*5%,IF(C80&lt;50%,C79*30%,0))))),0)</f>
        <v>49721</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472"/>
      <c r="J81" s="2470"/>
      <c r="K81" s="2470"/>
      <c r="L81" s="2470"/>
      <c r="M81" s="2470"/>
      <c r="N81" s="2470"/>
      <c r="O81" s="2470"/>
      <c r="P81" s="2470"/>
      <c r="Q81" s="2470"/>
      <c r="R81" s="2470"/>
      <c r="S81" s="2470"/>
      <c r="T81" s="2470"/>
      <c r="U81" s="2470"/>
      <c r="V81" s="2470"/>
      <c r="W81" s="2470"/>
      <c r="X81" s="2470"/>
      <c r="Y81" s="2470"/>
      <c r="Z81" s="2470"/>
      <c r="AA81" s="2471"/>
      <c r="AB81" s="2471"/>
      <c r="AC81" s="2471"/>
      <c r="AD81" s="2471"/>
      <c r="AE81" s="2471"/>
      <c r="AF81" s="2471"/>
      <c r="AG81" s="2471"/>
      <c r="AH81" s="2471"/>
      <c r="AI81" s="2471"/>
    </row>
    <row r="82" spans="1:35" s="2469" customFormat="1" ht="7.5" customHeight="1">
      <c r="A82" s="732"/>
      <c r="B82" s="733"/>
      <c r="C82" s="7"/>
      <c r="D82" s="7"/>
      <c r="E82" s="733"/>
      <c r="F82" s="733"/>
      <c r="G82" s="733"/>
      <c r="H82" s="734"/>
      <c r="I82" s="2476"/>
      <c r="J82" s="2470"/>
      <c r="K82" s="2470"/>
      <c r="L82" s="2470"/>
      <c r="M82" s="2470"/>
      <c r="N82" s="2470"/>
      <c r="O82" s="2470"/>
      <c r="P82" s="2470"/>
      <c r="Q82" s="2470"/>
      <c r="R82" s="2470"/>
      <c r="S82" s="2470"/>
      <c r="T82" s="2470"/>
      <c r="U82" s="2470"/>
      <c r="V82" s="2470"/>
      <c r="W82" s="2470"/>
      <c r="X82" s="2470"/>
      <c r="Y82" s="2470"/>
      <c r="Z82" s="2470"/>
      <c r="AA82" s="2471"/>
      <c r="AB82" s="2471"/>
      <c r="AC82" s="2471"/>
      <c r="AD82" s="2471"/>
      <c r="AE82" s="2471"/>
      <c r="AF82" s="2471"/>
      <c r="AG82" s="2471"/>
      <c r="AH82" s="2471"/>
      <c r="AI82" s="2471"/>
    </row>
    <row r="83" spans="1:35" s="2469" customFormat="1" ht="15" thickBot="1">
      <c r="A83" s="3248" t="s">
        <v>2245</v>
      </c>
      <c r="B83" s="3249"/>
      <c r="C83" s="3249"/>
      <c r="D83" s="3249"/>
      <c r="E83" s="3249"/>
      <c r="F83" s="3249"/>
      <c r="G83" s="3249"/>
      <c r="H83" s="3249"/>
      <c r="I83" s="2474"/>
      <c r="J83" s="2470"/>
      <c r="K83" s="2470"/>
      <c r="L83" s="2470"/>
      <c r="M83" s="2470"/>
      <c r="N83" s="2470"/>
      <c r="O83" s="2470"/>
      <c r="P83" s="2470"/>
      <c r="Q83" s="2470"/>
      <c r="R83" s="2470"/>
      <c r="S83" s="2470"/>
      <c r="T83" s="2470"/>
      <c r="U83" s="2470"/>
      <c r="V83" s="2470"/>
      <c r="W83" s="2470"/>
      <c r="X83" s="2470"/>
      <c r="Y83" s="2470"/>
      <c r="Z83" s="2470"/>
      <c r="AA83" s="2471"/>
      <c r="AB83" s="2471"/>
      <c r="AC83" s="2471"/>
      <c r="AD83" s="2471"/>
      <c r="AE83" s="2471"/>
      <c r="AF83" s="2471"/>
      <c r="AG83" s="2471"/>
      <c r="AH83" s="2471"/>
      <c r="AI83" s="2471"/>
    </row>
    <row r="84" spans="1:35" s="2469" customFormat="1" ht="14.25">
      <c r="A84" s="3227" t="s">
        <v>2208</v>
      </c>
      <c r="B84" s="3228"/>
      <c r="C84" s="3025"/>
      <c r="D84" s="3025" t="s">
        <v>2209</v>
      </c>
      <c r="E84" s="212" t="s">
        <v>2210</v>
      </c>
      <c r="F84" s="213"/>
      <c r="G84" s="213"/>
      <c r="H84" s="232"/>
      <c r="I84" s="2474"/>
      <c r="J84" s="2470"/>
      <c r="K84" s="2470"/>
      <c r="L84" s="2470"/>
      <c r="M84" s="2470"/>
      <c r="N84" s="2470"/>
      <c r="O84" s="2470"/>
      <c r="P84" s="2470"/>
      <c r="Q84" s="2470"/>
      <c r="R84" s="2470"/>
      <c r="S84" s="2470"/>
      <c r="T84" s="2470"/>
      <c r="U84" s="2470"/>
      <c r="V84" s="2470"/>
      <c r="W84" s="2470"/>
      <c r="X84" s="2470"/>
      <c r="Y84" s="2470"/>
      <c r="Z84" s="2470"/>
      <c r="AA84" s="2471"/>
      <c r="AB84" s="2471"/>
      <c r="AC84" s="2471"/>
      <c r="AD84" s="2471"/>
      <c r="AE84" s="2471"/>
      <c r="AF84" s="2471"/>
      <c r="AG84" s="2471"/>
      <c r="AH84" s="2471"/>
      <c r="AI84" s="2471"/>
    </row>
    <row r="85" spans="1:35" s="2469" customFormat="1" ht="14.25">
      <c r="A85" s="202" t="s">
        <v>775</v>
      </c>
      <c r="B85" s="203" t="s">
        <v>2228</v>
      </c>
      <c r="C85" s="206">
        <f ca="1">ROUND(D45/(1+'数据-取费表'!C42),0)</f>
        <v>83663</v>
      </c>
      <c r="D85" s="199" t="s">
        <v>32</v>
      </c>
      <c r="E85" s="3027"/>
      <c r="F85" s="3026"/>
      <c r="G85" s="3026"/>
      <c r="H85" s="233"/>
      <c r="I85" s="2474"/>
      <c r="J85" s="2470"/>
      <c r="K85" s="2470"/>
      <c r="L85" s="2470"/>
      <c r="M85" s="2470"/>
      <c r="N85" s="2470"/>
      <c r="O85" s="2470"/>
      <c r="P85" s="2470"/>
      <c r="Q85" s="2470"/>
      <c r="R85" s="2470"/>
      <c r="S85" s="2470"/>
      <c r="T85" s="2470"/>
      <c r="U85" s="2470"/>
      <c r="V85" s="2470"/>
      <c r="W85" s="2470"/>
      <c r="X85" s="2470"/>
      <c r="Y85" s="2470"/>
      <c r="Z85" s="2470"/>
      <c r="AA85" s="2471"/>
      <c r="AB85" s="2471"/>
      <c r="AC85" s="2471"/>
      <c r="AD85" s="2471"/>
      <c r="AE85" s="2471"/>
      <c r="AF85" s="2471"/>
      <c r="AG85" s="2471"/>
      <c r="AH85" s="2471"/>
      <c r="AI85" s="2471"/>
    </row>
    <row r="86" spans="1:35" s="2469" customFormat="1" ht="14.25">
      <c r="A86" s="202" t="s">
        <v>772</v>
      </c>
      <c r="B86" s="172" t="s">
        <v>2229</v>
      </c>
      <c r="C86" s="206">
        <f ca="1">IF(H88="仅含出让金",C87+C90+C91+C92+C93+C94,C87+C91+C92+C93+C94)</f>
        <v>502</v>
      </c>
      <c r="D86" s="234"/>
      <c r="E86" s="3027"/>
      <c r="F86" s="3026"/>
      <c r="G86" s="3026"/>
      <c r="H86" s="233"/>
      <c r="I86" s="2474"/>
      <c r="J86" s="2470"/>
      <c r="K86" s="2470"/>
      <c r="L86" s="2470"/>
      <c r="M86" s="2470"/>
      <c r="N86" s="2470"/>
      <c r="O86" s="2470"/>
      <c r="P86" s="2470"/>
      <c r="Q86" s="2470"/>
      <c r="R86" s="2470"/>
      <c r="S86" s="2470"/>
      <c r="T86" s="2470"/>
      <c r="U86" s="2470"/>
      <c r="V86" s="2470"/>
      <c r="W86" s="2470"/>
      <c r="X86" s="2470"/>
      <c r="Y86" s="2470"/>
      <c r="Z86" s="2470"/>
      <c r="AA86" s="2471"/>
      <c r="AB86" s="2471"/>
      <c r="AC86" s="2471"/>
      <c r="AD86" s="2471"/>
      <c r="AE86" s="2471"/>
      <c r="AF86" s="2471"/>
      <c r="AG86" s="2471"/>
      <c r="AH86" s="2471"/>
      <c r="AI86" s="2471"/>
    </row>
    <row r="87" spans="1:35" s="2469" customFormat="1" ht="14.25">
      <c r="A87" s="216" t="s">
        <v>770</v>
      </c>
      <c r="B87" s="197" t="s">
        <v>2246</v>
      </c>
      <c r="C87" s="224">
        <f>C88+C89</f>
        <v>0</v>
      </c>
      <c r="D87" s="225"/>
      <c r="E87" s="3022"/>
      <c r="F87" s="3023"/>
      <c r="G87" s="3023"/>
      <c r="H87" s="3024"/>
      <c r="I87" s="2474"/>
      <c r="J87" s="2470"/>
      <c r="K87" s="2470"/>
      <c r="L87" s="2470"/>
      <c r="M87" s="2470"/>
      <c r="N87" s="2470"/>
      <c r="O87" s="2470"/>
      <c r="P87" s="2470"/>
      <c r="Q87" s="2470"/>
      <c r="R87" s="2470"/>
      <c r="S87" s="2470"/>
      <c r="T87" s="2470"/>
      <c r="U87" s="2470"/>
      <c r="V87" s="2470"/>
      <c r="W87" s="2470"/>
      <c r="X87" s="2470"/>
      <c r="Y87" s="2470"/>
      <c r="Z87" s="2470"/>
      <c r="AA87" s="2471"/>
      <c r="AB87" s="2471"/>
      <c r="AC87" s="2471"/>
      <c r="AD87" s="2471"/>
      <c r="AE87" s="2471"/>
      <c r="AF87" s="2471"/>
      <c r="AG87" s="2471"/>
      <c r="AH87" s="2471"/>
      <c r="AI87" s="2471"/>
    </row>
    <row r="88" spans="1:35" s="2469" customFormat="1" ht="14.25">
      <c r="A88" s="216" t="s">
        <v>776</v>
      </c>
      <c r="B88" s="197" t="s">
        <v>2247</v>
      </c>
      <c r="C88" s="235"/>
      <c r="D88" s="225"/>
      <c r="E88" s="236" t="s">
        <v>2248</v>
      </c>
      <c r="F88" s="3023"/>
      <c r="G88" s="237" t="s">
        <v>2249</v>
      </c>
      <c r="H88" s="2479"/>
      <c r="I88" s="2474"/>
      <c r="J88" s="2470"/>
      <c r="K88" s="2470"/>
      <c r="L88" s="2470"/>
      <c r="M88" s="2470"/>
      <c r="N88" s="2470"/>
      <c r="O88" s="2470"/>
      <c r="P88" s="2470"/>
      <c r="Q88" s="2470"/>
      <c r="R88" s="2470"/>
      <c r="S88" s="2470"/>
      <c r="T88" s="2470"/>
      <c r="U88" s="2470"/>
      <c r="V88" s="2470"/>
      <c r="W88" s="2470"/>
      <c r="X88" s="2470"/>
      <c r="Y88" s="2470"/>
      <c r="Z88" s="2470"/>
      <c r="AA88" s="2471"/>
      <c r="AB88" s="2471"/>
      <c r="AC88" s="2471"/>
      <c r="AD88" s="2471"/>
      <c r="AE88" s="2471"/>
      <c r="AF88" s="2471"/>
      <c r="AG88" s="2471"/>
      <c r="AH88" s="2471"/>
      <c r="AI88" s="2471"/>
    </row>
    <row r="89" spans="1:35" s="2469" customFormat="1" ht="14.25">
      <c r="A89" s="216" t="s">
        <v>777</v>
      </c>
      <c r="B89" s="197" t="s">
        <v>2237</v>
      </c>
      <c r="C89" s="224">
        <f>ROUND(C88*D89,0)</f>
        <v>0</v>
      </c>
      <c r="D89" s="225">
        <f>'数据-取费表'!B48+'数据-取费表'!B49</f>
        <v>3.0499999999999999E-2</v>
      </c>
      <c r="E89" s="236" t="s">
        <v>2250</v>
      </c>
      <c r="F89" s="3023"/>
      <c r="G89" s="3023"/>
      <c r="H89" s="3024"/>
      <c r="I89" s="2474"/>
      <c r="J89" s="2470"/>
      <c r="K89" s="2470"/>
      <c r="L89" s="2470"/>
      <c r="M89" s="2470"/>
      <c r="N89" s="2470"/>
      <c r="O89" s="2470"/>
      <c r="P89" s="2470"/>
      <c r="Q89" s="2470"/>
      <c r="R89" s="2470"/>
      <c r="S89" s="2470"/>
      <c r="T89" s="2470"/>
      <c r="U89" s="2470"/>
      <c r="V89" s="2470"/>
      <c r="W89" s="2470"/>
      <c r="X89" s="2470"/>
      <c r="Y89" s="2470"/>
      <c r="Z89" s="2470"/>
      <c r="AA89" s="2471"/>
      <c r="AB89" s="2471"/>
      <c r="AC89" s="2471"/>
      <c r="AD89" s="2471"/>
      <c r="AE89" s="2471"/>
      <c r="AF89" s="2471"/>
      <c r="AG89" s="2471"/>
      <c r="AH89" s="2471"/>
      <c r="AI89" s="2471"/>
    </row>
    <row r="90" spans="1:35" s="2469" customFormat="1" ht="14.25">
      <c r="A90" s="216" t="s">
        <v>771</v>
      </c>
      <c r="B90" s="197" t="s">
        <v>2251</v>
      </c>
      <c r="C90" s="235"/>
      <c r="D90" s="225"/>
      <c r="E90" s="236" t="str">
        <f>IF(H88="-","土地取得成本中已包含该笔费用"," ")</f>
        <v xml:space="preserve"> </v>
      </c>
      <c r="F90" s="3023"/>
      <c r="G90" s="3023"/>
      <c r="H90" s="3024"/>
      <c r="I90" s="2474"/>
      <c r="J90" s="2470"/>
      <c r="K90" s="2470"/>
      <c r="L90" s="2470"/>
      <c r="M90" s="2470"/>
      <c r="N90" s="2470"/>
      <c r="O90" s="2470"/>
      <c r="P90" s="2470"/>
      <c r="Q90" s="2470"/>
      <c r="R90" s="2470"/>
      <c r="S90" s="2470"/>
      <c r="T90" s="2470"/>
      <c r="U90" s="2470"/>
      <c r="V90" s="2470"/>
      <c r="W90" s="2470"/>
      <c r="X90" s="2470"/>
      <c r="Y90" s="2470"/>
      <c r="Z90" s="2470"/>
      <c r="AA90" s="2471"/>
      <c r="AB90" s="2471"/>
      <c r="AC90" s="2471"/>
      <c r="AD90" s="2471"/>
      <c r="AE90" s="2471"/>
      <c r="AF90" s="2471"/>
      <c r="AG90" s="2471"/>
      <c r="AH90" s="2471"/>
      <c r="AI90" s="2471"/>
    </row>
    <row r="91" spans="1:35" s="2469" customFormat="1" ht="27.75" customHeight="1">
      <c r="A91" s="216" t="s">
        <v>2252</v>
      </c>
      <c r="B91" s="197" t="s">
        <v>2253</v>
      </c>
      <c r="C91" s="224">
        <f>IF(H91="——",'成本法（车库）'!C33,I91)</f>
        <v>0</v>
      </c>
      <c r="D91" s="225"/>
      <c r="E91" s="3208" t="s">
        <v>2254</v>
      </c>
      <c r="F91" s="3209"/>
      <c r="G91" s="3209"/>
      <c r="H91" s="2480" t="s">
        <v>2255</v>
      </c>
      <c r="I91" s="2481"/>
      <c r="J91" s="2470"/>
      <c r="K91" s="2470"/>
      <c r="L91" s="2470"/>
      <c r="M91" s="2470"/>
      <c r="N91" s="2470"/>
      <c r="O91" s="2470"/>
      <c r="P91" s="2470"/>
      <c r="Q91" s="2470"/>
      <c r="R91" s="2470"/>
      <c r="S91" s="2470"/>
      <c r="T91" s="2470"/>
      <c r="U91" s="2470"/>
      <c r="V91" s="2470"/>
      <c r="W91" s="2470"/>
      <c r="X91" s="2470"/>
      <c r="Y91" s="2470"/>
      <c r="Z91" s="2470"/>
      <c r="AA91" s="2471"/>
      <c r="AB91" s="2471"/>
      <c r="AC91" s="2471"/>
      <c r="AD91" s="2471"/>
      <c r="AE91" s="2471"/>
      <c r="AF91" s="2471"/>
      <c r="AG91" s="2471"/>
      <c r="AH91" s="2471"/>
      <c r="AI91" s="2471"/>
    </row>
    <row r="92" spans="1:35" s="2469" customFormat="1" ht="25.5" customHeight="1">
      <c r="A92" s="216" t="s">
        <v>2256</v>
      </c>
      <c r="B92" s="197" t="s">
        <v>2257</v>
      </c>
      <c r="C92" s="224">
        <f>ROUND((C87+C90+C91)*D92,0)</f>
        <v>0</v>
      </c>
      <c r="D92" s="225">
        <v>0.1</v>
      </c>
      <c r="E92" s="3208" t="s">
        <v>2258</v>
      </c>
      <c r="F92" s="3209"/>
      <c r="G92" s="3209"/>
      <c r="H92" s="3218"/>
      <c r="I92" s="2474"/>
      <c r="J92" s="2470"/>
      <c r="K92" s="2470"/>
      <c r="L92" s="2470"/>
      <c r="M92" s="2470"/>
      <c r="N92" s="2470"/>
      <c r="O92" s="2470"/>
      <c r="P92" s="2470"/>
      <c r="Q92" s="2470"/>
      <c r="R92" s="2470"/>
      <c r="S92" s="2470"/>
      <c r="T92" s="2470"/>
      <c r="U92" s="2470"/>
      <c r="V92" s="2470"/>
      <c r="W92" s="2470"/>
      <c r="X92" s="2470"/>
      <c r="Y92" s="2470"/>
      <c r="Z92" s="2470"/>
      <c r="AA92" s="2471"/>
      <c r="AB92" s="2471"/>
      <c r="AC92" s="2471"/>
      <c r="AD92" s="2471"/>
      <c r="AE92" s="2471"/>
      <c r="AF92" s="2471"/>
      <c r="AG92" s="2471"/>
      <c r="AH92" s="2471"/>
      <c r="AI92" s="2471"/>
    </row>
    <row r="93" spans="1:35" s="2469" customFormat="1" ht="25.5" customHeight="1">
      <c r="A93" s="216" t="s">
        <v>2259</v>
      </c>
      <c r="B93" s="197" t="s">
        <v>2240</v>
      </c>
      <c r="C93" s="224">
        <f ca="1">ROUND(D45*D93/(1+'数据-取费表'!C42),0)</f>
        <v>502</v>
      </c>
      <c r="D93" s="225">
        <f>'数据-取费表'!B43</f>
        <v>6.000000000000001E-3</v>
      </c>
      <c r="E93" s="3208" t="s">
        <v>2241</v>
      </c>
      <c r="F93" s="3209"/>
      <c r="G93" s="3209"/>
      <c r="H93" s="3218"/>
      <c r="I93" s="2474"/>
      <c r="J93" s="2470"/>
      <c r="K93" s="2470"/>
      <c r="L93" s="2470"/>
      <c r="M93" s="2470"/>
      <c r="N93" s="2470"/>
      <c r="O93" s="2470"/>
      <c r="P93" s="2470"/>
      <c r="Q93" s="2470"/>
      <c r="R93" s="2470"/>
      <c r="S93" s="2470"/>
      <c r="T93" s="2470"/>
      <c r="U93" s="2470"/>
      <c r="V93" s="2470"/>
      <c r="W93" s="2470"/>
      <c r="X93" s="2470"/>
      <c r="Y93" s="2470"/>
      <c r="Z93" s="2470"/>
      <c r="AA93" s="2471"/>
      <c r="AB93" s="2471"/>
      <c r="AC93" s="2471"/>
      <c r="AD93" s="2471"/>
      <c r="AE93" s="2471"/>
      <c r="AF93" s="2471"/>
      <c r="AG93" s="2471"/>
      <c r="AH93" s="2471"/>
      <c r="AI93" s="2471"/>
    </row>
    <row r="94" spans="1:35" s="2469" customFormat="1" ht="36.75" customHeight="1">
      <c r="A94" s="216" t="s">
        <v>2260</v>
      </c>
      <c r="B94" s="197" t="s">
        <v>2261</v>
      </c>
      <c r="C94" s="235">
        <f>ROUND((C87+C90+C91)*D94,0)</f>
        <v>0</v>
      </c>
      <c r="D94" s="225">
        <v>0.2</v>
      </c>
      <c r="E94" s="3219" t="s">
        <v>2262</v>
      </c>
      <c r="F94" s="3220"/>
      <c r="G94" s="3220"/>
      <c r="H94" s="3221"/>
      <c r="I94" s="2474"/>
      <c r="J94" s="2470"/>
      <c r="K94" s="2470"/>
      <c r="L94" s="2470"/>
      <c r="M94" s="2470"/>
      <c r="N94" s="2470"/>
      <c r="O94" s="2470"/>
      <c r="P94" s="2470"/>
      <c r="Q94" s="2470"/>
      <c r="R94" s="2470"/>
      <c r="S94" s="2470"/>
      <c r="T94" s="2470"/>
      <c r="U94" s="2470"/>
      <c r="V94" s="2470"/>
      <c r="W94" s="2470"/>
      <c r="X94" s="2470"/>
      <c r="Y94" s="2470"/>
      <c r="Z94" s="2470"/>
      <c r="AA94" s="2471"/>
      <c r="AB94" s="2471"/>
      <c r="AC94" s="2471"/>
      <c r="AD94" s="2471"/>
      <c r="AE94" s="2471"/>
      <c r="AF94" s="2471"/>
      <c r="AG94" s="2471"/>
      <c r="AH94" s="2471"/>
      <c r="AI94" s="2471"/>
    </row>
    <row r="95" spans="1:35" s="2469" customFormat="1" ht="14.25">
      <c r="A95" s="2477" t="s">
        <v>773</v>
      </c>
      <c r="B95" s="203" t="s">
        <v>2242</v>
      </c>
      <c r="C95" s="206">
        <f ca="1">ROUND(C85-C86,0)</f>
        <v>83161</v>
      </c>
      <c r="D95" s="199" t="s">
        <v>32</v>
      </c>
      <c r="E95" s="3027"/>
      <c r="F95" s="3026"/>
      <c r="G95" s="3026"/>
      <c r="H95" s="233"/>
      <c r="I95" s="2474"/>
      <c r="J95" s="2470"/>
      <c r="K95" s="2470"/>
      <c r="L95" s="2470"/>
      <c r="M95" s="2470"/>
      <c r="N95" s="2470"/>
      <c r="O95" s="2470"/>
      <c r="P95" s="2470"/>
      <c r="Q95" s="2470"/>
      <c r="R95" s="2470"/>
      <c r="S95" s="2470"/>
      <c r="T95" s="2470"/>
      <c r="U95" s="2470"/>
      <c r="V95" s="2470"/>
      <c r="W95" s="2470"/>
      <c r="X95" s="2470"/>
      <c r="Y95" s="2470"/>
      <c r="Z95" s="2470"/>
      <c r="AA95" s="2471"/>
      <c r="AB95" s="2471"/>
      <c r="AC95" s="2471"/>
      <c r="AD95" s="2471"/>
      <c r="AE95" s="2471"/>
      <c r="AF95" s="2471"/>
      <c r="AG95" s="2471"/>
      <c r="AH95" s="2471"/>
      <c r="AI95" s="2471"/>
    </row>
    <row r="96" spans="1:35" s="2469" customFormat="1" ht="24">
      <c r="A96" s="2477" t="s">
        <v>780</v>
      </c>
      <c r="B96" s="203" t="s">
        <v>2243</v>
      </c>
      <c r="C96" s="226">
        <f ca="1">IF(C95&lt;=0,0,C95/C86)</f>
        <v>165.65936254980079</v>
      </c>
      <c r="D96" s="199" t="s">
        <v>32</v>
      </c>
      <c r="E96" s="3018" t="str">
        <f ca="1">IF(C96&gt;=200%,"增值额超过扣除项目金额200%",IF(C96&gt;=100%,"增值额超过扣除项目金额100%，未超过200%",IF(C96&gt;=50%,"增值额超过扣除项目金额50%，未超过100%",IF(C96&lt;50%,"增值额未超过扣除项目金额50%"))))</f>
        <v>增值额超过扣除项目金额200%</v>
      </c>
      <c r="F96" s="3026"/>
      <c r="G96" s="3026"/>
      <c r="H96" s="233"/>
      <c r="I96" s="2474"/>
      <c r="J96" s="2470"/>
      <c r="K96" s="2470"/>
      <c r="L96" s="2470"/>
      <c r="M96" s="2470"/>
      <c r="N96" s="2470"/>
      <c r="O96" s="2470"/>
      <c r="P96" s="2470"/>
      <c r="Q96" s="2470"/>
      <c r="R96" s="2470"/>
      <c r="S96" s="2470"/>
      <c r="T96" s="2470"/>
      <c r="U96" s="2470"/>
      <c r="V96" s="2470"/>
      <c r="W96" s="2470"/>
      <c r="X96" s="2470"/>
      <c r="Y96" s="2470"/>
      <c r="Z96" s="2470"/>
      <c r="AA96" s="2471"/>
      <c r="AB96" s="2471"/>
      <c r="AC96" s="2471"/>
      <c r="AD96" s="2471"/>
      <c r="AE96" s="2471"/>
      <c r="AF96" s="2471"/>
      <c r="AG96" s="2471"/>
      <c r="AH96" s="2471"/>
      <c r="AI96" s="2471"/>
    </row>
    <row r="97" spans="1:35" s="2469" customFormat="1" ht="24.75" thickBot="1">
      <c r="A97" s="2478" t="s">
        <v>781</v>
      </c>
      <c r="B97" s="208" t="s">
        <v>2244</v>
      </c>
      <c r="C97" s="227">
        <f ca="1">ROUND(IF(C95&lt;=0,0,IF(C96&gt;=200%,C95*60%-C86*35%,IF(C96&gt;=100%,C95*50%-C86*15%,IF(C96&gt;=50%,C95*40%-C86*5%,IF(C96&lt;50%,C95*30%,0))))),0)</f>
        <v>49721</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474"/>
      <c r="J97" s="2470"/>
      <c r="K97" s="2470"/>
      <c r="L97" s="2470"/>
      <c r="M97" s="2470"/>
      <c r="N97" s="2470"/>
      <c r="O97" s="2470"/>
      <c r="P97" s="2470"/>
      <c r="Q97" s="2470"/>
      <c r="R97" s="2470"/>
      <c r="S97" s="2470"/>
      <c r="T97" s="2470"/>
      <c r="U97" s="2470"/>
      <c r="V97" s="2470"/>
      <c r="W97" s="2470"/>
      <c r="X97" s="2470"/>
      <c r="Y97" s="2470"/>
      <c r="Z97" s="2470"/>
      <c r="AA97" s="2471"/>
      <c r="AB97" s="2471"/>
      <c r="AC97" s="2471"/>
      <c r="AD97" s="2471"/>
      <c r="AE97" s="2471"/>
      <c r="AF97" s="2471"/>
      <c r="AG97" s="2471"/>
      <c r="AH97" s="2471"/>
      <c r="AI97" s="2471"/>
    </row>
    <row r="98" spans="1:35" ht="21.75" customHeight="1">
      <c r="A98" s="2458"/>
      <c r="B98" s="2380"/>
      <c r="C98" s="2380"/>
      <c r="D98" s="2380"/>
      <c r="E98" s="2168"/>
      <c r="F98" s="2168"/>
      <c r="G98" s="2168"/>
      <c r="H98" s="2167"/>
      <c r="I98" s="137"/>
    </row>
    <row r="99" spans="1:35" ht="21.75" customHeight="1" thickBot="1">
      <c r="A99" s="2436" t="s">
        <v>2263</v>
      </c>
      <c r="B99" s="2380"/>
      <c r="C99" s="2380"/>
      <c r="D99" s="2380"/>
      <c r="E99" s="2168"/>
      <c r="F99" s="2168"/>
      <c r="G99" s="2168"/>
      <c r="H99" s="2167"/>
      <c r="I99" s="137"/>
    </row>
    <row r="100" spans="1:35" ht="18.75" customHeight="1">
      <c r="A100" s="3193" t="s">
        <v>2264</v>
      </c>
      <c r="B100" s="3194"/>
      <c r="C100" s="3194"/>
      <c r="D100" s="3210"/>
      <c r="E100" s="3194" t="s">
        <v>2265</v>
      </c>
      <c r="F100" s="3194"/>
      <c r="G100" s="3194"/>
      <c r="H100" s="3210"/>
      <c r="I100" s="137"/>
    </row>
    <row r="101" spans="1:35" ht="18.75" customHeight="1">
      <c r="A101" s="3272" t="s">
        <v>2266</v>
      </c>
      <c r="B101" s="3273"/>
      <c r="C101" s="735" t="str">
        <f>C4</f>
        <v>成本法（商业）</v>
      </c>
      <c r="D101" s="736" t="str">
        <f>D4</f>
        <v>收益法 (商业)</v>
      </c>
      <c r="E101" s="3286" t="s">
        <v>2267</v>
      </c>
      <c r="F101" s="3240"/>
      <c r="G101" s="2482" t="s">
        <v>2268</v>
      </c>
      <c r="H101" s="1047">
        <f ca="1">H118</f>
        <v>87846</v>
      </c>
      <c r="I101" s="137"/>
    </row>
    <row r="102" spans="1:35" ht="18.75" customHeight="1">
      <c r="A102" s="3242" t="s">
        <v>2269</v>
      </c>
      <c r="B102" s="2482" t="s">
        <v>2268</v>
      </c>
      <c r="C102" s="735">
        <f ca="1">C19</f>
        <v>79833</v>
      </c>
      <c r="D102" s="736">
        <f ca="1">D19</f>
        <v>95859</v>
      </c>
      <c r="E102" s="3286"/>
      <c r="F102" s="3240"/>
      <c r="G102" s="2482" t="s">
        <v>2270</v>
      </c>
      <c r="H102" s="370">
        <f ca="1">I118</f>
        <v>83381</v>
      </c>
      <c r="I102" s="137"/>
    </row>
    <row r="103" spans="1:35" ht="42.75" customHeight="1">
      <c r="A103" s="3242"/>
      <c r="B103" s="2482" t="s">
        <v>2270</v>
      </c>
      <c r="C103" s="737">
        <f ca="1">C20</f>
        <v>75775</v>
      </c>
      <c r="D103" s="738">
        <f ca="1">D20</f>
        <v>90986</v>
      </c>
      <c r="E103" s="3281" t="s">
        <v>2271</v>
      </c>
      <c r="F103" s="3282"/>
      <c r="G103" s="2483" t="s">
        <v>2272</v>
      </c>
      <c r="H103" s="1047">
        <f>IF(D36="正常操作",H104+H105+H106,H105+H106)</f>
        <v>0</v>
      </c>
      <c r="I103" s="137"/>
    </row>
    <row r="104" spans="1:35" ht="18.75" customHeight="1">
      <c r="A104" s="3242" t="s">
        <v>2273</v>
      </c>
      <c r="B104" s="2484" t="s">
        <v>2268</v>
      </c>
      <c r="C104" s="739">
        <f ca="1">H118</f>
        <v>87846</v>
      </c>
      <c r="D104" s="740"/>
      <c r="E104" s="2268" t="s">
        <v>2274</v>
      </c>
      <c r="F104" s="2260"/>
      <c r="G104" s="2483" t="s">
        <v>2272</v>
      </c>
      <c r="H104" s="1048">
        <f>IF(D36="同一抵押权人同一抵押物续贷",C36&amp;"（未扣减，详见特别提示）",C36)</f>
        <v>0</v>
      </c>
      <c r="I104" s="137"/>
    </row>
    <row r="105" spans="1:35" ht="18.75" customHeight="1" thickBot="1">
      <c r="A105" s="3243"/>
      <c r="B105" s="2485" t="s">
        <v>2270</v>
      </c>
      <c r="C105" s="741">
        <f ca="1">I118</f>
        <v>83381</v>
      </c>
      <c r="D105" s="742"/>
      <c r="E105" s="2268" t="s">
        <v>2275</v>
      </c>
      <c r="F105" s="2260"/>
      <c r="G105" s="2483" t="s">
        <v>2272</v>
      </c>
      <c r="H105" s="1048">
        <f>C37</f>
        <v>0</v>
      </c>
      <c r="I105" s="137"/>
    </row>
    <row r="106" spans="1:35" ht="18.75" customHeight="1">
      <c r="A106" s="2380" t="s">
        <v>2276</v>
      </c>
      <c r="B106" s="2380"/>
      <c r="C106" s="2380"/>
      <c r="D106" s="2380"/>
      <c r="E106" s="2486" t="s">
        <v>2277</v>
      </c>
      <c r="F106" s="2260"/>
      <c r="G106" s="2483" t="s">
        <v>2272</v>
      </c>
      <c r="H106" s="1048">
        <f>C38</f>
        <v>0</v>
      </c>
      <c r="I106" s="137"/>
    </row>
    <row r="107" spans="1:35" ht="18.75" customHeight="1">
      <c r="A107" s="137"/>
      <c r="B107" s="137"/>
      <c r="C107" s="137"/>
      <c r="D107" s="137"/>
      <c r="E107" s="3239" t="str">
        <f>IF(项目基本情况!E8="已注销","——","3.房地产抵押价值")</f>
        <v>3.房地产抵押价值</v>
      </c>
      <c r="F107" s="3240"/>
      <c r="G107" s="2482" t="s">
        <v>2268</v>
      </c>
      <c r="H107" s="1047">
        <f ca="1">IF(E107="——","——",H101-H103)</f>
        <v>87846</v>
      </c>
      <c r="I107" s="137"/>
    </row>
    <row r="108" spans="1:35" ht="18.75" customHeight="1">
      <c r="A108" s="137"/>
      <c r="B108" s="137"/>
      <c r="C108" s="137"/>
      <c r="D108" s="137"/>
      <c r="E108" s="3239"/>
      <c r="F108" s="3240"/>
      <c r="G108" s="2482" t="s">
        <v>2270</v>
      </c>
      <c r="H108" s="370">
        <f ca="1">ROUND(H107*10000/'数据-汇总表'!E3,0)</f>
        <v>6101</v>
      </c>
      <c r="I108" s="137"/>
    </row>
    <row r="109" spans="1:35" ht="18.75" customHeight="1">
      <c r="A109" s="137"/>
      <c r="B109" s="137"/>
      <c r="C109" s="137"/>
      <c r="D109" s="137"/>
      <c r="E109" s="3239" t="str">
        <f>IF(项目基本情况!E8="已注销及未注销","4.抵押担保权已注销时的房地产抵押价值",IF(项目基本情况!E8="已注销","3.抵押担保权已注销时的房地产抵押价值","——"))</f>
        <v>——</v>
      </c>
      <c r="F109" s="3240"/>
      <c r="G109" s="2482" t="s">
        <v>2268</v>
      </c>
      <c r="H109" s="347" t="str">
        <f>IF(E109="——","——",H101-H105-H106)</f>
        <v>——</v>
      </c>
      <c r="I109" s="137"/>
    </row>
    <row r="110" spans="1:35" ht="18.75" customHeight="1">
      <c r="A110" s="137"/>
      <c r="B110" s="137"/>
      <c r="C110" s="137"/>
      <c r="D110" s="137"/>
      <c r="E110" s="3239"/>
      <c r="F110" s="3240"/>
      <c r="G110" s="2482" t="s">
        <v>2270</v>
      </c>
      <c r="H110" s="370" t="str">
        <f>IF(H109="——","——",ROUND(H109*10000/'数据-汇总表'!E3,0))</f>
        <v>——</v>
      </c>
      <c r="I110" s="137"/>
    </row>
    <row r="111" spans="1:35" ht="18.75" customHeight="1">
      <c r="A111" s="137"/>
      <c r="B111" s="137"/>
      <c r="C111" s="137"/>
      <c r="D111" s="137"/>
      <c r="E111" s="3274" t="str">
        <f>IF(项目基本情况!E9="抵押净值",IF(OR(项目基本情况!E8="已注销",项目基本情况!E8="房地产抵押价值"),"4.抵押净值","5.抵押净值"),"——")</f>
        <v>——</v>
      </c>
      <c r="F111" s="3275"/>
      <c r="G111" s="2482" t="s">
        <v>2268</v>
      </c>
      <c r="H111" s="1047" t="str">
        <f>IF(E111="——","——",N59)</f>
        <v>——</v>
      </c>
      <c r="I111" s="137"/>
    </row>
    <row r="112" spans="1:35" ht="18.75" customHeight="1" thickBot="1">
      <c r="A112" s="137"/>
      <c r="B112" s="137"/>
      <c r="C112" s="137"/>
      <c r="D112" s="137"/>
      <c r="E112" s="3276"/>
      <c r="F112" s="3277"/>
      <c r="G112" s="2487" t="s">
        <v>2270</v>
      </c>
      <c r="H112" s="789" t="str">
        <f>IF(E111="——","——",N61)</f>
        <v>——</v>
      </c>
      <c r="I112" s="137"/>
    </row>
    <row r="113" spans="1:11" ht="18.75" customHeight="1">
      <c r="A113" s="137"/>
      <c r="B113" s="137"/>
      <c r="C113" s="137"/>
      <c r="D113" s="137"/>
      <c r="E113" s="3244" t="s">
        <v>2276</v>
      </c>
      <c r="F113" s="3244"/>
      <c r="G113" s="3244"/>
      <c r="H113" s="3244"/>
      <c r="I113" s="137"/>
    </row>
    <row r="114" spans="1:11" ht="3.75" customHeight="1">
      <c r="A114" s="2380"/>
      <c r="B114" s="2380"/>
      <c r="C114" s="2380"/>
      <c r="D114" s="2380"/>
      <c r="E114" s="2458"/>
      <c r="F114" s="2458"/>
      <c r="G114" s="2458"/>
      <c r="H114" s="2458"/>
      <c r="I114" s="2380"/>
    </row>
    <row r="115" spans="1:11" ht="18.75" customHeight="1">
      <c r="A115" s="3257" t="s">
        <v>2278</v>
      </c>
      <c r="B115" s="3258"/>
      <c r="C115" s="3258"/>
      <c r="D115" s="3258"/>
      <c r="E115" s="3258"/>
      <c r="F115" s="3258"/>
      <c r="G115" s="3258"/>
      <c r="H115" s="3258"/>
      <c r="I115" s="3259"/>
    </row>
    <row r="116" spans="1:11" ht="27" customHeight="1">
      <c r="A116" s="3150" t="s">
        <v>2279</v>
      </c>
      <c r="B116" s="3245" t="s">
        <v>2280</v>
      </c>
      <c r="C116" s="3245" t="s">
        <v>2281</v>
      </c>
      <c r="D116" s="3261" t="s">
        <v>2282</v>
      </c>
      <c r="E116" s="3262"/>
      <c r="F116" s="3253" t="s">
        <v>2283</v>
      </c>
      <c r="G116" s="3253"/>
      <c r="H116" s="3150" t="s">
        <v>2284</v>
      </c>
      <c r="I116" s="3150"/>
    </row>
    <row r="117" spans="1:11" ht="18.75" customHeight="1">
      <c r="A117" s="3150"/>
      <c r="B117" s="3246"/>
      <c r="C117" s="3246"/>
      <c r="D117" s="3015" t="s">
        <v>2285</v>
      </c>
      <c r="E117" s="3015" t="s">
        <v>2286</v>
      </c>
      <c r="F117" s="3015" t="s">
        <v>2285</v>
      </c>
      <c r="G117" s="3015" t="s">
        <v>2287</v>
      </c>
      <c r="H117" s="3015" t="s">
        <v>2285</v>
      </c>
      <c r="I117" s="3015" t="s">
        <v>2287</v>
      </c>
    </row>
    <row r="118" spans="1:11" ht="24.75" customHeight="1">
      <c r="A118" s="2488" t="str">
        <f>项目基本情况!S2</f>
        <v>北京市财源国际大厦A、B座房地产</v>
      </c>
      <c r="B118" s="3015">
        <f>M18</f>
        <v>10535.52</v>
      </c>
      <c r="C118" s="3015">
        <f>M19</f>
        <v>686.86</v>
      </c>
      <c r="D118" s="3015">
        <f ca="1">ROUND(IF(D32="总价",C34,E118*B118/10000),0)</f>
        <v>79061</v>
      </c>
      <c r="E118" s="3015">
        <f ca="1">ROUND(IF(C33="自定义",IF(D32="楼面单价",C34,D118*10000/B118),I118-G118),0)</f>
        <v>75043</v>
      </c>
      <c r="F118" s="3015">
        <f ca="1">ROUND(IF(D32="总价",C35,G118*B118/10000),0)</f>
        <v>8785</v>
      </c>
      <c r="G118" s="3015">
        <f ca="1">ROUND(IF(D32="楼面单价",C35,F118*10000/B118),0)</f>
        <v>8338</v>
      </c>
      <c r="H118" s="3015">
        <f ca="1">ROUND(IF(D32="总价",C32,I118*B118/10000),0)</f>
        <v>87846</v>
      </c>
      <c r="I118" s="3015">
        <f ca="1">ROUND(IF(D32="楼面单价",C32,H118*10000/B118),0)</f>
        <v>83381</v>
      </c>
    </row>
    <row r="119" spans="1:11" ht="18.75" customHeight="1">
      <c r="A119" s="3150" t="s">
        <v>2288</v>
      </c>
      <c r="B119" s="3150"/>
      <c r="C119" s="3150"/>
      <c r="D119" s="3250" t="str">
        <f ca="1">NUMBERSTRING(INT(D118*10000),2)&amp;"元整"</f>
        <v>柒亿玖仟零陆拾壹万元整</v>
      </c>
      <c r="E119" s="3252"/>
      <c r="F119" s="3250" t="str">
        <f ca="1">NUMBERSTRING(INT(F118*10000),2)&amp;"元整"</f>
        <v>捌仟柒佰捌拾伍万元整</v>
      </c>
      <c r="G119" s="3252"/>
      <c r="H119" s="3250" t="str">
        <f ca="1">NUMBERSTRING(INT(H118*10000),2)&amp;"元整"</f>
        <v>捌亿柒仟捌佰肆拾陆万元整</v>
      </c>
      <c r="I119" s="3252"/>
    </row>
    <row r="120" spans="1:11" ht="18.75" customHeight="1">
      <c r="A120" s="3278" t="str">
        <f>IF(项目基本情况!B9="房地产市场价值","",MID(E103,3,LEN(E103)-2))</f>
        <v>估价师知悉的法定优先受偿款</v>
      </c>
      <c r="B120" s="3279"/>
      <c r="C120" s="3280"/>
      <c r="D120" s="3278">
        <f>H103</f>
        <v>0</v>
      </c>
      <c r="E120" s="3279"/>
      <c r="F120" s="3279"/>
      <c r="G120" s="3279"/>
      <c r="H120" s="3279"/>
      <c r="I120" s="3280"/>
      <c r="K120" s="2385" t="str">
        <f>IF(D120=0,"故，本次评估不存在"&amp;A120,"故，本次评估"&amp;A120&amp;"为人民币"&amp;D120&amp;"万元整。")</f>
        <v>故，本次评估不存在估价师知悉的法定优先受偿款</v>
      </c>
    </row>
    <row r="121" spans="1:11" ht="18.75" customHeight="1">
      <c r="A121" s="3254" t="s">
        <v>2288</v>
      </c>
      <c r="B121" s="3255"/>
      <c r="C121" s="3256"/>
      <c r="D121" s="3250" t="str">
        <f>IF(D120=0,"零元整",NUMBERSTRING(INT(D120*10000),2)&amp;"元整")</f>
        <v>零元整</v>
      </c>
      <c r="E121" s="3251"/>
      <c r="F121" s="3251"/>
      <c r="G121" s="3251"/>
      <c r="H121" s="3251"/>
      <c r="I121" s="3252"/>
    </row>
    <row r="122" spans="1:11" ht="18.75" customHeight="1">
      <c r="A122" s="3241" t="str">
        <f>IF(项目基本情况!B9="房地产市场价值","",MID(E107,3,LEN(E107)-2))</f>
        <v>房地产抵押价值</v>
      </c>
      <c r="B122" s="3241"/>
      <c r="C122" s="3241"/>
      <c r="D122" s="3278">
        <f ca="1">H107</f>
        <v>87846</v>
      </c>
      <c r="E122" s="3279"/>
      <c r="F122" s="3279"/>
      <c r="G122" s="3279"/>
      <c r="H122" s="3279"/>
      <c r="I122" s="3280"/>
    </row>
    <row r="123" spans="1:11" ht="18.75" customHeight="1">
      <c r="A123" s="3150" t="s">
        <v>2288</v>
      </c>
      <c r="B123" s="3150"/>
      <c r="C123" s="3150"/>
      <c r="D123" s="3250" t="str">
        <f ca="1">NUMBERSTRING(INT(D122*10000),2)&amp;"元整"</f>
        <v>捌亿柒仟捌佰肆拾陆万元整</v>
      </c>
      <c r="E123" s="3251"/>
      <c r="F123" s="3251"/>
      <c r="G123" s="3251"/>
      <c r="H123" s="3251"/>
      <c r="I123" s="3252"/>
    </row>
    <row r="124" spans="1:11" ht="18.75" customHeight="1">
      <c r="A124" s="3241" t="str">
        <f>IF(项目基本情况!B9="房地产市场价值","",MID(E109,3,LEN(E109)-2))</f>
        <v/>
      </c>
      <c r="B124" s="3241"/>
      <c r="C124" s="3241"/>
      <c r="D124" s="3278" t="str">
        <f>H109</f>
        <v>——</v>
      </c>
      <c r="E124" s="3279"/>
      <c r="F124" s="3279"/>
      <c r="G124" s="3279"/>
      <c r="H124" s="3279"/>
      <c r="I124" s="3280"/>
    </row>
    <row r="125" spans="1:11" ht="18.75" customHeight="1">
      <c r="A125" s="3150" t="s">
        <v>2288</v>
      </c>
      <c r="B125" s="3150"/>
      <c r="C125" s="3150"/>
      <c r="D125" s="3250" t="e">
        <f>NUMBERSTRING(INT(D124*10000),2)&amp;"元整"</f>
        <v>#VALUE!</v>
      </c>
      <c r="E125" s="3251"/>
      <c r="F125" s="3251"/>
      <c r="G125" s="3251"/>
      <c r="H125" s="3251"/>
      <c r="I125" s="3252"/>
    </row>
    <row r="126" spans="1:11" ht="18.75" customHeight="1">
      <c r="A126" s="3241" t="str">
        <f>IF(项目基本情况!B9="房地产市场价值","",MID(E111,3,LEN(E111)-2))</f>
        <v/>
      </c>
      <c r="B126" s="3241"/>
      <c r="C126" s="3241"/>
      <c r="D126" s="3278" t="str">
        <f>H111</f>
        <v>——</v>
      </c>
      <c r="E126" s="3279"/>
      <c r="F126" s="3279"/>
      <c r="G126" s="3279"/>
      <c r="H126" s="3279"/>
      <c r="I126" s="3280"/>
    </row>
    <row r="127" spans="1:11" ht="18.75" customHeight="1">
      <c r="A127" s="3150" t="s">
        <v>2288</v>
      </c>
      <c r="B127" s="3150"/>
      <c r="C127" s="3150"/>
      <c r="D127" s="3250" t="e">
        <f>NUMBERSTRING(INT(D126*10000),2)&amp;"元整"</f>
        <v>#VALUE!</v>
      </c>
      <c r="E127" s="3251"/>
      <c r="F127" s="3251"/>
      <c r="G127" s="3251"/>
      <c r="H127" s="3251"/>
      <c r="I127" s="3252"/>
    </row>
    <row r="128" spans="1:11" ht="21.75" customHeight="1">
      <c r="A128" s="3260" t="s">
        <v>2289</v>
      </c>
      <c r="B128" s="3260"/>
      <c r="C128" s="3260"/>
      <c r="D128" s="3260"/>
      <c r="E128" s="3260"/>
      <c r="F128" s="3260"/>
      <c r="G128" s="3260"/>
      <c r="H128" s="3260"/>
      <c r="I128" s="3260"/>
    </row>
    <row r="129" spans="1:35" ht="21.75" customHeight="1">
      <c r="A129" s="2489" t="s">
        <v>2290</v>
      </c>
      <c r="B129" s="2490"/>
      <c r="C129" s="2491" t="s">
        <v>2291</v>
      </c>
      <c r="D129" s="2492"/>
      <c r="E129" s="2492"/>
      <c r="F129" s="2492"/>
      <c r="G129" s="2492"/>
      <c r="H129" s="2493"/>
      <c r="I129" s="2494"/>
    </row>
    <row r="130" spans="1:35" ht="21.75" customHeight="1">
      <c r="A130" s="2495">
        <v>1</v>
      </c>
      <c r="B130" s="2496"/>
      <c r="C130" s="2496"/>
      <c r="D130" s="2497"/>
      <c r="E130" s="2497"/>
      <c r="F130" s="2497"/>
      <c r="G130" s="2497"/>
      <c r="H130" s="2498"/>
      <c r="I130" s="2499"/>
    </row>
    <row r="131" spans="1:35" ht="21.75" customHeight="1">
      <c r="A131" s="2495">
        <v>2</v>
      </c>
      <c r="B131" s="2496"/>
      <c r="C131" s="2496"/>
      <c r="D131" s="2497"/>
      <c r="E131" s="2497"/>
      <c r="F131" s="2497"/>
      <c r="G131" s="2497"/>
      <c r="H131" s="2498"/>
      <c r="I131" s="2499"/>
    </row>
    <row r="132" spans="1:35" ht="21.75" customHeight="1">
      <c r="A132" s="2495">
        <v>3</v>
      </c>
      <c r="B132" s="2496"/>
      <c r="C132" s="2496"/>
      <c r="D132" s="2497"/>
      <c r="E132" s="2497"/>
      <c r="F132" s="2497"/>
      <c r="G132" s="2497"/>
      <c r="H132" s="2498"/>
      <c r="I132" s="2499"/>
    </row>
    <row r="133" spans="1:35" ht="21.75" customHeight="1">
      <c r="A133" s="2500"/>
      <c r="B133" s="2501"/>
      <c r="C133" s="2501"/>
      <c r="D133" s="2502"/>
      <c r="E133" s="2502"/>
      <c r="F133" s="2502"/>
      <c r="G133" s="2502"/>
      <c r="H133" s="2503"/>
      <c r="I133" s="2504"/>
    </row>
    <row r="134" spans="1:35" ht="21.75" customHeight="1">
      <c r="A134" s="2496"/>
      <c r="B134" s="2496"/>
      <c r="C134" s="2496"/>
      <c r="D134" s="2497"/>
      <c r="E134" s="2497"/>
      <c r="F134" s="2497"/>
      <c r="G134" s="2497"/>
      <c r="H134" s="2498"/>
      <c r="I134" s="794"/>
    </row>
    <row r="135" spans="1:35" ht="21.75" customHeight="1">
      <c r="A135" s="794"/>
      <c r="B135" s="794"/>
      <c r="C135" s="794"/>
      <c r="D135" s="794"/>
      <c r="E135" s="794"/>
      <c r="F135" s="2505" t="s">
        <v>2292</v>
      </c>
      <c r="G135" s="2506"/>
      <c r="H135" s="2506"/>
      <c r="I135" s="2507" t="s">
        <v>2293</v>
      </c>
    </row>
    <row r="136" spans="1:35" ht="21.75" customHeight="1">
      <c r="A136" s="794"/>
      <c r="B136" s="2508" t="s">
        <v>2294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06"/>
      <c r="C138" s="2506"/>
      <c r="D138" s="2506"/>
      <c r="E138" s="2506"/>
      <c r="F138" s="2506"/>
      <c r="G138" s="2506"/>
      <c r="H138" s="2506"/>
      <c r="I138" s="2507" t="s">
        <v>2295</v>
      </c>
    </row>
    <row r="139" spans="1:35" ht="21.75" customHeight="1">
      <c r="A139" s="794"/>
      <c r="B139" s="2508" t="s">
        <v>2296</v>
      </c>
      <c r="C139" s="794"/>
      <c r="D139" s="794"/>
      <c r="E139" s="794"/>
      <c r="F139" s="794"/>
      <c r="G139" s="794"/>
      <c r="H139" s="794"/>
      <c r="I139" s="794"/>
    </row>
    <row r="140" spans="1:35" ht="21.75" customHeight="1">
      <c r="A140" s="794"/>
      <c r="B140" s="2508"/>
      <c r="C140" s="794"/>
      <c r="D140" s="794"/>
      <c r="E140" s="794"/>
      <c r="F140" s="794"/>
      <c r="G140" s="794"/>
      <c r="H140" s="794"/>
      <c r="I140" s="794"/>
    </row>
    <row r="141" spans="1:35" ht="21.75" customHeight="1">
      <c r="A141" s="794"/>
      <c r="B141" s="2506"/>
      <c r="C141" s="2506"/>
      <c r="D141" s="2506"/>
      <c r="E141" s="2506"/>
      <c r="F141" s="2506"/>
      <c r="G141" s="2506"/>
      <c r="H141" s="2506"/>
      <c r="I141" s="2507" t="s">
        <v>2295</v>
      </c>
    </row>
    <row r="142" spans="1:35" ht="21.75" customHeight="1">
      <c r="A142" s="794"/>
      <c r="B142" s="2508"/>
      <c r="C142" s="2509"/>
      <c r="D142" s="2510"/>
      <c r="E142" s="2510"/>
      <c r="F142" s="2342"/>
      <c r="G142" s="794"/>
      <c r="H142" s="794"/>
      <c r="I142" s="794"/>
    </row>
    <row r="143" spans="1:35" s="138" customFormat="1" ht="21.75" customHeight="1">
      <c r="A143" s="794"/>
      <c r="B143" s="2508"/>
      <c r="C143" s="2509"/>
      <c r="D143" s="2510"/>
      <c r="E143" s="2510"/>
      <c r="F143" s="2342"/>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38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38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38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38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38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38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38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38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38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38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38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38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38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38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38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38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38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38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38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38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38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38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38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38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38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38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38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38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38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38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38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38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38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38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38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38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38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38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38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38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38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38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38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38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38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38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38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38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38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38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38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38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38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38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38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38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38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38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38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38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38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38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38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38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38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38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38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38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38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38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38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38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38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38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38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38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38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38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38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38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38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38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38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38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38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38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38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38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38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38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38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38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38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38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38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38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38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38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38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38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38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38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38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38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2" type="noConversion"/>
  <conditionalFormatting sqref="C5:C7">
    <cfRule type="cellIs" dxfId="130" priority="10" stopIfTrue="1" operator="equal">
      <formula>25</formula>
    </cfRule>
  </conditionalFormatting>
  <conditionalFormatting sqref="C8:C9">
    <cfRule type="cellIs" dxfId="129" priority="9" stopIfTrue="1" operator="equal">
      <formula>15</formula>
    </cfRule>
  </conditionalFormatting>
  <conditionalFormatting sqref="C14:C16">
    <cfRule type="cellIs" dxfId="128" priority="8" stopIfTrue="1" operator="equal">
      <formula>30</formula>
    </cfRule>
  </conditionalFormatting>
  <conditionalFormatting sqref="D5:D7">
    <cfRule type="cellIs" dxfId="127" priority="7" stopIfTrue="1" operator="equal">
      <formula>25</formula>
    </cfRule>
  </conditionalFormatting>
  <conditionalFormatting sqref="D8:D9">
    <cfRule type="cellIs" dxfId="126" priority="6" stopIfTrue="1" operator="equal">
      <formula>15</formula>
    </cfRule>
  </conditionalFormatting>
  <conditionalFormatting sqref="C10:D13">
    <cfRule type="cellIs" dxfId="125" priority="5" stopIfTrue="1" operator="equal">
      <formula>15</formula>
    </cfRule>
  </conditionalFormatting>
  <conditionalFormatting sqref="D14:D16">
    <cfRule type="cellIs" dxfId="124" priority="4" stopIfTrue="1" operator="equal">
      <formula>30</formula>
    </cfRule>
  </conditionalFormatting>
  <conditionalFormatting sqref="C90">
    <cfRule type="expression" dxfId="123" priority="3" stopIfTrue="1">
      <formula>$H$88&lt;&gt;"仅含出让金"</formula>
    </cfRule>
  </conditionalFormatting>
  <conditionalFormatting sqref="C91">
    <cfRule type="expression" dxfId="122" priority="2" stopIfTrue="1">
      <formula>$H$91="由企业提供"</formula>
    </cfRule>
  </conditionalFormatting>
  <conditionalFormatting sqref="E36">
    <cfRule type="expression" dxfId="121"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2297</v>
      </c>
      <c r="B1" s="1939" t="s">
        <v>1377</v>
      </c>
      <c r="C1" s="241"/>
      <c r="D1" s="241"/>
      <c r="E1" s="241"/>
      <c r="F1" s="241"/>
      <c r="G1" s="1381">
        <f>MATCH(B1,'数据-取费表'!A6:A16,0)+5</f>
        <v>6</v>
      </c>
    </row>
    <row r="2" spans="1:9" s="243" customFormat="1" ht="18" customHeight="1">
      <c r="A2" s="244" t="s">
        <v>1394</v>
      </c>
      <c r="B2" s="245">
        <f ca="1">IF(D2="——",C52,C52-E2)</f>
        <v>79833</v>
      </c>
      <c r="C2" s="242" t="s">
        <v>2299</v>
      </c>
      <c r="D2" s="2511" t="s">
        <v>70</v>
      </c>
      <c r="E2" s="1442" t="e">
        <f ca="1">SUMIF(INDIRECT("'"&amp;G2&amp;"'"&amp;"!A:A"),"承租人权益价值",INDIRECT("'"&amp;G2&amp;"'"&amp;"!c:c"))</f>
        <v>#REF!</v>
      </c>
      <c r="F2" s="2512" t="s">
        <v>2299</v>
      </c>
      <c r="G2" s="2513"/>
    </row>
    <row r="3" spans="1:9" s="243" customFormat="1" ht="18" customHeight="1" thickBot="1">
      <c r="A3" s="246" t="s">
        <v>1395</v>
      </c>
      <c r="B3" s="247">
        <f ca="1">ROUND(B2*10000/(IF(B1="",'数据-汇总表'!E3,INDIRECT("'数据-取费表'!k"&amp;$G$1))),0)</f>
        <v>75775</v>
      </c>
      <c r="C3" s="242" t="s">
        <v>2301</v>
      </c>
      <c r="D3" s="242"/>
      <c r="E3" s="242"/>
      <c r="F3" s="242"/>
      <c r="G3" s="242"/>
    </row>
    <row r="4" spans="1:9" s="251" customFormat="1" ht="15.75">
      <c r="A4" s="248" t="s">
        <v>2302</v>
      </c>
      <c r="B4" s="249"/>
      <c r="C4" s="249"/>
      <c r="D4" s="249"/>
      <c r="E4" s="249"/>
      <c r="F4" s="249"/>
      <c r="G4" s="250"/>
    </row>
    <row r="5" spans="1:9" s="257" customFormat="1" ht="13.5" customHeight="1">
      <c r="A5" s="298" t="s">
        <v>782</v>
      </c>
      <c r="B5" s="253" t="s">
        <v>2304</v>
      </c>
      <c r="C5" s="254">
        <f ca="1">C6+C7+C8</f>
        <v>45718</v>
      </c>
      <c r="D5" s="254" t="s">
        <v>2305</v>
      </c>
      <c r="E5" s="255" t="s">
        <v>2306</v>
      </c>
      <c r="F5" s="255" t="s">
        <v>2307</v>
      </c>
      <c r="G5" s="256"/>
    </row>
    <row r="6" spans="1:9" s="257" customFormat="1" ht="13.5" customHeight="1">
      <c r="A6" s="951" t="s">
        <v>791</v>
      </c>
      <c r="B6" s="258" t="s">
        <v>2309</v>
      </c>
      <c r="C6" s="259">
        <f ca="1">'基准地价修正 (商业)'!E33+'基准地价修正 (商业)'!V2+'基准地价修正 (商业)'!V4</f>
        <v>44156</v>
      </c>
      <c r="D6" s="260"/>
      <c r="E6" s="261"/>
      <c r="F6" s="261"/>
      <c r="G6" s="262"/>
    </row>
    <row r="7" spans="1:9" s="257" customFormat="1" ht="13.5" customHeight="1">
      <c r="A7" s="951" t="s">
        <v>792</v>
      </c>
      <c r="B7" s="258" t="s">
        <v>2311</v>
      </c>
      <c r="C7" s="263">
        <f ca="1">ROUND(C6*F7,0)</f>
        <v>1347</v>
      </c>
      <c r="D7" s="263"/>
      <c r="E7" s="261"/>
      <c r="F7" s="264">
        <f>'数据-取费表'!B48+'数据-取费表'!B49</f>
        <v>3.0499999999999999E-2</v>
      </c>
      <c r="G7" s="262"/>
    </row>
    <row r="8" spans="1:9" s="266" customFormat="1">
      <c r="A8" s="951" t="s">
        <v>793</v>
      </c>
      <c r="B8" s="258" t="s">
        <v>2313</v>
      </c>
      <c r="C8" s="263">
        <f ca="1">IF(G8="已包含在土地购买价格中","0",IF(B1="",'数据-取费表'!B29,IF(G9="全部缴纳",C9+C10,H9)))</f>
        <v>215</v>
      </c>
      <c r="D8" s="265"/>
      <c r="E8" s="263"/>
      <c r="F8" s="264"/>
      <c r="G8" s="2514" t="s">
        <v>3248</v>
      </c>
    </row>
    <row r="9" spans="1:9" s="257" customFormat="1" ht="13.5" customHeight="1">
      <c r="A9" s="952" t="s">
        <v>800</v>
      </c>
      <c r="B9" s="267" t="s">
        <v>2314</v>
      </c>
      <c r="C9" s="268">
        <f ca="1">ROUND(D9*E9/10000,0)</f>
        <v>0</v>
      </c>
      <c r="D9" s="1034">
        <f ca="1">IF(B1="",'数据-汇总表'!E5,IF(INDIRECT("'数据-取费表'!c"&amp;$G$1)="住宅",INDIRECT("'数据-取费表'!k"&amp;$G$1),0))</f>
        <v>0</v>
      </c>
      <c r="E9" s="268">
        <f>'数据-取费表'!B27</f>
        <v>160</v>
      </c>
      <c r="F9" s="264"/>
      <c r="G9" s="2515" t="s">
        <v>3249</v>
      </c>
      <c r="H9" s="1392"/>
      <c r="I9" s="2516" t="s">
        <v>2315</v>
      </c>
    </row>
    <row r="10" spans="1:9" s="257" customFormat="1" ht="13.5" customHeight="1">
      <c r="A10" s="952" t="s">
        <v>801</v>
      </c>
      <c r="B10" s="267" t="s">
        <v>2316</v>
      </c>
      <c r="C10" s="268">
        <f ca="1">ROUND(D10*E10/10000,0)</f>
        <v>215</v>
      </c>
      <c r="D10" s="1034">
        <f ca="1">IF(B1="",'数据-汇总表'!E6,IF(INDIRECT("'数据-取费表'!c"&amp;$G$1)="住宅",INDIRECT("'数据-取费表'!s"&amp;$G$1),INDIRECT("'数据-取费表'!k"&amp;$G$1)+INDIRECT("'数据-取费表'!s"&amp;$G$1)))</f>
        <v>10755.880000000001</v>
      </c>
      <c r="E10" s="268">
        <f>'数据-取费表'!B28</f>
        <v>200</v>
      </c>
      <c r="F10" s="264"/>
      <c r="G10" s="269"/>
    </row>
    <row r="11" spans="1:9" s="257" customFormat="1" ht="13.5" hidden="1" customHeight="1">
      <c r="A11" s="270" t="s">
        <v>7</v>
      </c>
      <c r="B11" s="258" t="s">
        <v>2317</v>
      </c>
      <c r="C11" s="254"/>
      <c r="D11" s="1036"/>
      <c r="E11" s="261"/>
      <c r="F11" s="261"/>
      <c r="G11" s="262"/>
    </row>
    <row r="12" spans="1:9" s="257" customFormat="1" ht="13.5" hidden="1" customHeight="1">
      <c r="A12" s="270" t="s">
        <v>8</v>
      </c>
      <c r="B12" s="258" t="s">
        <v>2318</v>
      </c>
      <c r="C12" s="254">
        <v>0</v>
      </c>
      <c r="D12" s="1036"/>
      <c r="E12" s="271"/>
      <c r="F12" s="264">
        <v>3.0499999999999999E-2</v>
      </c>
      <c r="G12" s="262"/>
    </row>
    <row r="13" spans="1:9" s="257" customFormat="1" ht="13.5" hidden="1" customHeight="1">
      <c r="A13" s="270" t="s">
        <v>9</v>
      </c>
      <c r="B13" s="258" t="s">
        <v>2319</v>
      </c>
      <c r="C13" s="254"/>
      <c r="D13" s="1036"/>
      <c r="E13" s="261"/>
      <c r="F13" s="261"/>
      <c r="G13" s="262"/>
    </row>
    <row r="14" spans="1:9" s="257" customFormat="1" ht="13.5" hidden="1" customHeight="1">
      <c r="A14" s="270" t="s">
        <v>10</v>
      </c>
      <c r="B14" s="258" t="s">
        <v>2313</v>
      </c>
      <c r="C14" s="254"/>
      <c r="D14" s="1036"/>
      <c r="E14" s="261"/>
      <c r="F14" s="261"/>
      <c r="G14" s="262" t="s">
        <v>2321</v>
      </c>
    </row>
    <row r="15" spans="1:9" s="257" customFormat="1" ht="13.5" hidden="1" customHeight="1">
      <c r="A15" s="270" t="s">
        <v>11</v>
      </c>
      <c r="B15" s="258" t="s">
        <v>2322</v>
      </c>
      <c r="C15" s="263"/>
      <c r="D15" s="1036"/>
      <c r="E15" s="261"/>
      <c r="F15" s="261"/>
      <c r="G15" s="262" t="s">
        <v>2323</v>
      </c>
    </row>
    <row r="16" spans="1:9" s="257" customFormat="1" ht="13.5" hidden="1" customHeight="1">
      <c r="A16" s="270" t="s">
        <v>12</v>
      </c>
      <c r="B16" s="258" t="s">
        <v>2313</v>
      </c>
      <c r="C16" s="263"/>
      <c r="D16" s="1036"/>
      <c r="E16" s="261"/>
      <c r="F16" s="261"/>
      <c r="G16" s="262"/>
    </row>
    <row r="17" spans="1:7" s="257" customFormat="1" ht="13.5" hidden="1" customHeight="1">
      <c r="A17" s="270" t="s">
        <v>13</v>
      </c>
      <c r="B17" s="258" t="s">
        <v>2324</v>
      </c>
      <c r="C17" s="272"/>
      <c r="D17" s="1037"/>
      <c r="E17" s="272"/>
      <c r="F17" s="272"/>
      <c r="G17" s="262" t="s">
        <v>2323</v>
      </c>
    </row>
    <row r="18" spans="1:7" s="257" customFormat="1" ht="13.5" hidden="1" customHeight="1">
      <c r="A18" s="270" t="s">
        <v>14</v>
      </c>
      <c r="B18" s="258" t="s">
        <v>2325</v>
      </c>
      <c r="C18" s="263">
        <v>0</v>
      </c>
      <c r="D18" s="1036"/>
      <c r="E18" s="261"/>
      <c r="F18" s="264">
        <v>3.0499999999999999E-2</v>
      </c>
      <c r="G18" s="262" t="s">
        <v>2326</v>
      </c>
    </row>
    <row r="19" spans="1:7" s="266" customFormat="1" ht="13.5" customHeight="1">
      <c r="A19" s="298" t="s">
        <v>2327</v>
      </c>
      <c r="B19" s="253" t="s">
        <v>2328</v>
      </c>
      <c r="C19" s="254">
        <f ca="1">IF(G19="已包含在土地取得成本中","0",ROUND(D19*E19/10000,0))</f>
        <v>215</v>
      </c>
      <c r="D19" s="1038">
        <f ca="1">D9+D10</f>
        <v>10755.880000000001</v>
      </c>
      <c r="E19" s="254">
        <f>'数据-取费表'!B31</f>
        <v>200</v>
      </c>
      <c r="F19" s="274"/>
      <c r="G19" s="2514"/>
    </row>
    <row r="20" spans="1:7" s="257" customFormat="1" ht="13.5" customHeight="1">
      <c r="A20" s="298" t="s">
        <v>2329</v>
      </c>
      <c r="B20" s="253" t="s">
        <v>2330</v>
      </c>
      <c r="C20" s="275">
        <f ca="1">ROUND((C5+C19)*F20,0)</f>
        <v>1378</v>
      </c>
      <c r="D20" s="275"/>
      <c r="E20" s="275"/>
      <c r="F20" s="276">
        <f>'数据-取费表'!B37</f>
        <v>0.03</v>
      </c>
      <c r="G20" s="277" t="s">
        <v>2331</v>
      </c>
    </row>
    <row r="21" spans="1:7" s="257" customFormat="1" ht="13.5" customHeight="1">
      <c r="A21" s="298" t="s">
        <v>2332</v>
      </c>
      <c r="B21" s="253" t="s">
        <v>2333</v>
      </c>
      <c r="C21" s="278">
        <f>F21</f>
        <v>0.02</v>
      </c>
      <c r="D21" s="279" t="s">
        <v>2334</v>
      </c>
      <c r="E21" s="275"/>
      <c r="F21" s="276">
        <f>'数据-取费表'!B38</f>
        <v>0.02</v>
      </c>
      <c r="G21" s="277" t="s">
        <v>2335</v>
      </c>
    </row>
    <row r="22" spans="1:7" s="257" customFormat="1" ht="13.5" customHeight="1">
      <c r="A22" s="298" t="s">
        <v>2336</v>
      </c>
      <c r="B22" s="253" t="s">
        <v>2337</v>
      </c>
      <c r="C22" s="1356">
        <f ca="1">ROUND(SUM(C23:C25),0)</f>
        <v>6960</v>
      </c>
      <c r="D22" s="278">
        <f ca="1">C26</f>
        <v>1.4E-3</v>
      </c>
      <c r="E22" s="279" t="s">
        <v>2334</v>
      </c>
      <c r="F22" s="280">
        <f ca="1">'数据-取费表'!B40</f>
        <v>4.7500000000000001E-2</v>
      </c>
      <c r="G22" s="277" t="str">
        <f>IF('数据-取费表'!B22&lt;=1,"单利计息","复利计息")</f>
        <v>复利计息</v>
      </c>
    </row>
    <row r="23" spans="1:7" s="257" customFormat="1" ht="13.5" customHeight="1">
      <c r="A23" s="953" t="s">
        <v>791</v>
      </c>
      <c r="B23" s="258" t="s">
        <v>2339</v>
      </c>
      <c r="C23" s="1357">
        <f ca="1">ROUND(IF('数据-取费表'!B22&lt;=1,C5*F22*'数据-取费表'!B23,C5*(POWER((1+F22),'数据-取费表'!B23)-1)),0)</f>
        <v>6829</v>
      </c>
      <c r="D23" s="281"/>
      <c r="E23" s="281"/>
      <c r="F23" s="282"/>
      <c r="G23" s="283" t="s">
        <v>2340</v>
      </c>
    </row>
    <row r="24" spans="1:7" s="257" customFormat="1" ht="13.5" customHeight="1">
      <c r="A24" s="953" t="s">
        <v>792</v>
      </c>
      <c r="B24" s="258" t="s">
        <v>2342</v>
      </c>
      <c r="C24" s="1357">
        <f ca="1">ROUND(IF('数据-取费表'!B22&lt;=1,C19*F22*('数据-取费表'!B19/2+'数据-取费表'!B21),C19*(POWER((1+F22),('数据-取费表'!B19/2+'数据-取费表'!B21))-1)),0)</f>
        <v>32</v>
      </c>
      <c r="D24" s="281"/>
      <c r="E24" s="281"/>
      <c r="F24" s="282"/>
      <c r="G24" s="283" t="s">
        <v>2343</v>
      </c>
    </row>
    <row r="25" spans="1:7" s="257" customFormat="1" ht="24">
      <c r="A25" s="953" t="s">
        <v>793</v>
      </c>
      <c r="B25" s="258" t="s">
        <v>2345</v>
      </c>
      <c r="C25" s="1357">
        <f ca="1">ROUND(IF('数据-取费表'!B22&lt;=1,C20*F22*'数据-取费表'!B23/2,C20*(POWER((1+F22),'数据-取费表'!B23/2)-1)),0)</f>
        <v>99</v>
      </c>
      <c r="D25" s="281"/>
      <c r="E25" s="284"/>
      <c r="F25" s="282"/>
      <c r="G25" s="285" t="s">
        <v>2346</v>
      </c>
    </row>
    <row r="26" spans="1:7" s="257" customFormat="1">
      <c r="A26" s="953" t="s">
        <v>795</v>
      </c>
      <c r="B26" s="258" t="s">
        <v>2347</v>
      </c>
      <c r="C26" s="281">
        <f ca="1">ROUND(IF('数据-取费表'!B22&lt;=1,F21*F22*'数据-取费表'!B23/2,F21*(POWER((1+F22),'数据-取费表'!B23/2)-1)),4)</f>
        <v>1.4E-3</v>
      </c>
      <c r="D26" s="281"/>
      <c r="E26" s="284"/>
      <c r="F26" s="282"/>
      <c r="G26" s="286"/>
    </row>
    <row r="27" spans="1:7" s="257" customFormat="1" ht="24.75">
      <c r="A27" s="298" t="s">
        <v>2348</v>
      </c>
      <c r="B27" s="287" t="s">
        <v>2349</v>
      </c>
      <c r="C27" s="288">
        <f ca="1">C28</f>
        <v>11828</v>
      </c>
      <c r="D27" s="278">
        <f ca="1">C29</f>
        <v>5.0000000000000001E-3</v>
      </c>
      <c r="E27" s="279" t="s">
        <v>2334</v>
      </c>
      <c r="F27" s="289">
        <f ca="1">IF(B1="",'数据-取费表'!Q16,INDIRECT("'数据-取费表'!q"&amp;$G$1))</f>
        <v>0.25</v>
      </c>
      <c r="G27" s="290" t="s">
        <v>2351</v>
      </c>
    </row>
    <row r="28" spans="1:7" s="257" customFormat="1" ht="13.5" customHeight="1">
      <c r="A28" s="953" t="s">
        <v>791</v>
      </c>
      <c r="B28" s="291" t="s">
        <v>2352</v>
      </c>
      <c r="C28" s="292">
        <f ca="1">ROUND((C5+C19+C20)*F27*'数据-取费表'!B21/'数据-取费表'!B20,0)</f>
        <v>11828</v>
      </c>
      <c r="D28" s="278"/>
      <c r="E28" s="279"/>
      <c r="F28" s="289"/>
      <c r="G28" s="290"/>
    </row>
    <row r="29" spans="1:7" s="257" customFormat="1" ht="13.5" customHeight="1">
      <c r="A29" s="953" t="s">
        <v>792</v>
      </c>
      <c r="B29" s="291" t="s">
        <v>2353</v>
      </c>
      <c r="C29" s="281">
        <f ca="1">ROUND(C21*F27*'数据-取费表'!B21/'数据-取费表'!B20,4)</f>
        <v>5.0000000000000001E-3</v>
      </c>
      <c r="D29" s="278"/>
      <c r="E29" s="279"/>
      <c r="F29" s="289"/>
      <c r="G29" s="290"/>
    </row>
    <row r="30" spans="1:7" s="257" customFormat="1" ht="13.5" customHeight="1">
      <c r="A30" s="298" t="s">
        <v>2354</v>
      </c>
      <c r="B30" s="253" t="s">
        <v>2355</v>
      </c>
      <c r="C30" s="278">
        <f>ROUND(F30/(1+'数据-取费表'!C42),4)</f>
        <v>5.33E-2</v>
      </c>
      <c r="D30" s="279" t="s">
        <v>2334</v>
      </c>
      <c r="E30" s="284"/>
      <c r="F30" s="280">
        <f>'数据-取费表'!B41</f>
        <v>5.6000000000000001E-2</v>
      </c>
      <c r="G30" s="277" t="s">
        <v>2356</v>
      </c>
    </row>
    <row r="31" spans="1:7" ht="16.5" customHeight="1">
      <c r="A31" s="252">
        <v>1</v>
      </c>
      <c r="B31" s="253" t="s">
        <v>2357</v>
      </c>
      <c r="C31" s="254">
        <f ca="1">ROUND((C5+C19+C20+C22+C27)/(1-C21-D22-D27-C30),0)</f>
        <v>71823</v>
      </c>
      <c r="D31" s="273"/>
      <c r="E31" s="254"/>
      <c r="F31" s="293"/>
      <c r="G31" s="277" t="s">
        <v>2358</v>
      </c>
    </row>
    <row r="32" spans="1:7" s="251" customFormat="1" ht="15.75">
      <c r="A32" s="295" t="s">
        <v>2359</v>
      </c>
      <c r="B32" s="296"/>
      <c r="C32" s="296"/>
      <c r="D32" s="296"/>
      <c r="E32" s="296"/>
      <c r="F32" s="296"/>
      <c r="G32" s="297"/>
    </row>
    <row r="33" spans="1:7" s="257" customFormat="1" ht="13.5" customHeight="1">
      <c r="A33" s="298" t="s">
        <v>782</v>
      </c>
      <c r="B33" s="253" t="s">
        <v>2360</v>
      </c>
      <c r="C33" s="299">
        <f ca="1">SUM(C34:C38)</f>
        <v>5884</v>
      </c>
      <c r="D33" s="275"/>
      <c r="E33" s="255"/>
      <c r="F33" s="284"/>
      <c r="G33" s="277"/>
    </row>
    <row r="34" spans="1:7" s="301" customFormat="1" ht="13.5" customHeight="1">
      <c r="A34" s="953" t="s">
        <v>791</v>
      </c>
      <c r="B34" s="258" t="s">
        <v>2361</v>
      </c>
      <c r="C34" s="263">
        <f ca="1">IF(B1="",IF(F34=100%,'数据-取费表'!M16,'数据-取费表'!O16),IF(F34=100%,INDIRECT("'数据-取费表'!m"&amp;$G$1)+INDIRECT("'数据-取费表'!t"&amp;$G$1),INDIRECT("'数据-取费表'!o"&amp;$G$1)+INDIRECT("'数据-取费表'!aq"&amp;$G$1)))</f>
        <v>5323</v>
      </c>
      <c r="D34" s="260"/>
      <c r="E34" s="263"/>
      <c r="F34" s="300">
        <f ca="1">IF('数据-取费表'!B24=0,1,IF(B1="",'数据-取费表'!N16,INDIRECT("'数据-取费表'!n"&amp;$G$1)))</f>
        <v>1</v>
      </c>
      <c r="G34" s="262" t="s">
        <v>2362</v>
      </c>
    </row>
    <row r="35" spans="1:7" ht="13.5" customHeight="1">
      <c r="A35" s="953" t="s">
        <v>796</v>
      </c>
      <c r="B35" s="258" t="s">
        <v>2363</v>
      </c>
      <c r="C35" s="263">
        <f ca="1">ROUND(C34*F35,0)</f>
        <v>266</v>
      </c>
      <c r="D35" s="263"/>
      <c r="E35" s="263"/>
      <c r="F35" s="302">
        <f>'数据-取费表'!B33</f>
        <v>0.05</v>
      </c>
      <c r="G35" s="262" t="s">
        <v>2364</v>
      </c>
    </row>
    <row r="36" spans="1:7" ht="24">
      <c r="A36" s="953" t="s">
        <v>797</v>
      </c>
      <c r="B36" s="258" t="s">
        <v>2365</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2366</v>
      </c>
    </row>
    <row r="37" spans="1:7" s="301" customFormat="1" ht="13.5" customHeight="1">
      <c r="A37" s="953" t="s">
        <v>798</v>
      </c>
      <c r="B37" s="258" t="s">
        <v>2367</v>
      </c>
      <c r="C37" s="292">
        <f ca="1">ROUND(E37*D37*F34/10000,0)</f>
        <v>215</v>
      </c>
      <c r="D37" s="260">
        <f ca="1">D19</f>
        <v>10755.880000000001</v>
      </c>
      <c r="E37" s="292">
        <f>'数据-取费表'!B35</f>
        <v>200</v>
      </c>
      <c r="F37" s="302"/>
      <c r="G37" s="304" t="s">
        <v>2368</v>
      </c>
    </row>
    <row r="38" spans="1:7" ht="13.5" customHeight="1">
      <c r="A38" s="953" t="s">
        <v>799</v>
      </c>
      <c r="B38" s="258" t="s">
        <v>2369</v>
      </c>
      <c r="C38" s="263">
        <f ca="1">ROUND(C34*F38,0)</f>
        <v>80</v>
      </c>
      <c r="D38" s="263"/>
      <c r="E38" s="263"/>
      <c r="F38" s="302">
        <f>'数据-取费表'!B36</f>
        <v>1.4999999999999999E-2</v>
      </c>
      <c r="G38" s="262" t="s">
        <v>2364</v>
      </c>
    </row>
    <row r="39" spans="1:7" s="257" customFormat="1" ht="13.5" customHeight="1">
      <c r="A39" s="298" t="s">
        <v>2327</v>
      </c>
      <c r="B39" s="253" t="s">
        <v>2330</v>
      </c>
      <c r="C39" s="275">
        <f ca="1">ROUND(C33*F20,0)</f>
        <v>177</v>
      </c>
      <c r="D39" s="275"/>
      <c r="E39" s="275"/>
      <c r="F39" s="276"/>
      <c r="G39" s="277" t="s">
        <v>2372</v>
      </c>
    </row>
    <row r="40" spans="1:7" s="257" customFormat="1" ht="13.5" customHeight="1">
      <c r="A40" s="298" t="s">
        <v>2329</v>
      </c>
      <c r="B40" s="253" t="s">
        <v>2333</v>
      </c>
      <c r="C40" s="1730">
        <f>F21</f>
        <v>0.02</v>
      </c>
      <c r="D40" s="279" t="s">
        <v>2375</v>
      </c>
      <c r="E40" s="275"/>
      <c r="F40" s="276"/>
      <c r="G40" s="277" t="s">
        <v>2376</v>
      </c>
    </row>
    <row r="41" spans="1:7" s="257" customFormat="1" ht="13.5" customHeight="1">
      <c r="A41" s="298" t="s">
        <v>2332</v>
      </c>
      <c r="B41" s="253" t="s">
        <v>2337</v>
      </c>
      <c r="C41" s="275">
        <f ca="1">ROUND(SUM(C42:C43),0)</f>
        <v>437</v>
      </c>
      <c r="D41" s="278">
        <f ca="1">C44</f>
        <v>1.4E-3</v>
      </c>
      <c r="E41" s="279" t="s">
        <v>2375</v>
      </c>
      <c r="F41" s="280"/>
      <c r="G41" s="277" t="str">
        <f>IF('数据-取费表'!B22&lt;=1,"单利计息","复利计息")</f>
        <v>复利计息</v>
      </c>
    </row>
    <row r="42" spans="1:7" ht="13.5" customHeight="1">
      <c r="A42" s="953" t="s">
        <v>791</v>
      </c>
      <c r="B42" s="258" t="s">
        <v>2339</v>
      </c>
      <c r="C42" s="281">
        <f ca="1">ROUND(IF('数据-取费表'!B22&lt;=1,C33*F22*'数据-取费表'!B21/2,C33*(POWER((1+F22),'数据-取费表'!B21/2)-1)),0)</f>
        <v>424</v>
      </c>
      <c r="D42" s="281"/>
      <c r="E42" s="281"/>
      <c r="F42" s="282"/>
      <c r="G42" s="3348" t="s">
        <v>2380</v>
      </c>
    </row>
    <row r="43" spans="1:7" ht="13.5" customHeight="1">
      <c r="A43" s="953" t="s">
        <v>792</v>
      </c>
      <c r="B43" s="258" t="s">
        <v>2342</v>
      </c>
      <c r="C43" s="281">
        <f ca="1">ROUND(IF('数据-取费表'!B22&lt;=1,C39*F22*'数据-取费表'!B21/2,C39*(POWER((1+F22),'数据-取费表'!B21/2)-1)),0)</f>
        <v>13</v>
      </c>
      <c r="D43" s="281"/>
      <c r="E43" s="281"/>
      <c r="F43" s="282"/>
      <c r="G43" s="3349"/>
    </row>
    <row r="44" spans="1:7" ht="13.5" customHeight="1">
      <c r="A44" s="953" t="s">
        <v>793</v>
      </c>
      <c r="B44" s="258" t="s">
        <v>2345</v>
      </c>
      <c r="C44" s="281">
        <f ca="1">ROUND(IF('数据-取费表'!B22&lt;=1,C40*F22*'数据-取费表'!B21/2,C40*(POWER((1+F22),'数据-取费表'!B21/2)-1)),4)</f>
        <v>1.4E-3</v>
      </c>
      <c r="D44" s="281"/>
      <c r="E44" s="281"/>
      <c r="F44" s="282"/>
      <c r="G44" s="3350"/>
    </row>
    <row r="45" spans="1:7" s="257" customFormat="1" ht="13.5" customHeight="1">
      <c r="A45" s="298" t="s">
        <v>2336</v>
      </c>
      <c r="B45" s="287" t="s">
        <v>2349</v>
      </c>
      <c r="C45" s="288">
        <f ca="1">C46</f>
        <v>1515</v>
      </c>
      <c r="D45" s="278">
        <f ca="1">C47</f>
        <v>5.0000000000000001E-3</v>
      </c>
      <c r="E45" s="279" t="s">
        <v>2375</v>
      </c>
      <c r="F45" s="289"/>
      <c r="G45" s="290" t="s">
        <v>2384</v>
      </c>
    </row>
    <row r="46" spans="1:7" s="257" customFormat="1" ht="13.5" customHeight="1">
      <c r="A46" s="953" t="s">
        <v>791</v>
      </c>
      <c r="B46" s="291" t="s">
        <v>2385</v>
      </c>
      <c r="C46" s="292">
        <f ca="1">ROUND((C33+C39)*F27,0)</f>
        <v>1515</v>
      </c>
      <c r="D46" s="306"/>
      <c r="E46" s="279"/>
      <c r="F46" s="289"/>
      <c r="G46" s="290"/>
    </row>
    <row r="47" spans="1:7" s="257" customFormat="1" ht="13.5" customHeight="1">
      <c r="A47" s="953" t="s">
        <v>792</v>
      </c>
      <c r="B47" s="291" t="s">
        <v>2386</v>
      </c>
      <c r="C47" s="281">
        <f ca="1">ROUND(C40*F27,4)</f>
        <v>5.0000000000000001E-3</v>
      </c>
      <c r="D47" s="306"/>
      <c r="E47" s="279"/>
      <c r="F47" s="289"/>
      <c r="G47" s="290"/>
    </row>
    <row r="48" spans="1:7" s="257" customFormat="1" ht="13.5" customHeight="1">
      <c r="A48" s="298" t="s">
        <v>2348</v>
      </c>
      <c r="B48" s="253" t="s">
        <v>2387</v>
      </c>
      <c r="C48" s="1730">
        <f>ROUND(F30/(1+'数据-取费表'!C42),4)</f>
        <v>5.33E-2</v>
      </c>
      <c r="D48" s="279" t="s">
        <v>2375</v>
      </c>
      <c r="E48" s="275"/>
      <c r="F48" s="280"/>
      <c r="G48" s="277" t="s">
        <v>2388</v>
      </c>
    </row>
    <row r="49" spans="1:7" ht="16.5" customHeight="1">
      <c r="A49" s="298" t="s">
        <v>2354</v>
      </c>
      <c r="B49" s="253" t="s">
        <v>2389</v>
      </c>
      <c r="C49" s="275">
        <f ca="1">ROUND((C33+C39+C41+C45)/(1-C40-D41-D45-C48),0)</f>
        <v>8707</v>
      </c>
      <c r="D49" s="275"/>
      <c r="E49" s="275"/>
      <c r="F49" s="307"/>
      <c r="G49" s="277" t="s">
        <v>2390</v>
      </c>
    </row>
    <row r="50" spans="1:7" s="301" customFormat="1" ht="24">
      <c r="A50" s="298" t="s">
        <v>2391</v>
      </c>
      <c r="B50" s="253" t="s">
        <v>2392</v>
      </c>
      <c r="C50" s="275"/>
      <c r="D50" s="275"/>
      <c r="E50" s="275"/>
      <c r="F50" s="307">
        <f>IF('数据-取费表'!B24=0,'数据-取费表'!N16,1)</f>
        <v>0.92</v>
      </c>
      <c r="G50" s="290" t="s">
        <v>2393</v>
      </c>
    </row>
    <row r="51" spans="1:7" ht="16.5" customHeight="1">
      <c r="A51" s="298" t="s">
        <v>2394</v>
      </c>
      <c r="B51" s="253" t="s">
        <v>2395</v>
      </c>
      <c r="C51" s="275">
        <f ca="1">ROUND(C49*F50,0)</f>
        <v>8010</v>
      </c>
      <c r="D51" s="275"/>
      <c r="E51" s="275"/>
      <c r="F51" s="307"/>
      <c r="G51" s="277" t="s">
        <v>2396</v>
      </c>
    </row>
    <row r="52" spans="1:7" s="251" customFormat="1" ht="16.5" thickBot="1">
      <c r="A52" s="308" t="s">
        <v>2397</v>
      </c>
      <c r="B52" s="309"/>
      <c r="C52" s="310">
        <f ca="1">C31+C51</f>
        <v>79833</v>
      </c>
      <c r="D52" s="309"/>
      <c r="E52" s="309"/>
      <c r="F52" s="309"/>
      <c r="G52" s="311"/>
    </row>
    <row r="55" spans="1:7" ht="15">
      <c r="B55" s="313" t="s">
        <v>2398</v>
      </c>
      <c r="C55" s="314"/>
    </row>
    <row r="56" spans="1:7">
      <c r="B56" s="316" t="s">
        <v>1513</v>
      </c>
      <c r="C56" s="318">
        <f ca="1">1-C57</f>
        <v>0.9</v>
      </c>
    </row>
    <row r="57" spans="1:7">
      <c r="B57" s="316" t="s">
        <v>1514</v>
      </c>
      <c r="C57" s="317">
        <f ca="1">ROUND(C51/C52,3)</f>
        <v>0.1</v>
      </c>
    </row>
  </sheetData>
  <sheetProtection password="C66D" sheet="1" objects="1" scenarios="1" formatCells="0"/>
  <mergeCells count="1">
    <mergeCell ref="G42:G44"/>
  </mergeCells>
  <phoneticPr fontId="142"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7" sqref="E7"/>
    </sheetView>
  </sheetViews>
  <sheetFormatPr defaultColWidth="12" defaultRowHeight="12.75"/>
  <cols>
    <col min="1" max="1" width="9.75" style="2760" customWidth="1"/>
    <col min="2" max="2" width="19.25" style="2866" customWidth="1"/>
    <col min="3" max="4" width="12" style="2684"/>
    <col min="5" max="5" width="14.625" style="2684" customWidth="1"/>
    <col min="6" max="8" width="12" style="2684"/>
    <col min="9" max="9" width="12.25" style="2684" bestFit="1" customWidth="1"/>
    <col min="10" max="10" width="12" style="2684"/>
    <col min="11" max="11" width="8.125" style="2752" customWidth="1"/>
    <col min="12" max="12" width="12" style="2684"/>
    <col min="13" max="13" width="8.5" style="2684" customWidth="1"/>
    <col min="14" max="14" width="9.75" style="2684" customWidth="1"/>
    <col min="15" max="25" width="12" style="2684"/>
    <col min="26" max="26" width="9.375" style="2760" customWidth="1"/>
    <col min="27" max="32" width="9.375" style="1374" customWidth="1"/>
    <col min="33" max="36" width="9.375" style="2760" customWidth="1"/>
    <col min="37" max="38" width="9.375" style="2684" customWidth="1"/>
    <col min="39" max="16384" width="12" style="2684"/>
  </cols>
  <sheetData>
    <row r="1" spans="1:36" ht="28.5">
      <c r="A1" s="239" t="s">
        <v>2775</v>
      </c>
      <c r="B1" s="240"/>
      <c r="C1" s="244" t="s">
        <v>2776</v>
      </c>
      <c r="D1" s="387">
        <f>SUM(D29:D30,D33:D39)</f>
        <v>5895.4000000000005</v>
      </c>
      <c r="E1" s="2681"/>
      <c r="F1" s="2681"/>
      <c r="G1" s="2681"/>
      <c r="H1" s="2681"/>
      <c r="I1" s="2681"/>
      <c r="J1" s="2681"/>
      <c r="K1" s="1372"/>
      <c r="L1" s="2682" t="s">
        <v>2777</v>
      </c>
      <c r="M1" s="1082">
        <f>SUMPRODUCT((区片价!B5:B9=I2)*(区片价!C3:F3=E2)*(区片价!C5:F9))</f>
        <v>30890</v>
      </c>
      <c r="N1" s="1085">
        <f>SUMPRODUCT((因素修正幅度!B5:B9=I2)*(因素修正幅度!C3:F3=E2)*(因素修正幅度!C5:F9))</f>
        <v>9.9000000000000005E-2</v>
      </c>
      <c r="O1" s="2683"/>
      <c r="P1" s="2683"/>
      <c r="Q1" s="1372"/>
      <c r="R1" s="1604" t="s">
        <v>2778</v>
      </c>
      <c r="S1" s="1604" t="s">
        <v>2779</v>
      </c>
      <c r="T1" s="1604" t="s">
        <v>2780</v>
      </c>
      <c r="U1" s="1604" t="s">
        <v>2781</v>
      </c>
      <c r="V1" s="1604" t="s">
        <v>2782</v>
      </c>
      <c r="W1" s="1608"/>
      <c r="X1" s="1608"/>
      <c r="Y1" s="1608"/>
      <c r="Z1" s="1608"/>
      <c r="AA1" s="1608"/>
      <c r="AB1" s="1608"/>
      <c r="AC1" s="1609"/>
      <c r="AD1" s="1610"/>
      <c r="AE1" s="1610"/>
      <c r="AF1" s="1610"/>
      <c r="AG1" s="1610"/>
      <c r="AH1" s="1610"/>
      <c r="AI1" s="1610"/>
      <c r="AJ1" s="1611"/>
    </row>
    <row r="2" spans="1:36" ht="15.75">
      <c r="A2" s="244" t="s">
        <v>2783</v>
      </c>
      <c r="B2" s="247">
        <f ca="1">C26</f>
        <v>17444</v>
      </c>
      <c r="C2" s="2685" t="s">
        <v>2784</v>
      </c>
      <c r="D2" s="2686" t="s">
        <v>2785</v>
      </c>
      <c r="E2" s="2687" t="s">
        <v>1377</v>
      </c>
      <c r="F2" s="2686" t="s">
        <v>2786</v>
      </c>
      <c r="G2" s="2688" t="str">
        <f>IF(E2="商业",项目基本情况!B37,IF(E2="办公",项目基本情况!C37,IF(E2="住宅",项目基本情况!D37,项目基本情况!E37)))</f>
        <v>一级</v>
      </c>
      <c r="H2" s="2686" t="s">
        <v>2787</v>
      </c>
      <c r="I2" s="2688" t="str">
        <f>IF(E2="商业",项目基本情况!B38,IF(E2="办公",项目基本情况!C38,IF(E2="住宅",项目基本情况!D38,项目基本情况!E38)))</f>
        <v>Ⅰ—04</v>
      </c>
      <c r="J2" s="2689"/>
      <c r="K2" s="1372"/>
      <c r="L2" s="2690" t="s">
        <v>2788</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1.9361999999999999</v>
      </c>
      <c r="T2" s="1604">
        <f ca="1">ROUND($C$5*$C$18*$C$19*$C$20*S2*$C$24,0)</f>
        <v>76384</v>
      </c>
      <c r="U2" s="1605">
        <f>面积B!H22</f>
        <v>1790.76</v>
      </c>
      <c r="V2" s="1604">
        <f ca="1">ROUND(T2*U2/10000,0)</f>
        <v>13679</v>
      </c>
      <c r="W2" s="1608"/>
      <c r="X2" s="1608"/>
      <c r="Y2" s="1608"/>
      <c r="Z2" s="1608"/>
      <c r="AA2" s="1608"/>
      <c r="AB2" s="1608"/>
      <c r="AC2" s="1609"/>
      <c r="AD2" s="1610"/>
      <c r="AE2" s="1610"/>
      <c r="AF2" s="1610"/>
      <c r="AG2" s="1610"/>
      <c r="AH2" s="1610"/>
      <c r="AI2" s="1610"/>
      <c r="AJ2" s="1611"/>
    </row>
    <row r="3" spans="1:36" ht="25.5">
      <c r="A3" s="246" t="s">
        <v>2789</v>
      </c>
      <c r="B3" s="247">
        <f ca="1">ROUND(B2*10000/D1,0)</f>
        <v>29589</v>
      </c>
      <c r="C3" s="2685" t="s">
        <v>2790</v>
      </c>
      <c r="D3" s="2686" t="s">
        <v>2791</v>
      </c>
      <c r="E3" s="2691" t="s">
        <v>3370</v>
      </c>
      <c r="F3" s="2692" t="s">
        <v>2792</v>
      </c>
      <c r="G3" s="915">
        <f>IF(F3="宗地容积率",'数据-汇总表'!I4,IF(F3="估价对象容积率",'数据-汇总表'!I6,'数据-汇总表'!I7))</f>
        <v>11.91</v>
      </c>
      <c r="H3" s="197" t="s">
        <v>2793</v>
      </c>
      <c r="I3" s="946"/>
      <c r="J3" s="2689" t="s">
        <v>2794</v>
      </c>
      <c r="K3" s="1372"/>
      <c r="L3" s="2690" t="s">
        <v>2795</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1.4198</v>
      </c>
      <c r="T3" s="1604">
        <f t="shared" ref="T3:T16" ca="1" si="0">ROUND($C$5*$C$18*$C$19*$C$20*S3*$C$24,0)</f>
        <v>56012</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369"/>
      <c r="B4" s="3370"/>
      <c r="C4" s="3370"/>
      <c r="D4" s="3371"/>
      <c r="E4" s="3371"/>
      <c r="F4" s="3371"/>
      <c r="G4" s="3371"/>
      <c r="H4" s="3371"/>
      <c r="I4" s="3371"/>
      <c r="J4" s="3372"/>
      <c r="K4" s="1372"/>
      <c r="L4" s="2690" t="s">
        <v>2796</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1.1594</v>
      </c>
      <c r="T4" s="1604">
        <f t="shared" ca="1" si="0"/>
        <v>45739</v>
      </c>
      <c r="U4" s="1605">
        <f>面积B!H23</f>
        <v>2849.36</v>
      </c>
      <c r="V4" s="1604">
        <f t="shared" ca="1" si="1"/>
        <v>13033</v>
      </c>
      <c r="W4" s="1608"/>
      <c r="X4" s="1608"/>
      <c r="Y4" s="1608"/>
      <c r="Z4" s="1608"/>
      <c r="AA4" s="1608"/>
      <c r="AB4" s="1608"/>
      <c r="AC4" s="1609"/>
      <c r="AD4" s="1610"/>
      <c r="AE4" s="1610"/>
      <c r="AF4" s="1610"/>
      <c r="AG4" s="1610"/>
      <c r="AH4" s="1610"/>
      <c r="AI4" s="1610"/>
      <c r="AJ4" s="1611"/>
    </row>
    <row r="5" spans="1:36" s="2702" customFormat="1" ht="15.75" thickBot="1">
      <c r="A5" s="2693" t="s">
        <v>807</v>
      </c>
      <c r="B5" s="2694" t="s">
        <v>2797</v>
      </c>
      <c r="C5" s="916">
        <f>ROUND(IF(E2="商业",IF(F16="增加",C6*C7+C16,C6*C7-C16),IF(E2="住宅",IF(F16="增加",C6*C12+C16,C6*C12-C16),IF(F16="增加",C6+C16,C6-C16))),0)</f>
        <v>32930</v>
      </c>
      <c r="D5" s="1789">
        <f>ROUND(IF(E2="商业",IF(F16="增加",C6+C16,C6-C16)),0)</f>
        <v>30873</v>
      </c>
      <c r="E5" s="2695"/>
      <c r="F5" s="2695"/>
      <c r="G5" s="2696"/>
      <c r="H5" s="2696"/>
      <c r="I5" s="2696"/>
      <c r="J5" s="2697"/>
      <c r="K5" s="2698"/>
      <c r="L5" s="2690" t="s">
        <v>2798</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0.96220000000000006</v>
      </c>
      <c r="T5" s="1604">
        <f t="shared" ca="1" si="0"/>
        <v>37959</v>
      </c>
      <c r="U5" s="1605"/>
      <c r="V5" s="1604">
        <f t="shared" ca="1" si="1"/>
        <v>0</v>
      </c>
      <c r="W5" s="1608"/>
      <c r="X5" s="1608"/>
      <c r="Y5" s="1608"/>
      <c r="Z5" s="1608"/>
      <c r="AA5" s="1608"/>
      <c r="AB5" s="1608"/>
      <c r="AC5" s="2699"/>
      <c r="AD5" s="2700"/>
      <c r="AE5" s="2700"/>
      <c r="AF5" s="2700"/>
      <c r="AG5" s="2700"/>
      <c r="AH5" s="2700"/>
      <c r="AI5" s="2700"/>
      <c r="AJ5" s="2701"/>
    </row>
    <row r="6" spans="1:36" ht="15.75" thickBot="1">
      <c r="A6" s="2703" t="s">
        <v>2799</v>
      </c>
      <c r="B6" s="2704" t="s">
        <v>2800</v>
      </c>
      <c r="C6" s="917">
        <f>SUMIF(L1:L12,G2,M1:M12)</f>
        <v>30890</v>
      </c>
      <c r="D6" s="2705" t="s">
        <v>2801</v>
      </c>
      <c r="E6" s="2706"/>
      <c r="F6" s="2706"/>
      <c r="G6" s="2707"/>
      <c r="H6" s="2707"/>
      <c r="I6" s="2707"/>
      <c r="J6" s="2708"/>
      <c r="K6" s="1844"/>
      <c r="L6" s="2690" t="s">
        <v>2802</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0.8417</v>
      </c>
      <c r="T6" s="1604">
        <f t="shared" ca="1" si="0"/>
        <v>33206</v>
      </c>
      <c r="U6" s="1605"/>
      <c r="V6" s="1604">
        <f t="shared" ca="1" si="1"/>
        <v>0</v>
      </c>
      <c r="W6" s="1608"/>
      <c r="X6" s="1608"/>
      <c r="Y6" s="1608"/>
      <c r="Z6" s="1608"/>
      <c r="AA6" s="1608"/>
      <c r="AB6" s="1608"/>
      <c r="AC6" s="2699"/>
      <c r="AD6" s="2700"/>
      <c r="AE6" s="2700"/>
      <c r="AF6" s="2700"/>
      <c r="AG6" s="2700"/>
      <c r="AH6" s="2700"/>
      <c r="AI6" s="2700"/>
      <c r="AJ6" s="2701"/>
    </row>
    <row r="7" spans="1:36" ht="24">
      <c r="A7" s="3373">
        <f>IF(E2="商业",IF(C8="不临58条商业街","",2),"")</f>
        <v>2</v>
      </c>
      <c r="B7" s="2709" t="s">
        <v>2803</v>
      </c>
      <c r="C7" s="918">
        <f>IF(C8="不临58条商业街",1,ROUND(1+(1.6*E8+1.2*E9+0.8*E10+0.4*E11)*C9,4))</f>
        <v>1.0666</v>
      </c>
      <c r="D7" s="2710" t="s">
        <v>2804</v>
      </c>
      <c r="E7" s="947">
        <v>90</v>
      </c>
      <c r="F7" s="2711"/>
      <c r="G7" s="2712"/>
      <c r="H7" s="2712"/>
      <c r="I7" s="2712"/>
      <c r="J7" s="2713"/>
      <c r="K7" s="1844"/>
      <c r="L7" s="2690" t="s">
        <v>2805</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0.76080000000000003</v>
      </c>
      <c r="T7" s="1604">
        <f t="shared" ca="1" si="0"/>
        <v>30014</v>
      </c>
      <c r="U7" s="1605"/>
      <c r="V7" s="1604">
        <f t="shared" ca="1" si="1"/>
        <v>0</v>
      </c>
      <c r="W7" s="3035" t="s">
        <v>2806</v>
      </c>
      <c r="X7" s="1606" t="str">
        <f>G2</f>
        <v>一级</v>
      </c>
      <c r="Y7" s="1606" t="s">
        <v>2807</v>
      </c>
      <c r="Z7" s="1607">
        <f>G3</f>
        <v>11.91</v>
      </c>
      <c r="AA7" s="1608"/>
      <c r="AB7" s="1608"/>
      <c r="AC7" s="1609"/>
      <c r="AD7" s="1610"/>
      <c r="AE7" s="1610"/>
      <c r="AF7" s="1610"/>
      <c r="AG7" s="1610"/>
      <c r="AH7" s="1610"/>
      <c r="AI7" s="1610"/>
      <c r="AJ7" s="1611"/>
    </row>
    <row r="8" spans="1:36" ht="15">
      <c r="A8" s="3374"/>
      <c r="B8" s="197" t="s">
        <v>2808</v>
      </c>
      <c r="C8" s="2714" t="s">
        <v>3366</v>
      </c>
      <c r="D8" s="919" t="s">
        <v>139</v>
      </c>
      <c r="E8" s="920">
        <f>ROUND(C11/E7,4)</f>
        <v>8.3299999999999999E-2</v>
      </c>
      <c r="F8" s="2715" t="s">
        <v>2809</v>
      </c>
      <c r="G8" s="2716"/>
      <c r="H8" s="2716"/>
      <c r="I8" s="2716"/>
      <c r="J8" s="2717"/>
      <c r="K8" s="1372"/>
      <c r="L8" s="2690" t="s">
        <v>2810</v>
      </c>
      <c r="M8" s="1083">
        <f>SUMPRODUCT((区片价!B206:B244=I2)*(区片价!C3:F3=E2)*(区片价!C206:F244))</f>
        <v>0</v>
      </c>
      <c r="N8" s="1085">
        <f>SUMPRODUCT((因素修正幅度!B206:B244=I2)*(因素修正幅度!C3:F3=E2)*(因素修正幅度!C206:F244))</f>
        <v>0</v>
      </c>
      <c r="O8" s="1372"/>
      <c r="P8" s="1372"/>
      <c r="Q8" s="1372"/>
      <c r="R8" s="1604">
        <v>7</v>
      </c>
      <c r="S8" s="1605"/>
      <c r="T8" s="1604">
        <f t="shared" ca="1" si="0"/>
        <v>0</v>
      </c>
      <c r="U8" s="1605"/>
      <c r="V8" s="1604">
        <f t="shared" ca="1" si="1"/>
        <v>0</v>
      </c>
      <c r="W8" s="3375" t="s">
        <v>2811</v>
      </c>
      <c r="X8" s="3376"/>
      <c r="Y8" s="1612" t="s">
        <v>2812</v>
      </c>
      <c r="Z8" s="1612" t="s">
        <v>2813</v>
      </c>
      <c r="AA8" s="1612" t="s">
        <v>2814</v>
      </c>
      <c r="AB8" s="1612" t="s">
        <v>2815</v>
      </c>
      <c r="AC8" s="1612" t="s">
        <v>2816</v>
      </c>
      <c r="AD8" s="1612" t="s">
        <v>2817</v>
      </c>
      <c r="AE8" s="1612" t="s">
        <v>2818</v>
      </c>
      <c r="AF8" s="1612" t="s">
        <v>2819</v>
      </c>
      <c r="AG8" s="1612" t="s">
        <v>2820</v>
      </c>
      <c r="AH8" s="1612" t="s">
        <v>2821</v>
      </c>
      <c r="AI8" s="1612" t="s">
        <v>2822</v>
      </c>
      <c r="AJ8" s="1612" t="s">
        <v>2823</v>
      </c>
    </row>
    <row r="9" spans="1:36" ht="15">
      <c r="A9" s="3374"/>
      <c r="B9" s="197" t="s">
        <v>2824</v>
      </c>
      <c r="C9" s="921">
        <f>SUMIF(修正!C59:C119,C8,修正!E59:E119)</f>
        <v>0.2</v>
      </c>
      <c r="D9" s="199" t="s">
        <v>140</v>
      </c>
      <c r="E9" s="199">
        <f>ROUND(C11/E7,4)</f>
        <v>8.3299999999999999E-2</v>
      </c>
      <c r="F9" s="2715" t="s">
        <v>2825</v>
      </c>
      <c r="G9" s="2716"/>
      <c r="H9" s="2716"/>
      <c r="I9" s="2716"/>
      <c r="J9" s="2717"/>
      <c r="K9" s="1372"/>
      <c r="L9" s="2690" t="s">
        <v>2826</v>
      </c>
      <c r="M9" s="1083">
        <f>SUMPRODUCT((区片价!B245:B289=I2)*(区片价!C3:F3=E2)*(区片价!C245:F289))</f>
        <v>0</v>
      </c>
      <c r="N9" s="1085">
        <f>SUMPRODUCT((因素修正幅度!B245:B289=I2)*(因素修正幅度!C3:F3=E2)*(因素修正幅度!C245:F289))</f>
        <v>0</v>
      </c>
      <c r="O9" s="1372"/>
      <c r="P9" s="1372"/>
      <c r="Q9" s="1372"/>
      <c r="R9" s="1604">
        <v>8</v>
      </c>
      <c r="S9" s="1605"/>
      <c r="T9" s="1604">
        <f t="shared" ca="1" si="0"/>
        <v>0</v>
      </c>
      <c r="U9" s="1605"/>
      <c r="V9" s="1604">
        <f t="shared" ca="1" si="1"/>
        <v>0</v>
      </c>
      <c r="W9" s="3377" t="s">
        <v>2827</v>
      </c>
      <c r="X9" s="1613" t="s">
        <v>2828</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374"/>
      <c r="B10" s="197" t="s">
        <v>2829</v>
      </c>
      <c r="C10" s="199">
        <f>SUMIF(修正!C59:C119,C8,修正!F59:F119)</f>
        <v>30</v>
      </c>
      <c r="D10" s="199" t="s">
        <v>141</v>
      </c>
      <c r="E10" s="199">
        <f>ROUND(C11/E7,4)</f>
        <v>8.3299999999999999E-2</v>
      </c>
      <c r="F10" s="2715" t="s">
        <v>2830</v>
      </c>
      <c r="G10" s="2716"/>
      <c r="H10" s="2716"/>
      <c r="I10" s="2716"/>
      <c r="J10" s="2717"/>
      <c r="K10" s="1372"/>
      <c r="L10" s="2690" t="s">
        <v>2831</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377"/>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374"/>
      <c r="B11" s="2718" t="s">
        <v>2832</v>
      </c>
      <c r="C11" s="922">
        <f>C10/4</f>
        <v>7.5</v>
      </c>
      <c r="D11" s="922" t="s">
        <v>142</v>
      </c>
      <c r="E11" s="922">
        <f>ROUND(C11/E7,4)</f>
        <v>8.3299999999999999E-2</v>
      </c>
      <c r="F11" s="2719" t="s">
        <v>2833</v>
      </c>
      <c r="G11" s="2720"/>
      <c r="H11" s="2720"/>
      <c r="I11" s="2720"/>
      <c r="J11" s="2721"/>
      <c r="K11" s="1372"/>
      <c r="L11" s="2690" t="s">
        <v>2834</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377" t="s">
        <v>2835</v>
      </c>
      <c r="X11" s="1616" t="s">
        <v>2807</v>
      </c>
      <c r="Y11" s="1617">
        <f>$G$3</f>
        <v>11.91</v>
      </c>
      <c r="Z11" s="1617">
        <f t="shared" ref="Z11:AJ11" si="3">$G$3</f>
        <v>11.91</v>
      </c>
      <c r="AA11" s="1617">
        <f t="shared" si="3"/>
        <v>11.91</v>
      </c>
      <c r="AB11" s="1617">
        <f t="shared" si="3"/>
        <v>11.91</v>
      </c>
      <c r="AC11" s="1617">
        <f t="shared" si="3"/>
        <v>11.91</v>
      </c>
      <c r="AD11" s="1617">
        <f t="shared" si="3"/>
        <v>11.91</v>
      </c>
      <c r="AE11" s="1617">
        <f t="shared" si="3"/>
        <v>11.91</v>
      </c>
      <c r="AF11" s="1617">
        <f t="shared" si="3"/>
        <v>11.91</v>
      </c>
      <c r="AG11" s="1617">
        <f t="shared" si="3"/>
        <v>11.91</v>
      </c>
      <c r="AH11" s="1617">
        <f t="shared" si="3"/>
        <v>11.91</v>
      </c>
      <c r="AI11" s="1617">
        <f t="shared" si="3"/>
        <v>11.91</v>
      </c>
      <c r="AJ11" s="1617">
        <f t="shared" si="3"/>
        <v>11.91</v>
      </c>
    </row>
    <row r="12" spans="1:36" ht="25.5" hidden="1" thickBot="1">
      <c r="A12" s="3373" t="s">
        <v>2837</v>
      </c>
      <c r="B12" s="2722" t="s">
        <v>2838</v>
      </c>
      <c r="C12" s="918">
        <f>ROUND(C15*D15*E15*F15*G15*H15*I15*J15,4)</f>
        <v>1</v>
      </c>
      <c r="D12" s="2723" t="s">
        <v>2839</v>
      </c>
      <c r="E12" s="2724"/>
      <c r="F12" s="2724"/>
      <c r="G12" s="2725"/>
      <c r="H12" s="2725"/>
      <c r="I12" s="2725"/>
      <c r="J12" s="2726"/>
      <c r="K12" s="1372"/>
      <c r="L12" s="2727" t="s">
        <v>2840</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377"/>
      <c r="X12" s="1618" t="s">
        <v>2841</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hidden="1">
      <c r="A13" s="3378"/>
      <c r="B13" s="2728" t="s">
        <v>2842</v>
      </c>
      <c r="C13" s="2729" t="s">
        <v>2843</v>
      </c>
      <c r="D13" s="3021" t="s">
        <v>2844</v>
      </c>
      <c r="E13" s="3021" t="s">
        <v>2845</v>
      </c>
      <c r="F13" s="30" t="s">
        <v>2846</v>
      </c>
      <c r="G13" s="2730" t="s">
        <v>2847</v>
      </c>
      <c r="H13" s="2730" t="s">
        <v>2847</v>
      </c>
      <c r="I13" s="2730" t="s">
        <v>2847</v>
      </c>
      <c r="J13" s="2731" t="s">
        <v>2847</v>
      </c>
      <c r="K13" s="1372"/>
      <c r="L13" s="1372"/>
      <c r="M13" s="1372"/>
      <c r="N13" s="1372"/>
      <c r="O13" s="1372"/>
      <c r="P13" s="1372"/>
      <c r="Q13" s="1372"/>
      <c r="R13" s="1604">
        <v>12</v>
      </c>
      <c r="S13" s="1605"/>
      <c r="T13" s="1604">
        <f t="shared" ca="1" si="0"/>
        <v>0</v>
      </c>
      <c r="U13" s="1605"/>
      <c r="V13" s="1604">
        <f t="shared" ca="1" si="1"/>
        <v>0</v>
      </c>
      <c r="W13" s="3377"/>
      <c r="X13" s="1618"/>
      <c r="Y13" s="1615">
        <f>(-0.163*(Y12^2)-0.59*Y12+7617)*(10^(-4))/Y11</f>
        <v>6.395465994962217E-2</v>
      </c>
      <c r="Z13" s="1615">
        <f t="shared" ref="Z13:AJ13" si="5">(-0.163*(Z12^2)-0.59*Z12+7617)*(10^(-4))/Z11</f>
        <v>6.395465994962217E-2</v>
      </c>
      <c r="AA13" s="1615">
        <f t="shared" si="5"/>
        <v>6.395465994962217E-2</v>
      </c>
      <c r="AB13" s="1615">
        <f t="shared" si="5"/>
        <v>6.395465994962217E-2</v>
      </c>
      <c r="AC13" s="1615">
        <f t="shared" si="5"/>
        <v>6.395465994962217E-2</v>
      </c>
      <c r="AD13" s="1615">
        <f t="shared" si="5"/>
        <v>6.395465994962217E-2</v>
      </c>
      <c r="AE13" s="1615">
        <f t="shared" si="5"/>
        <v>6.395465994962217E-2</v>
      </c>
      <c r="AF13" s="1615">
        <f t="shared" si="5"/>
        <v>6.395465994962217E-2</v>
      </c>
      <c r="AG13" s="1615">
        <f t="shared" si="5"/>
        <v>6.395465994962217E-2</v>
      </c>
      <c r="AH13" s="1615">
        <f t="shared" si="5"/>
        <v>6.395465994962217E-2</v>
      </c>
      <c r="AI13" s="1615">
        <f t="shared" si="5"/>
        <v>6.395465994962217E-2</v>
      </c>
      <c r="AJ13" s="1615">
        <f t="shared" si="5"/>
        <v>6.395465994962217E-2</v>
      </c>
    </row>
    <row r="14" spans="1:36" ht="15" hidden="1">
      <c r="A14" s="3378"/>
      <c r="B14" s="2732"/>
      <c r="C14" s="2733"/>
      <c r="D14" s="2734"/>
      <c r="E14" s="2734"/>
      <c r="F14" s="2735"/>
      <c r="G14" s="2736" t="s">
        <v>2848</v>
      </c>
      <c r="H14" s="2737"/>
      <c r="I14" s="2738"/>
      <c r="J14" s="2739"/>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hidden="1" thickBot="1">
      <c r="A15" s="3379"/>
      <c r="B15" s="2740" t="s">
        <v>2849</v>
      </c>
      <c r="C15" s="228">
        <f>IF(C14="有",1.1,1)</f>
        <v>1</v>
      </c>
      <c r="D15" s="228">
        <f>IF(D14="有",1.1,1)</f>
        <v>1</v>
      </c>
      <c r="E15" s="228">
        <f>IF(E14="有",1.1,1)</f>
        <v>1</v>
      </c>
      <c r="F15" s="228">
        <f>IF(F14="500米范围内",1.2,IF(F14="500-1000米",1.1,1))</f>
        <v>1</v>
      </c>
      <c r="G15" s="948">
        <v>1</v>
      </c>
      <c r="H15" s="948">
        <v>1</v>
      </c>
      <c r="I15" s="948">
        <v>1</v>
      </c>
      <c r="J15" s="949">
        <v>1</v>
      </c>
      <c r="K15" s="1372"/>
      <c r="L15" s="2741" t="s">
        <v>2785</v>
      </c>
      <c r="M15" s="919" t="s">
        <v>2850</v>
      </c>
      <c r="N15" s="919" t="s">
        <v>2851</v>
      </c>
      <c r="O15" s="919" t="s">
        <v>2852</v>
      </c>
      <c r="P15" s="2742" t="s">
        <v>2853</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373" t="s">
        <v>2854</v>
      </c>
      <c r="B16" s="2709" t="s">
        <v>2855</v>
      </c>
      <c r="C16" s="3025">
        <f>ROUND(SUM(G17:J17)/C17,0)</f>
        <v>17</v>
      </c>
      <c r="D16" s="2743" t="s">
        <v>2856</v>
      </c>
      <c r="E16" s="2744" t="s">
        <v>3367</v>
      </c>
      <c r="F16" s="2745" t="s">
        <v>3368</v>
      </c>
      <c r="G16" s="2746" t="s">
        <v>3322</v>
      </c>
      <c r="H16" s="2746"/>
      <c r="I16" s="2746"/>
      <c r="J16" s="2747"/>
      <c r="K16" s="1372"/>
      <c r="L16" s="2748" t="s">
        <v>2857</v>
      </c>
      <c r="M16" s="921">
        <v>0.25</v>
      </c>
      <c r="N16" s="921">
        <v>0.2</v>
      </c>
      <c r="O16" s="921">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374"/>
      <c r="B17" s="2749" t="s">
        <v>2858</v>
      </c>
      <c r="C17" s="923">
        <f>SUMPRODUCT((修正!A2:A5=E2)*(修正!B1:M1=G2)*(修正!B2:M5))</f>
        <v>3.5</v>
      </c>
      <c r="D17" s="2750" t="s">
        <v>2859</v>
      </c>
      <c r="E17" s="922" t="str">
        <f>IF(OR(G2="八级",G2="九级",G2="十级",G2="十一级",G2="十二级"),"五通一平","七通一平")</f>
        <v>七通一平</v>
      </c>
      <c r="F17" s="923" t="s">
        <v>2860</v>
      </c>
      <c r="G17" s="923">
        <f>SUMPRODUCT((七通一平=G16)*(修正!B1:M1=G2)*(修正!B6:M14))</f>
        <v>60</v>
      </c>
      <c r="H17" s="923">
        <f>SUMPRODUCT((七通一平=H16)*(修正!B1:M1=G2)*(修正!B6:M14))</f>
        <v>0</v>
      </c>
      <c r="I17" s="923">
        <f>SUMPRODUCT((七通一平=I16)*(修正!B1:M1=G2)*(修正!B6:M14))</f>
        <v>0</v>
      </c>
      <c r="J17" s="924">
        <f>SUMPRODUCT((七通一平=J16)*(修正!B1:M1=G2)*(修正!B6:M14))</f>
        <v>0</v>
      </c>
      <c r="K17" s="1372"/>
      <c r="L17" s="2751" t="s">
        <v>2861</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52"/>
      <c r="AF17" s="2752"/>
      <c r="AG17" s="2684"/>
      <c r="AH17" s="2684"/>
      <c r="AI17" s="2684"/>
      <c r="AJ17" s="2684"/>
    </row>
    <row r="18" spans="1:37" s="2702" customFormat="1" ht="15.75" thickBot="1">
      <c r="A18" s="2753" t="s">
        <v>808</v>
      </c>
      <c r="B18" s="2754" t="s">
        <v>2862</v>
      </c>
      <c r="C18" s="925">
        <f>SUMIF(修正!C18:C39,E3,修正!E18:E39)</f>
        <v>1</v>
      </c>
      <c r="D18" s="2755"/>
      <c r="E18" s="2756"/>
      <c r="F18" s="2757"/>
      <c r="G18" s="2758"/>
      <c r="H18" s="2758"/>
      <c r="I18" s="2758"/>
      <c r="J18" s="2759"/>
      <c r="K18" s="1379"/>
      <c r="O18" s="1377"/>
      <c r="P18" s="1377"/>
      <c r="Q18" s="1378"/>
      <c r="R18" s="1378"/>
      <c r="S18" s="1378"/>
      <c r="T18" s="1373"/>
      <c r="U18" s="1373"/>
      <c r="V18" s="1373"/>
      <c r="W18" s="1372"/>
      <c r="X18" s="1372"/>
      <c r="Y18" s="1372"/>
      <c r="Z18" s="1379"/>
      <c r="AA18" s="1380"/>
      <c r="AB18" s="1380"/>
      <c r="AC18" s="1380"/>
      <c r="AD18" s="1380"/>
      <c r="AE18" s="1374"/>
      <c r="AF18" s="1374"/>
      <c r="AG18" s="2760"/>
      <c r="AH18" s="2760"/>
      <c r="AI18" s="2760"/>
    </row>
    <row r="19" spans="1:37" s="2702" customFormat="1" ht="27.75" thickBot="1">
      <c r="A19" s="2753" t="s">
        <v>809</v>
      </c>
      <c r="B19" s="2754" t="s">
        <v>2863</v>
      </c>
      <c r="C19" s="926">
        <f>ROUND(IF(H19="按公示增长率计算",SUMPRODUCT((地价!A3:A24=YEAR(G19)&amp;"-"&amp;ROUNDUP(MONTH(G19)/3,0))*(地价!X2:AB2=E2)*(地价!X3:AB24)),IF(H19="地价指数",M20/M19,(1+I19)^O19)),4)</f>
        <v>1.3217000000000001</v>
      </c>
      <c r="D19" s="2761" t="s">
        <v>2864</v>
      </c>
      <c r="E19" s="927">
        <v>41640</v>
      </c>
      <c r="F19" s="2761" t="s">
        <v>2865</v>
      </c>
      <c r="G19" s="928">
        <f>'数据-取费表'!B2</f>
        <v>43395</v>
      </c>
      <c r="H19" s="2762" t="s">
        <v>2866</v>
      </c>
      <c r="I19" s="929" t="str">
        <f>IF(H19="季度增幅（自定义）",SUMIF(N21:N24,E2,O21:O24),"")</f>
        <v/>
      </c>
      <c r="J19" s="2759"/>
      <c r="K19" s="1379"/>
      <c r="L19" s="2763" t="s">
        <v>2867</v>
      </c>
      <c r="M19" s="1736">
        <f>ROUND(SUMIF(地价!B2:F2,E2,地价!B24:F24),0)</f>
        <v>258</v>
      </c>
      <c r="N19" s="2764" t="s">
        <v>2868</v>
      </c>
      <c r="O19" s="930">
        <f>ROUNDDOWN(DATEDIF(E19,G19,"M")/3,0)</f>
        <v>19</v>
      </c>
      <c r="P19" s="1376"/>
      <c r="Q19" s="1378"/>
      <c r="R19" s="1378"/>
      <c r="S19" s="1378"/>
      <c r="T19" s="1373"/>
      <c r="U19" s="1373"/>
      <c r="V19" s="1373"/>
      <c r="W19" s="1372"/>
      <c r="X19" s="1372"/>
      <c r="Y19" s="1372"/>
      <c r="Z19" s="1379"/>
      <c r="AA19" s="1380"/>
      <c r="AB19" s="1380"/>
      <c r="AC19" s="1380"/>
      <c r="AD19" s="1380"/>
      <c r="AE19" s="1380"/>
      <c r="AF19" s="2765"/>
      <c r="AG19" s="2766"/>
      <c r="AH19" s="2760"/>
      <c r="AI19" s="2767"/>
      <c r="AJ19" s="2767"/>
      <c r="AK19" s="2767"/>
    </row>
    <row r="20" spans="1:37" s="2702" customFormat="1" ht="27.75" thickBot="1">
      <c r="A20" s="2768" t="s">
        <v>810</v>
      </c>
      <c r="B20" s="2769" t="s">
        <v>2869</v>
      </c>
      <c r="C20" s="931">
        <f ca="1">ROUND(POWER(1+G20,J20-I20)*(POWER(1+G20,I20)-1)/(POWER(1+G20,J20)-1),4)</f>
        <v>0.83150000000000002</v>
      </c>
      <c r="D20" s="2770" t="s">
        <v>2870</v>
      </c>
      <c r="E20" s="1770">
        <f ca="1">存贷款利率!D4/100</f>
        <v>4.3499999999999997E-2</v>
      </c>
      <c r="F20" s="2770" t="s">
        <v>2861</v>
      </c>
      <c r="G20" s="936">
        <f ca="1">SUMIF(M15:P15,E2,M17:P17)</f>
        <v>5.3999999999999999E-2</v>
      </c>
      <c r="H20" s="2770" t="s">
        <v>2871</v>
      </c>
      <c r="I20" s="937">
        <f>SUMIF('数据-取费表'!C6:C15,E2,'数据-取费表'!F6:F15)/COUNTIF('数据-取费表'!C6:C15,E2)</f>
        <v>24.9</v>
      </c>
      <c r="J20" s="938">
        <f>IF(E2="住宅",70,IF(E2="商业",40,50))</f>
        <v>40</v>
      </c>
      <c r="K20" s="1379"/>
      <c r="L20" s="2771" t="s">
        <v>2872</v>
      </c>
      <c r="M20" s="1737">
        <f>ROUND(SUMPRODUCT((地价!A4:A24=YEAR(G19)&amp;"-"&amp;ROUNDUP(MONTH(G19)/3,0))*(地价!B2:F2=E2)*(地价!B4:F24)),0)</f>
        <v>341</v>
      </c>
      <c r="N20" s="2772" t="s">
        <v>2873</v>
      </c>
      <c r="O20" s="2773" t="s">
        <v>2874</v>
      </c>
      <c r="P20" s="2774" t="s">
        <v>2875</v>
      </c>
      <c r="R20" s="1378"/>
      <c r="S20" s="1378"/>
      <c r="T20" s="1373"/>
      <c r="U20" s="1373"/>
      <c r="V20" s="1373"/>
      <c r="W20" s="1372"/>
      <c r="X20" s="1372"/>
      <c r="Y20" s="1372"/>
      <c r="Z20" s="1379"/>
      <c r="AA20" s="1380"/>
      <c r="AB20" s="1380"/>
      <c r="AC20" s="1380"/>
      <c r="AD20" s="1380"/>
      <c r="AE20" s="1380"/>
      <c r="AF20" s="1380"/>
    </row>
    <row r="21" spans="1:37" s="2702" customFormat="1" ht="15">
      <c r="A21" s="2775" t="s">
        <v>811</v>
      </c>
      <c r="B21" s="2776" t="s">
        <v>3371</v>
      </c>
      <c r="C21" s="3031">
        <f>IF(B21="容积率修正",IF(G3&lt;=10,D22,J22),C23)</f>
        <v>0</v>
      </c>
      <c r="D21" s="2777"/>
      <c r="E21" s="2777"/>
      <c r="F21" s="2777"/>
      <c r="G21" s="2777"/>
      <c r="H21" s="2777"/>
      <c r="I21" s="2777"/>
      <c r="J21" s="2778"/>
      <c r="K21" s="1379"/>
      <c r="N21" s="2779" t="s">
        <v>2876</v>
      </c>
      <c r="O21" s="1563"/>
      <c r="P21" s="1564">
        <f>SUMPRODUCT((地价!A3:A24=YEAR(G19)&amp;"-"&amp;ROUNDUP(MONTH(G19)/3,0))*(地价!AD2:AH2=N21)*(地价!AD3:AH24))</f>
        <v>1.5299999999999999E-2</v>
      </c>
      <c r="R21" s="1378"/>
      <c r="S21" s="1378"/>
      <c r="T21" s="1373"/>
      <c r="U21" s="1373"/>
      <c r="V21" s="1373"/>
      <c r="W21" s="1372"/>
      <c r="X21" s="1372"/>
      <c r="Y21" s="1372"/>
      <c r="Z21" s="1379"/>
      <c r="AA21" s="1380"/>
      <c r="AB21" s="1380"/>
      <c r="AC21" s="1380"/>
      <c r="AD21" s="1380"/>
      <c r="AE21" s="1380"/>
      <c r="AF21" s="1380"/>
    </row>
    <row r="22" spans="1:37" s="2702" customFormat="1" ht="14.25">
      <c r="A22" s="2628" t="s">
        <v>2877</v>
      </c>
      <c r="B22" s="2780" t="s">
        <v>2878</v>
      </c>
      <c r="C22" s="3030" t="s">
        <v>2879</v>
      </c>
      <c r="D22" s="3030" t="str">
        <f>IF(E22=G22,F22,IF(G3&lt;=10,ROUND(F22+(H22-F22)*(G3-E22)/(G22-E22),4),"——"))</f>
        <v>——</v>
      </c>
      <c r="E22" s="915">
        <f>ROUNDDOWN(G3,1)</f>
        <v>11.9</v>
      </c>
      <c r="F22" s="3030"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5">
        <f>ROUNDUP(G3,1)</f>
        <v>12</v>
      </c>
      <c r="H22" s="3030"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3030" t="s">
        <v>155</v>
      </c>
      <c r="J22" s="940">
        <f>IF(G3&gt;10,D113,"——")</f>
        <v>0.82150000000000001</v>
      </c>
      <c r="K22" s="1379"/>
      <c r="N22" s="2779" t="s">
        <v>2880</v>
      </c>
      <c r="O22" s="1563"/>
      <c r="P22" s="1564">
        <f>SUMPRODUCT((地价!A3:A24=YEAR(G19)&amp;"-"&amp;ROUNDUP(MONTH(G19)/3,0))*(地价!AD2:AH2=N22)*(地价!AD3:AH24))</f>
        <v>1.5299999999999999E-2</v>
      </c>
      <c r="R22" s="1378"/>
      <c r="S22" s="1378"/>
      <c r="T22" s="1373"/>
      <c r="U22" s="1373"/>
      <c r="V22" s="1373"/>
      <c r="W22" s="1372"/>
      <c r="X22" s="1372"/>
      <c r="Y22" s="1372"/>
      <c r="Z22" s="1379"/>
      <c r="AA22" s="1380"/>
      <c r="AB22" s="1380"/>
      <c r="AC22" s="1380"/>
      <c r="AD22" s="1380"/>
      <c r="AE22" s="1380"/>
      <c r="AF22" s="1380"/>
    </row>
    <row r="23" spans="1:37" ht="27.75" thickBot="1">
      <c r="A23" s="2628" t="s">
        <v>2881</v>
      </c>
      <c r="B23" s="2781" t="s">
        <v>2882</v>
      </c>
      <c r="C23" s="1015">
        <f>ROUND(IF(G3&gt;1,IF(I3&lt;7,SUMPRODUCT((B93:B98=I3)*(C92:N92=G2)*(C93:N98)),SUMIF(C92:N92,G2,C100:N100)),IF(I3&lt;7,SUMPRODUCT((B102:B107=I3)*(C92:N92=G2)*(C102:N107)),SUMIF(C92:N92,G2,C109:N109))),4)</f>
        <v>0</v>
      </c>
      <c r="D23" s="2737"/>
      <c r="E23" s="2737"/>
      <c r="F23" s="2782"/>
      <c r="G23" s="2783"/>
      <c r="H23" s="2784"/>
      <c r="I23" s="2785"/>
      <c r="J23" s="2786"/>
      <c r="K23" s="1372"/>
      <c r="N23" s="2779" t="s">
        <v>2883</v>
      </c>
      <c r="O23" s="1563"/>
      <c r="P23" s="1564">
        <f>SUMPRODUCT((地价!A3:A24=YEAR(G19)&amp;"-"&amp;ROUNDUP(MONTH(G19)/3,0))*(地价!AD2:AH2=N23)*(地价!AD3:AH24))</f>
        <v>2.41E-2</v>
      </c>
      <c r="R23" s="1378"/>
      <c r="S23" s="1378"/>
      <c r="T23" s="1373"/>
      <c r="U23" s="1373"/>
      <c r="V23" s="1373"/>
      <c r="W23" s="1372"/>
      <c r="X23" s="1372"/>
      <c r="Y23" s="1372"/>
      <c r="Z23" s="1379"/>
      <c r="AA23" s="1380"/>
      <c r="AB23" s="1380"/>
      <c r="AC23" s="1380"/>
      <c r="AD23" s="1380"/>
      <c r="AK23" s="2760"/>
    </row>
    <row r="24" spans="1:37" s="2702" customFormat="1" ht="15.75" thickBot="1">
      <c r="A24" s="2768" t="s">
        <v>812</v>
      </c>
      <c r="B24" s="2754" t="s">
        <v>2884</v>
      </c>
      <c r="C24" s="926">
        <f>SUMIF(A45:A88,E2,B45:B88)</f>
        <v>1.0901000000000001</v>
      </c>
      <c r="D24" s="2757"/>
      <c r="E24" s="2787"/>
      <c r="F24" s="2787"/>
      <c r="G24" s="2787"/>
      <c r="H24" s="2787"/>
      <c r="I24" s="2787"/>
      <c r="J24" s="2788"/>
      <c r="K24" s="1379"/>
      <c r="N24" s="2789" t="s">
        <v>2885</v>
      </c>
      <c r="O24" s="1565"/>
      <c r="P24" s="1566">
        <f>SUMPRODUCT((地价!A3:A24=YEAR(G19)&amp;"-"&amp;ROUNDUP(MONTH(G19)/3,0))*(地价!AD2:AH2=N24)*(地价!AD3:AH24))</f>
        <v>1.4200000000000001E-2</v>
      </c>
      <c r="R24" s="1378"/>
      <c r="S24" s="1378"/>
      <c r="T24" s="1373"/>
      <c r="U24" s="1373"/>
      <c r="V24" s="1373"/>
      <c r="W24" s="1372"/>
      <c r="X24" s="1372"/>
      <c r="Y24" s="1372"/>
      <c r="Z24" s="1379"/>
      <c r="AA24" s="1380"/>
      <c r="AB24" s="1380"/>
      <c r="AC24" s="1380"/>
      <c r="AD24" s="1380"/>
      <c r="AE24" s="1380"/>
      <c r="AF24" s="1380"/>
    </row>
    <row r="25" spans="1:37" ht="15.75" thickBot="1">
      <c r="A25" s="2768" t="s">
        <v>813</v>
      </c>
      <c r="B25" s="2790" t="s">
        <v>2886</v>
      </c>
      <c r="C25" s="932"/>
      <c r="D25" s="2712"/>
      <c r="E25" s="2712"/>
      <c r="F25" s="2791"/>
      <c r="G25" s="2712"/>
      <c r="H25" s="2712"/>
      <c r="I25" s="2712"/>
      <c r="J25" s="2713"/>
      <c r="K25" s="1372"/>
      <c r="N25" s="2792" t="s">
        <v>2887</v>
      </c>
      <c r="O25" s="1567"/>
      <c r="P25" s="1566">
        <f>SUMPRODUCT((地价!A3:A24=YEAR(G19)&amp;"-"&amp;ROUNDUP(MONTH(G19)/3,0))*(地价!AD2:AH2=N25)*(地价!AD3:AH24))</f>
        <v>2.1899999999999999E-2</v>
      </c>
      <c r="R25" s="1378"/>
      <c r="S25" s="1378"/>
      <c r="T25" s="1373"/>
      <c r="U25" s="1373"/>
      <c r="V25" s="1373"/>
      <c r="W25" s="1372"/>
      <c r="X25" s="1372"/>
      <c r="Y25" s="1372"/>
      <c r="Z25" s="1379"/>
      <c r="AA25" s="1380"/>
      <c r="AB25" s="1380"/>
      <c r="AC25" s="1380"/>
      <c r="AD25" s="1380"/>
    </row>
    <row r="26" spans="1:37" ht="15">
      <c r="A26" s="2793"/>
      <c r="B26" s="2780" t="s">
        <v>2888</v>
      </c>
      <c r="C26" s="205">
        <f ca="1">E29+SUM(E33:E39)</f>
        <v>17444</v>
      </c>
      <c r="D26" s="2794"/>
      <c r="E26" s="2737"/>
      <c r="F26" s="2795"/>
      <c r="G26" s="2737"/>
      <c r="H26" s="2737"/>
      <c r="I26" s="2737"/>
      <c r="J26" s="2796"/>
      <c r="K26" s="1372"/>
      <c r="R26" s="1378"/>
      <c r="S26" s="1378"/>
      <c r="T26" s="1373"/>
      <c r="U26" s="1373"/>
      <c r="V26" s="1373"/>
      <c r="W26" s="1372"/>
      <c r="X26" s="1372"/>
      <c r="Y26" s="1372"/>
      <c r="Z26" s="1379"/>
      <c r="AA26" s="1380"/>
      <c r="AB26" s="1380"/>
      <c r="AC26" s="1380"/>
      <c r="AD26" s="1380"/>
    </row>
    <row r="27" spans="1:37" ht="15.75" thickBot="1">
      <c r="A27" s="2793"/>
      <c r="B27" s="2797" t="s">
        <v>2889</v>
      </c>
      <c r="C27" s="933">
        <f ca="1">E30+SUM(I33:I39)</f>
        <v>4361</v>
      </c>
      <c r="D27" s="2798"/>
      <c r="E27" s="2799"/>
      <c r="F27" s="2800"/>
      <c r="G27" s="2799"/>
      <c r="H27" s="2799"/>
      <c r="I27" s="2799"/>
      <c r="J27" s="2801"/>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02"/>
      <c r="B28" s="2803" t="s">
        <v>2890</v>
      </c>
      <c r="C28" s="2804" t="s">
        <v>2891</v>
      </c>
      <c r="D28" s="2804" t="s">
        <v>2892</v>
      </c>
      <c r="E28" s="2805" t="s">
        <v>2893</v>
      </c>
      <c r="F28" s="2806"/>
      <c r="G28" s="2725"/>
      <c r="H28" s="2725"/>
      <c r="I28" s="2725"/>
      <c r="J28" s="2726"/>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07"/>
      <c r="B29" s="2808" t="s">
        <v>2894</v>
      </c>
      <c r="C29" s="205">
        <f ca="1">ROUND(C5*C18*C19*C20*C21*C24,0)</f>
        <v>0</v>
      </c>
      <c r="D29" s="2809"/>
      <c r="E29" s="3034">
        <f ca="1">ROUND(C29*D29/10000,0)</f>
        <v>0</v>
      </c>
      <c r="F29" s="2810" t="s">
        <v>2895</v>
      </c>
      <c r="G29" s="2811"/>
      <c r="H29" s="2811"/>
      <c r="I29" s="2811"/>
      <c r="J29" s="2812"/>
      <c r="K29" s="1372"/>
      <c r="L29" s="1372"/>
      <c r="M29" s="1372"/>
      <c r="N29" s="1372"/>
      <c r="O29" s="1377"/>
      <c r="P29" s="1377"/>
      <c r="Q29" s="1378"/>
      <c r="R29" s="1378"/>
      <c r="S29" s="1378"/>
      <c r="T29" s="1373"/>
      <c r="U29" s="1373"/>
      <c r="V29" s="1373"/>
      <c r="W29" s="1372"/>
      <c r="X29" s="1372"/>
      <c r="Y29" s="1372"/>
      <c r="Z29" s="1379"/>
      <c r="AA29" s="1380"/>
      <c r="AB29" s="1380"/>
      <c r="AC29" s="1380"/>
      <c r="AD29" s="1380"/>
      <c r="AE29" s="2752"/>
      <c r="AF29" s="2752"/>
      <c r="AG29" s="2684"/>
      <c r="AH29" s="2684"/>
      <c r="AI29" s="2684"/>
      <c r="AJ29" s="2684"/>
    </row>
    <row r="30" spans="1:37" ht="25.5" thickBot="1">
      <c r="A30" s="2813"/>
      <c r="B30" s="2814" t="s">
        <v>2896</v>
      </c>
      <c r="C30" s="228">
        <f ca="1">ROUND(IF(E2="工业",C29*M39,C29*M38),0)</f>
        <v>0</v>
      </c>
      <c r="D30" s="2815"/>
      <c r="E30" s="3034">
        <f ca="1">ROUND(C30*D30/10000,0)</f>
        <v>0</v>
      </c>
      <c r="F30" s="2816" t="s">
        <v>2897</v>
      </c>
      <c r="G30" s="2817"/>
      <c r="H30" s="2817"/>
      <c r="I30" s="2817"/>
      <c r="J30" s="2818"/>
      <c r="K30" s="1372"/>
      <c r="L30" s="1372"/>
      <c r="M30" s="1372"/>
      <c r="N30" s="1372"/>
      <c r="O30" s="1377"/>
      <c r="P30" s="1377"/>
      <c r="Q30" s="1378"/>
      <c r="R30" s="1378"/>
      <c r="S30" s="1378"/>
      <c r="T30" s="1373"/>
      <c r="U30" s="1373"/>
      <c r="V30" s="1373"/>
      <c r="W30" s="1372"/>
      <c r="X30" s="1372"/>
      <c r="Y30" s="1372"/>
      <c r="Z30" s="1379"/>
      <c r="AA30" s="1380"/>
      <c r="AB30" s="1380"/>
      <c r="AC30" s="1380"/>
      <c r="AD30" s="1380"/>
      <c r="AE30" s="2752"/>
      <c r="AF30" s="2752"/>
      <c r="AG30" s="2684"/>
      <c r="AH30" s="2684"/>
      <c r="AI30" s="2684"/>
      <c r="AJ30" s="2684"/>
    </row>
    <row r="31" spans="1:37" ht="14.25">
      <c r="A31" s="2819"/>
      <c r="B31" s="2820" t="s">
        <v>2898</v>
      </c>
      <c r="C31" s="2821" t="s">
        <v>2899</v>
      </c>
      <c r="D31" s="2725"/>
      <c r="E31" s="2821"/>
      <c r="F31" s="2821"/>
      <c r="G31" s="2723" t="s">
        <v>2900</v>
      </c>
      <c r="H31" s="2725"/>
      <c r="I31" s="2822"/>
      <c r="J31" s="2726"/>
      <c r="K31" s="1372"/>
      <c r="L31" s="1372"/>
      <c r="M31" s="1372"/>
      <c r="N31" s="1372"/>
      <c r="O31" s="1377"/>
      <c r="P31" s="1377"/>
      <c r="Q31" s="1378"/>
      <c r="R31" s="1378"/>
      <c r="S31" s="1378"/>
      <c r="T31" s="1373"/>
      <c r="U31" s="1373"/>
      <c r="V31" s="1373"/>
      <c r="W31" s="1372"/>
      <c r="X31" s="1372"/>
      <c r="Y31" s="1372"/>
      <c r="Z31" s="1379"/>
      <c r="AA31" s="1380"/>
      <c r="AB31" s="1380"/>
      <c r="AC31" s="1380"/>
      <c r="AD31" s="1380"/>
      <c r="AE31" s="2752"/>
      <c r="AF31" s="2752"/>
      <c r="AG31" s="2684"/>
      <c r="AH31" s="2684"/>
      <c r="AI31" s="2684"/>
      <c r="AJ31" s="2684"/>
    </row>
    <row r="32" spans="1:37" ht="24">
      <c r="A32" s="2807"/>
      <c r="B32" s="2823"/>
      <c r="C32" s="500" t="s">
        <v>2891</v>
      </c>
      <c r="D32" s="497" t="s">
        <v>2892</v>
      </c>
      <c r="E32" s="497" t="s">
        <v>2893</v>
      </c>
      <c r="F32" s="387" t="s">
        <v>2901</v>
      </c>
      <c r="G32" s="2824" t="s">
        <v>2891</v>
      </c>
      <c r="H32" s="2824" t="s">
        <v>2892</v>
      </c>
      <c r="I32" s="2824" t="s">
        <v>2893</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52"/>
      <c r="AF32" s="2752"/>
      <c r="AG32" s="2684"/>
      <c r="AH32" s="2684"/>
      <c r="AI32" s="2684"/>
      <c r="AJ32" s="2684"/>
    </row>
    <row r="33" spans="1:37" ht="36" customHeight="1">
      <c r="A33" s="3384" t="s">
        <v>2902</v>
      </c>
      <c r="B33" s="2825" t="s">
        <v>2903</v>
      </c>
      <c r="C33" s="205">
        <f ca="1">ROUND(D5*C19*C20*C24*F33,0)</f>
        <v>29589</v>
      </c>
      <c r="D33" s="2809">
        <f>面积B!H21</f>
        <v>5895.4000000000005</v>
      </c>
      <c r="E33" s="199">
        <f ca="1">ROUND(C33*D33/10000,0)</f>
        <v>17444</v>
      </c>
      <c r="F33" s="199">
        <f>SUMIF(修正!A45:A56,G2,修正!B45:B56)</f>
        <v>0.8</v>
      </c>
      <c r="G33" s="199">
        <f t="shared" ref="G33" ca="1" si="6">ROUND(IF(E2="工业",C33*$M$39,C33*$M$38),0)</f>
        <v>7397</v>
      </c>
      <c r="H33" s="199">
        <f>D33</f>
        <v>5895.4000000000005</v>
      </c>
      <c r="I33" s="199">
        <f ca="1">ROUND(G33*H33/10000,0)</f>
        <v>4361</v>
      </c>
      <c r="J33" s="2826"/>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385"/>
      <c r="B34" s="2729" t="s">
        <v>2904</v>
      </c>
      <c r="C34" s="205">
        <f ca="1">ROUND(D5*C19*C20*C24*F34,0)</f>
        <v>18493</v>
      </c>
      <c r="D34" s="2809"/>
      <c r="E34" s="199">
        <f t="shared" ref="E34:E39" ca="1" si="7">ROUND(C34*D34/10000,0)</f>
        <v>0</v>
      </c>
      <c r="F34" s="199">
        <f>SUMIF(修正!A45:A56,G2,修正!C45:C56)</f>
        <v>0.5</v>
      </c>
      <c r="G34" s="199">
        <f ca="1">ROUND(IF(E2="工业",C34*$M$39,C34*$M$38),0)</f>
        <v>4623</v>
      </c>
      <c r="H34" s="199">
        <f t="shared" ref="H34:H39" si="8">D34</f>
        <v>0</v>
      </c>
      <c r="I34" s="199">
        <f t="shared" ref="I34:I39" ca="1" si="9">ROUND(G34*H34/10000,0)</f>
        <v>0</v>
      </c>
      <c r="J34" s="2826"/>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385"/>
      <c r="B35" s="2729" t="s">
        <v>2905</v>
      </c>
      <c r="C35" s="205">
        <f ca="1">ROUND(D5*C19*C20*C24*F35,0)</f>
        <v>13315</v>
      </c>
      <c r="D35" s="2809"/>
      <c r="E35" s="199">
        <f t="shared" ca="1" si="7"/>
        <v>0</v>
      </c>
      <c r="F35" s="199">
        <f>SUMIF(修正!A45:A56,G2,修正!D45:D56)</f>
        <v>0.36</v>
      </c>
      <c r="G35" s="199">
        <f ca="1">ROUND(IF(E2="工业",C35*$M$39,C35*$M$38),0)</f>
        <v>3329</v>
      </c>
      <c r="H35" s="199">
        <f t="shared" si="8"/>
        <v>0</v>
      </c>
      <c r="I35" s="199">
        <f t="shared" ca="1" si="9"/>
        <v>0</v>
      </c>
      <c r="J35" s="2826"/>
      <c r="K35" s="1372"/>
      <c r="L35" s="1372"/>
      <c r="M35" s="1372"/>
      <c r="N35" s="1372"/>
      <c r="O35" s="1372"/>
      <c r="P35" s="1372"/>
      <c r="Q35" s="1372"/>
      <c r="R35" s="1372"/>
      <c r="S35" s="1372"/>
      <c r="T35" s="1372"/>
      <c r="U35" s="1372"/>
      <c r="V35" s="1372"/>
      <c r="W35" s="1372"/>
      <c r="X35" s="1372"/>
      <c r="Y35" s="1372"/>
      <c r="Z35" s="1373"/>
    </row>
    <row r="36" spans="1:37" ht="13.5" thickBot="1">
      <c r="A36" s="3386"/>
      <c r="B36" s="2729" t="s">
        <v>2906</v>
      </c>
      <c r="C36" s="205">
        <f ca="1">ROUND(D5*C19*C20*C24*F36,0)</f>
        <v>11096</v>
      </c>
      <c r="D36" s="2809"/>
      <c r="E36" s="199">
        <f t="shared" ca="1" si="7"/>
        <v>0</v>
      </c>
      <c r="F36" s="199">
        <f>SUMIF(修正!A45:A56,G2,修正!E45:E56)</f>
        <v>0.3</v>
      </c>
      <c r="G36" s="199">
        <f ca="1">ROUND(IF(E2="工业",C36*$M$39,C36*$M$38),0)</f>
        <v>2774</v>
      </c>
      <c r="H36" s="199">
        <f t="shared" si="8"/>
        <v>0</v>
      </c>
      <c r="I36" s="199">
        <f t="shared" ca="1" si="9"/>
        <v>0</v>
      </c>
      <c r="J36" s="2826"/>
      <c r="K36" s="1372"/>
      <c r="L36" s="2683"/>
      <c r="M36" s="2683"/>
      <c r="N36" s="1372"/>
      <c r="O36" s="1372"/>
      <c r="P36" s="1372"/>
      <c r="Q36" s="1372"/>
      <c r="R36" s="1372"/>
      <c r="S36" s="1372"/>
      <c r="T36" s="1372"/>
      <c r="U36" s="1372"/>
      <c r="V36" s="1372"/>
      <c r="W36" s="1372"/>
      <c r="X36" s="1372"/>
      <c r="Y36" s="1372"/>
      <c r="Z36" s="1373"/>
    </row>
    <row r="37" spans="1:37">
      <c r="A37" s="2827"/>
      <c r="B37" s="2729" t="s">
        <v>2907</v>
      </c>
      <c r="C37" s="199">
        <f ca="1">ROUND(C5*C19*C20*C24*F37,0)</f>
        <v>11835</v>
      </c>
      <c r="D37" s="2809"/>
      <c r="E37" s="199">
        <f t="shared" ca="1" si="7"/>
        <v>0</v>
      </c>
      <c r="F37" s="205">
        <f>SUMIF(修正!A45:A56,G2,修正!F45:F56)</f>
        <v>0.3</v>
      </c>
      <c r="G37" s="199">
        <f ca="1">ROUND(IF(E2="工业",C37*$M$39,C37*$M$38),0)</f>
        <v>2959</v>
      </c>
      <c r="H37" s="199">
        <f t="shared" si="8"/>
        <v>0</v>
      </c>
      <c r="I37" s="199">
        <f t="shared" ca="1" si="9"/>
        <v>0</v>
      </c>
      <c r="J37" s="2826"/>
      <c r="K37" s="1372"/>
      <c r="L37" s="2828" t="s">
        <v>2908</v>
      </c>
      <c r="M37" s="2829"/>
      <c r="N37" s="1372"/>
      <c r="O37" s="1372"/>
      <c r="P37" s="1372"/>
      <c r="Q37" s="1372"/>
      <c r="R37" s="1372"/>
      <c r="S37" s="1372"/>
      <c r="T37" s="1372"/>
      <c r="U37" s="1372"/>
      <c r="V37" s="1372"/>
      <c r="W37" s="1372"/>
      <c r="X37" s="1372"/>
      <c r="Y37" s="1372"/>
      <c r="Z37" s="1373"/>
    </row>
    <row r="38" spans="1:37">
      <c r="A38" s="2827"/>
      <c r="B38" s="2729" t="s">
        <v>2909</v>
      </c>
      <c r="C38" s="199">
        <f ca="1">ROUND(C5*C19*C20*C24*F38,0)</f>
        <v>11835</v>
      </c>
      <c r="D38" s="2809"/>
      <c r="E38" s="199">
        <f t="shared" ca="1" si="7"/>
        <v>0</v>
      </c>
      <c r="F38" s="205">
        <f>SUMIF(修正!A45:A56,G2,修正!G45:G56)</f>
        <v>0.3</v>
      </c>
      <c r="G38" s="199">
        <f ca="1">ROUND(IF(E2="工业",C38*$M$39,C38*$M$38),0)</f>
        <v>2959</v>
      </c>
      <c r="H38" s="199">
        <f t="shared" si="8"/>
        <v>0</v>
      </c>
      <c r="I38" s="199">
        <f t="shared" ca="1" si="9"/>
        <v>0</v>
      </c>
      <c r="J38" s="2826"/>
      <c r="K38" s="1372"/>
      <c r="L38" s="1889" t="s">
        <v>2910</v>
      </c>
      <c r="M38" s="2830">
        <v>0.25</v>
      </c>
      <c r="N38" s="1372"/>
      <c r="O38" s="1372"/>
      <c r="P38" s="1372"/>
      <c r="Q38" s="1372"/>
      <c r="R38" s="1372"/>
      <c r="S38" s="1372"/>
      <c r="T38" s="1372"/>
      <c r="U38" s="1372"/>
      <c r="V38" s="1372"/>
      <c r="W38" s="1372"/>
      <c r="X38" s="1372"/>
      <c r="Y38" s="1372"/>
      <c r="Z38" s="1373"/>
    </row>
    <row r="39" spans="1:37" ht="13.5" thickBot="1">
      <c r="A39" s="2813"/>
      <c r="B39" s="2831" t="s">
        <v>2911</v>
      </c>
      <c r="C39" s="228">
        <f ca="1">ROUND(C5*C19*C20*C24*F39,0)</f>
        <v>9863</v>
      </c>
      <c r="D39" s="2815"/>
      <c r="E39" s="228">
        <f t="shared" ca="1" si="7"/>
        <v>0</v>
      </c>
      <c r="F39" s="934">
        <f>SUMIF(修正!A45:A56,G2,修正!H45:H56)</f>
        <v>0.25</v>
      </c>
      <c r="G39" s="228">
        <f ca="1">ROUND(IF(E2="工业",C39*$M$39,C39*$M$38),0)</f>
        <v>2466</v>
      </c>
      <c r="H39" s="228">
        <f t="shared" si="8"/>
        <v>0</v>
      </c>
      <c r="I39" s="228">
        <f t="shared" ca="1" si="9"/>
        <v>0</v>
      </c>
      <c r="J39" s="2832"/>
      <c r="K39" s="1372"/>
      <c r="L39" s="2833" t="s">
        <v>2853</v>
      </c>
      <c r="M39" s="2834">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35"/>
      <c r="Z41" s="1373"/>
      <c r="AA41" s="1373"/>
      <c r="AB41" s="1373"/>
      <c r="AC41" s="1373"/>
      <c r="AD41" s="1373"/>
      <c r="AE41" s="1373"/>
      <c r="AF41" s="1373"/>
      <c r="AG41" s="1373"/>
      <c r="AH41" s="1373"/>
      <c r="AI41" s="1373"/>
      <c r="AJ41" s="1373"/>
    </row>
    <row r="42" spans="1:37" s="1372" customFormat="1">
      <c r="A42" s="1373"/>
      <c r="B42" s="2835"/>
      <c r="Z42" s="1373"/>
      <c r="AA42" s="1373"/>
      <c r="AB42" s="1373"/>
      <c r="AC42" s="1373"/>
      <c r="AD42" s="1373"/>
      <c r="AE42" s="1373"/>
      <c r="AF42" s="1373"/>
      <c r="AG42" s="1373"/>
      <c r="AH42" s="1373"/>
      <c r="AI42" s="1373"/>
      <c r="AJ42" s="1373"/>
    </row>
    <row r="43" spans="1:37" s="1372" customFormat="1">
      <c r="A43" s="1373"/>
      <c r="B43" s="2835"/>
      <c r="Z43" s="1373"/>
      <c r="AA43" s="1373"/>
      <c r="AB43" s="1373"/>
      <c r="AC43" s="1373"/>
      <c r="AD43" s="1373"/>
      <c r="AE43" s="1373"/>
      <c r="AF43" s="1373"/>
      <c r="AG43" s="1373"/>
      <c r="AH43" s="1373"/>
      <c r="AI43" s="1373"/>
      <c r="AJ43" s="1373"/>
    </row>
    <row r="44" spans="1:37" s="1372" customFormat="1">
      <c r="A44" s="1373"/>
      <c r="B44" s="2835"/>
      <c r="Z44" s="1373"/>
      <c r="AA44" s="1373"/>
      <c r="AB44" s="1373"/>
      <c r="AC44" s="1373"/>
      <c r="AD44" s="1373"/>
      <c r="AE44" s="1373"/>
      <c r="AF44" s="1373"/>
      <c r="AG44" s="1373"/>
      <c r="AH44" s="1373"/>
      <c r="AI44" s="1373"/>
      <c r="AJ44" s="1373"/>
    </row>
    <row r="45" spans="1:37" s="1372" customFormat="1" ht="15.75" thickBot="1">
      <c r="A45" s="2836" t="s">
        <v>2912</v>
      </c>
      <c r="B45" s="2837"/>
      <c r="C45" s="7"/>
      <c r="D45" s="7"/>
      <c r="E45" s="7"/>
      <c r="F45" s="6"/>
      <c r="G45" s="6"/>
      <c r="H45" s="6"/>
      <c r="I45" s="7"/>
      <c r="J45" s="7"/>
      <c r="K45" s="7"/>
      <c r="L45" s="7"/>
      <c r="M45" s="7"/>
      <c r="N45" s="2752"/>
      <c r="Z45" s="1373"/>
      <c r="AA45" s="1373"/>
      <c r="AB45" s="1373"/>
      <c r="AC45" s="1373"/>
      <c r="AD45" s="1373"/>
      <c r="AE45" s="1373"/>
      <c r="AF45" s="1373"/>
      <c r="AG45" s="1373"/>
      <c r="AH45" s="1373"/>
      <c r="AI45" s="1373"/>
      <c r="AJ45" s="1373"/>
    </row>
    <row r="46" spans="1:37" s="1372" customFormat="1" ht="15">
      <c r="A46" s="2838" t="s">
        <v>2913</v>
      </c>
      <c r="B46" s="2839">
        <f>1+E48</f>
        <v>1.0901000000000001</v>
      </c>
      <c r="C46" s="2840"/>
      <c r="D46" s="813"/>
      <c r="E46" s="814"/>
      <c r="F46" s="2841"/>
      <c r="G46" s="6"/>
      <c r="H46" s="7"/>
      <c r="I46" s="7"/>
      <c r="J46" s="7"/>
      <c r="K46" s="7"/>
      <c r="L46" s="7"/>
      <c r="M46" s="7"/>
      <c r="N46" s="2752"/>
      <c r="Z46" s="1373"/>
      <c r="AA46" s="1373"/>
      <c r="AB46" s="1373"/>
      <c r="AC46" s="1373"/>
      <c r="AD46" s="1373"/>
      <c r="AE46" s="1373"/>
      <c r="AF46" s="1373"/>
      <c r="AG46" s="1373"/>
      <c r="AH46" s="1373"/>
      <c r="AI46" s="1373"/>
      <c r="AJ46" s="1373"/>
    </row>
    <row r="47" spans="1:37" s="1372" customFormat="1" ht="24.75">
      <c r="A47" s="2842" t="s">
        <v>2914</v>
      </c>
      <c r="B47" s="3019" t="s">
        <v>2915</v>
      </c>
      <c r="C47" s="3019" t="s">
        <v>2916</v>
      </c>
      <c r="D47" s="3019" t="s">
        <v>2917</v>
      </c>
      <c r="E47" s="818" t="s">
        <v>2918</v>
      </c>
      <c r="F47" s="2843" t="s">
        <v>2919</v>
      </c>
      <c r="G47" s="3019" t="s">
        <v>754</v>
      </c>
      <c r="H47" s="2844" t="s">
        <v>2920</v>
      </c>
      <c r="I47" s="3019" t="s">
        <v>2921</v>
      </c>
      <c r="J47" s="602" t="s">
        <v>2568</v>
      </c>
      <c r="K47" s="602" t="s">
        <v>2569</v>
      </c>
      <c r="L47" s="602" t="s">
        <v>2570</v>
      </c>
      <c r="M47" s="602" t="s">
        <v>2571</v>
      </c>
      <c r="N47" s="602" t="s">
        <v>2572</v>
      </c>
      <c r="AA47" s="1373"/>
      <c r="AB47" s="1373"/>
      <c r="AC47" s="1373"/>
      <c r="AD47" s="1373"/>
      <c r="AE47" s="1373"/>
      <c r="AF47" s="1373"/>
      <c r="AG47" s="1373"/>
      <c r="AH47" s="1373"/>
      <c r="AI47" s="1373"/>
      <c r="AJ47" s="1373"/>
      <c r="AK47" s="1373"/>
    </row>
    <row r="48" spans="1:37" s="1372" customFormat="1" ht="24.75">
      <c r="A48" s="2842" t="s">
        <v>2922</v>
      </c>
      <c r="B48" s="2845" t="str">
        <f>估价对象房地状况!C4</f>
        <v>好</v>
      </c>
      <c r="C48" s="2734" t="s">
        <v>3363</v>
      </c>
      <c r="D48" s="1288">
        <f t="shared" ref="D48:D56" si="10">SUMIF($J$47:$N$47,C48,J48:N48)</f>
        <v>3.2599999999999997E-2</v>
      </c>
      <c r="E48" s="820">
        <f>ROUND(SUM(D48:D56),4)</f>
        <v>9.01E-2</v>
      </c>
      <c r="F48" s="2465">
        <f>IF(E2="商业",SUMIF(L1:L12,G2,N1:N12),"——")</f>
        <v>9.9000000000000005E-2</v>
      </c>
      <c r="G48" s="1286">
        <f>H48</f>
        <v>1.6299999999999999E-2</v>
      </c>
      <c r="H48" s="1290">
        <f t="shared" ref="H48:H56" si="11">IFERROR(ROUNDDOWN($F$48*I48/2,4),"——")</f>
        <v>1.6299999999999999E-2</v>
      </c>
      <c r="I48" s="819">
        <v>0.33</v>
      </c>
      <c r="J48" s="1287">
        <f t="shared" ref="J48:J56" si="12">K48+$G48</f>
        <v>3.2599999999999997E-2</v>
      </c>
      <c r="K48" s="1287">
        <f t="shared" ref="K48:K56" si="13">$L48+$G48</f>
        <v>1.6299999999999999E-2</v>
      </c>
      <c r="L48" s="1287">
        <v>0</v>
      </c>
      <c r="M48" s="1287">
        <f t="shared" ref="M48:N56" si="14">L48-$G48</f>
        <v>-1.6299999999999999E-2</v>
      </c>
      <c r="N48" s="1287">
        <f t="shared" si="14"/>
        <v>-3.2599999999999997E-2</v>
      </c>
      <c r="AA48" s="1373"/>
      <c r="AB48" s="1373"/>
      <c r="AC48" s="1373"/>
      <c r="AD48" s="1373"/>
      <c r="AE48" s="1373"/>
      <c r="AF48" s="1373"/>
      <c r="AG48" s="1373"/>
      <c r="AH48" s="1373"/>
      <c r="AI48" s="1373"/>
      <c r="AJ48" s="1373"/>
      <c r="AK48" s="1373"/>
    </row>
    <row r="49" spans="1:37" s="1372" customFormat="1" ht="14.25">
      <c r="A49" s="2842" t="s">
        <v>2923</v>
      </c>
      <c r="B49" s="2846" t="str">
        <f>估价对象房地状况!C18</f>
        <v>好</v>
      </c>
      <c r="C49" s="2734" t="s">
        <v>3363</v>
      </c>
      <c r="D49" s="1288">
        <f t="shared" si="10"/>
        <v>2.46E-2</v>
      </c>
      <c r="E49" s="821"/>
      <c r="F49" s="2465"/>
      <c r="G49" s="1286">
        <f t="shared" ref="G49:G56" si="15">H49</f>
        <v>1.23E-2</v>
      </c>
      <c r="H49" s="1290">
        <f t="shared" si="11"/>
        <v>1.23E-2</v>
      </c>
      <c r="I49" s="819">
        <v>0.25</v>
      </c>
      <c r="J49" s="1287">
        <f t="shared" si="12"/>
        <v>2.46E-2</v>
      </c>
      <c r="K49" s="1287">
        <f t="shared" si="13"/>
        <v>1.23E-2</v>
      </c>
      <c r="L49" s="1287">
        <v>0</v>
      </c>
      <c r="M49" s="1287">
        <f t="shared" si="14"/>
        <v>-1.23E-2</v>
      </c>
      <c r="N49" s="1287">
        <f t="shared" si="14"/>
        <v>-2.46E-2</v>
      </c>
      <c r="AA49" s="1373"/>
      <c r="AB49" s="1373"/>
      <c r="AC49" s="1373"/>
      <c r="AD49" s="1373"/>
      <c r="AE49" s="1373"/>
      <c r="AF49" s="1373"/>
      <c r="AG49" s="1373"/>
      <c r="AH49" s="1373"/>
      <c r="AI49" s="1373"/>
      <c r="AJ49" s="1373"/>
      <c r="AK49" s="1373"/>
    </row>
    <row r="50" spans="1:37" s="1372" customFormat="1" ht="24">
      <c r="A50" s="2842" t="s">
        <v>2924</v>
      </c>
      <c r="B50" s="2846" t="str">
        <f>估价对象房地状况!C19</f>
        <v>一致</v>
      </c>
      <c r="C50" s="2734" t="s">
        <v>3363</v>
      </c>
      <c r="D50" s="1288">
        <f t="shared" si="10"/>
        <v>4.7999999999999996E-3</v>
      </c>
      <c r="E50" s="821"/>
      <c r="F50" s="2465"/>
      <c r="G50" s="1286">
        <f t="shared" si="15"/>
        <v>2.3999999999999998E-3</v>
      </c>
      <c r="H50" s="1290">
        <f t="shared" si="11"/>
        <v>2.3999999999999998E-3</v>
      </c>
      <c r="I50" s="819">
        <v>0.05</v>
      </c>
      <c r="J50" s="1287">
        <f t="shared" si="12"/>
        <v>4.7999999999999996E-3</v>
      </c>
      <c r="K50" s="1287">
        <f t="shared" si="13"/>
        <v>2.3999999999999998E-3</v>
      </c>
      <c r="L50" s="1287">
        <v>0</v>
      </c>
      <c r="M50" s="1287">
        <f t="shared" si="14"/>
        <v>-2.3999999999999998E-3</v>
      </c>
      <c r="N50" s="1287">
        <f t="shared" si="14"/>
        <v>-4.7999999999999996E-3</v>
      </c>
      <c r="AA50" s="1373"/>
      <c r="AB50" s="1373"/>
      <c r="AC50" s="1373"/>
      <c r="AD50" s="1373"/>
      <c r="AE50" s="1373"/>
      <c r="AF50" s="1373"/>
      <c r="AG50" s="1373"/>
      <c r="AH50" s="1373"/>
      <c r="AI50" s="1373"/>
      <c r="AJ50" s="1373"/>
      <c r="AK50" s="1373"/>
    </row>
    <row r="51" spans="1:37" s="1372" customFormat="1" ht="36.75">
      <c r="A51" s="2842" t="s">
        <v>2925</v>
      </c>
      <c r="B51" s="2847" t="s">
        <v>2926</v>
      </c>
      <c r="C51" s="2734" t="s">
        <v>3362</v>
      </c>
      <c r="D51" s="1288">
        <f t="shared" si="10"/>
        <v>2.3999999999999998E-3</v>
      </c>
      <c r="E51" s="821"/>
      <c r="F51" s="2465"/>
      <c r="G51" s="1286">
        <f t="shared" si="15"/>
        <v>2.3999999999999998E-3</v>
      </c>
      <c r="H51" s="1290">
        <f t="shared" si="11"/>
        <v>2.3999999999999998E-3</v>
      </c>
      <c r="I51" s="819">
        <v>0.05</v>
      </c>
      <c r="J51" s="1287">
        <f t="shared" si="12"/>
        <v>4.7999999999999996E-3</v>
      </c>
      <c r="K51" s="1287">
        <f t="shared" si="13"/>
        <v>2.3999999999999998E-3</v>
      </c>
      <c r="L51" s="1287">
        <v>0</v>
      </c>
      <c r="M51" s="1287">
        <f t="shared" si="14"/>
        <v>-2.3999999999999998E-3</v>
      </c>
      <c r="N51" s="1287">
        <f t="shared" si="14"/>
        <v>-4.7999999999999996E-3</v>
      </c>
      <c r="AA51" s="1373"/>
      <c r="AB51" s="1373"/>
      <c r="AC51" s="1373"/>
      <c r="AD51" s="1373"/>
      <c r="AE51" s="1373"/>
      <c r="AF51" s="1373"/>
      <c r="AG51" s="1373"/>
      <c r="AH51" s="1373"/>
      <c r="AI51" s="1373"/>
      <c r="AJ51" s="1373"/>
      <c r="AK51" s="1373"/>
    </row>
    <row r="52" spans="1:37" s="1372" customFormat="1" ht="24">
      <c r="A52" s="2842" t="s">
        <v>2927</v>
      </c>
      <c r="B52" s="2846" t="str">
        <f>估价对象房地状况!C24</f>
        <v>主干道</v>
      </c>
      <c r="C52" s="2734" t="s">
        <v>3362</v>
      </c>
      <c r="D52" s="1288">
        <f t="shared" si="10"/>
        <v>3.8999999999999998E-3</v>
      </c>
      <c r="E52" s="821"/>
      <c r="F52" s="2465"/>
      <c r="G52" s="1286">
        <f t="shared" si="15"/>
        <v>3.8999999999999998E-3</v>
      </c>
      <c r="H52" s="1290">
        <f t="shared" si="11"/>
        <v>3.8999999999999998E-3</v>
      </c>
      <c r="I52" s="819">
        <v>0.08</v>
      </c>
      <c r="J52" s="1287">
        <f t="shared" si="12"/>
        <v>7.7999999999999996E-3</v>
      </c>
      <c r="K52" s="1287">
        <f t="shared" si="13"/>
        <v>3.8999999999999998E-3</v>
      </c>
      <c r="L52" s="1287">
        <v>0</v>
      </c>
      <c r="M52" s="1287">
        <f t="shared" si="14"/>
        <v>-3.8999999999999998E-3</v>
      </c>
      <c r="N52" s="1287">
        <f t="shared" si="14"/>
        <v>-7.7999999999999996E-3</v>
      </c>
      <c r="AA52" s="1373"/>
      <c r="AB52" s="1373"/>
      <c r="AC52" s="1373"/>
      <c r="AD52" s="1373"/>
      <c r="AE52" s="1373"/>
      <c r="AF52" s="1373"/>
      <c r="AG52" s="1373"/>
      <c r="AH52" s="1373"/>
      <c r="AI52" s="1373"/>
      <c r="AJ52" s="1373"/>
      <c r="AK52" s="1373"/>
    </row>
    <row r="53" spans="1:37" s="1372" customFormat="1" ht="24">
      <c r="A53" s="2842" t="s">
        <v>2928</v>
      </c>
      <c r="B53" s="2848" t="s">
        <v>2929</v>
      </c>
      <c r="C53" s="2734" t="s">
        <v>3362</v>
      </c>
      <c r="D53" s="1288">
        <f t="shared" si="10"/>
        <v>1.4E-3</v>
      </c>
      <c r="E53" s="821"/>
      <c r="F53" s="2465"/>
      <c r="G53" s="1286">
        <f t="shared" si="15"/>
        <v>1.4E-3</v>
      </c>
      <c r="H53" s="1290">
        <f t="shared" si="11"/>
        <v>1.4E-3</v>
      </c>
      <c r="I53" s="819">
        <v>0.03</v>
      </c>
      <c r="J53" s="1287">
        <f t="shared" si="12"/>
        <v>2.8E-3</v>
      </c>
      <c r="K53" s="1287">
        <f t="shared" si="13"/>
        <v>1.4E-3</v>
      </c>
      <c r="L53" s="1287">
        <v>0</v>
      </c>
      <c r="M53" s="1287">
        <f t="shared" si="14"/>
        <v>-1.4E-3</v>
      </c>
      <c r="N53" s="1287">
        <f t="shared" si="14"/>
        <v>-2.8E-3</v>
      </c>
      <c r="AA53" s="1373"/>
      <c r="AB53" s="1373"/>
      <c r="AC53" s="1373"/>
      <c r="AD53" s="1373"/>
      <c r="AE53" s="1373"/>
      <c r="AF53" s="1373"/>
      <c r="AG53" s="1373"/>
      <c r="AH53" s="1373"/>
      <c r="AI53" s="1373"/>
      <c r="AJ53" s="1373"/>
      <c r="AK53" s="1373"/>
    </row>
    <row r="54" spans="1:37" s="1372" customFormat="1" ht="24">
      <c r="A54" s="2849" t="s">
        <v>2930</v>
      </c>
      <c r="B54" s="1727" t="str">
        <f>估价对象房地状况!C21</f>
        <v>好</v>
      </c>
      <c r="C54" s="2734" t="s">
        <v>3363</v>
      </c>
      <c r="D54" s="1288">
        <f t="shared" si="10"/>
        <v>4.7999999999999996E-3</v>
      </c>
      <c r="E54" s="821"/>
      <c r="F54" s="2465"/>
      <c r="G54" s="1286">
        <f t="shared" si="15"/>
        <v>2.3999999999999998E-3</v>
      </c>
      <c r="H54" s="1290">
        <f t="shared" si="11"/>
        <v>2.3999999999999998E-3</v>
      </c>
      <c r="I54" s="819">
        <v>0.05</v>
      </c>
      <c r="J54" s="1287">
        <f t="shared" si="12"/>
        <v>4.7999999999999996E-3</v>
      </c>
      <c r="K54" s="1287">
        <f t="shared" si="13"/>
        <v>2.3999999999999998E-3</v>
      </c>
      <c r="L54" s="1287">
        <v>0</v>
      </c>
      <c r="M54" s="1287">
        <f t="shared" si="14"/>
        <v>-2.3999999999999998E-3</v>
      </c>
      <c r="N54" s="1287">
        <f t="shared" si="14"/>
        <v>-4.7999999999999996E-3</v>
      </c>
      <c r="AA54" s="1373"/>
      <c r="AB54" s="1373"/>
      <c r="AC54" s="1373"/>
      <c r="AD54" s="1373"/>
      <c r="AE54" s="1373"/>
      <c r="AF54" s="1373"/>
      <c r="AG54" s="1373"/>
      <c r="AH54" s="1373"/>
      <c r="AI54" s="1373"/>
      <c r="AJ54" s="1373"/>
      <c r="AK54" s="1373"/>
    </row>
    <row r="55" spans="1:37" s="1372" customFormat="1" ht="24">
      <c r="A55" s="2849" t="s">
        <v>2931</v>
      </c>
      <c r="B55" s="2846" t="str">
        <f>估价对象房地状况!C22</f>
        <v>七通</v>
      </c>
      <c r="C55" s="2734" t="s">
        <v>3363</v>
      </c>
      <c r="D55" s="1288">
        <f t="shared" si="10"/>
        <v>9.7999999999999997E-3</v>
      </c>
      <c r="E55" s="821"/>
      <c r="F55" s="2465"/>
      <c r="G55" s="1286">
        <f t="shared" si="15"/>
        <v>4.8999999999999998E-3</v>
      </c>
      <c r="H55" s="1290">
        <f t="shared" si="11"/>
        <v>4.8999999999999998E-3</v>
      </c>
      <c r="I55" s="819">
        <v>0.1</v>
      </c>
      <c r="J55" s="1287">
        <f t="shared" si="12"/>
        <v>9.7999999999999997E-3</v>
      </c>
      <c r="K55" s="1287">
        <f t="shared" si="13"/>
        <v>4.8999999999999998E-3</v>
      </c>
      <c r="L55" s="1287">
        <v>0</v>
      </c>
      <c r="M55" s="1287">
        <f t="shared" si="14"/>
        <v>-4.8999999999999998E-3</v>
      </c>
      <c r="N55" s="1287">
        <f t="shared" si="14"/>
        <v>-9.7999999999999997E-3</v>
      </c>
      <c r="AA55" s="1373"/>
      <c r="AB55" s="1373"/>
      <c r="AC55" s="1373"/>
      <c r="AD55" s="1373"/>
      <c r="AE55" s="1373"/>
      <c r="AF55" s="1373"/>
      <c r="AG55" s="1373"/>
      <c r="AH55" s="1373"/>
      <c r="AI55" s="1373"/>
      <c r="AJ55" s="1373"/>
      <c r="AK55" s="1373"/>
    </row>
    <row r="56" spans="1:37" s="1372" customFormat="1" ht="24.75" thickBot="1">
      <c r="A56" s="2850" t="s">
        <v>2932</v>
      </c>
      <c r="B56" s="2851" t="str">
        <f>估价对象房地状况!C20</f>
        <v>好</v>
      </c>
      <c r="C56" s="2734" t="s">
        <v>3363</v>
      </c>
      <c r="D56" s="1288">
        <f t="shared" si="10"/>
        <v>5.7999999999999996E-3</v>
      </c>
      <c r="E56" s="824"/>
      <c r="F56" s="2465"/>
      <c r="G56" s="1286">
        <f t="shared" si="15"/>
        <v>2.8999999999999998E-3</v>
      </c>
      <c r="H56" s="1290">
        <f t="shared" si="11"/>
        <v>2.8999999999999998E-3</v>
      </c>
      <c r="I56" s="823">
        <v>0.06</v>
      </c>
      <c r="J56" s="1287">
        <f t="shared" si="12"/>
        <v>5.7999999999999996E-3</v>
      </c>
      <c r="K56" s="1287">
        <f t="shared" si="13"/>
        <v>2.8999999999999998E-3</v>
      </c>
      <c r="L56" s="1287">
        <v>0</v>
      </c>
      <c r="M56" s="1287">
        <f t="shared" si="14"/>
        <v>-2.8999999999999998E-3</v>
      </c>
      <c r="N56" s="1287">
        <f t="shared" si="14"/>
        <v>-5.7999999999999996E-3</v>
      </c>
      <c r="AA56" s="1373"/>
      <c r="AB56" s="1373"/>
      <c r="AC56" s="1373"/>
      <c r="AD56" s="1373"/>
      <c r="AE56" s="1373"/>
      <c r="AF56" s="1373"/>
      <c r="AG56" s="1373"/>
      <c r="AH56" s="1373"/>
      <c r="AI56" s="1373"/>
      <c r="AJ56" s="1373"/>
      <c r="AK56" s="1373"/>
    </row>
    <row r="57" spans="1:37" s="1372" customFormat="1" ht="15">
      <c r="A57" s="2838" t="s">
        <v>2933</v>
      </c>
      <c r="B57" s="2839" t="e">
        <f>1+E59</f>
        <v>#VALUE!</v>
      </c>
      <c r="C57" s="813"/>
      <c r="D57" s="813"/>
      <c r="E57" s="814"/>
      <c r="F57" s="2841"/>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42" t="s">
        <v>2914</v>
      </c>
      <c r="B58" s="3019"/>
      <c r="C58" s="3019" t="s">
        <v>2916</v>
      </c>
      <c r="D58" s="3019" t="s">
        <v>2917</v>
      </c>
      <c r="E58" s="818" t="s">
        <v>2918</v>
      </c>
      <c r="F58" s="2843" t="s">
        <v>2934</v>
      </c>
      <c r="G58" s="3019" t="s">
        <v>754</v>
      </c>
      <c r="H58" s="2844" t="s">
        <v>2920</v>
      </c>
      <c r="I58" s="3019" t="s">
        <v>2921</v>
      </c>
      <c r="J58" s="602" t="s">
        <v>2568</v>
      </c>
      <c r="K58" s="602" t="s">
        <v>2569</v>
      </c>
      <c r="L58" s="602" t="s">
        <v>2570</v>
      </c>
      <c r="M58" s="602" t="s">
        <v>2571</v>
      </c>
      <c r="N58" s="602" t="s">
        <v>2572</v>
      </c>
      <c r="AA58" s="1373"/>
      <c r="AB58" s="1373"/>
      <c r="AC58" s="1373"/>
      <c r="AD58" s="1373"/>
      <c r="AE58" s="1373"/>
      <c r="AF58" s="1373"/>
      <c r="AG58" s="1373"/>
      <c r="AH58" s="1373"/>
      <c r="AI58" s="1373"/>
      <c r="AJ58" s="1373"/>
      <c r="AK58" s="1373"/>
    </row>
    <row r="59" spans="1:37" s="1372" customFormat="1" ht="24">
      <c r="A59" s="2842" t="s">
        <v>2935</v>
      </c>
      <c r="B59" s="2845" t="str">
        <f>估价对象房地状况!C17</f>
        <v>好</v>
      </c>
      <c r="C59" s="2734" t="s">
        <v>3363</v>
      </c>
      <c r="D59" s="1288" t="e">
        <f t="shared" ref="D59:D67" si="16">SUMIF($J$58:$N$58,C59,J59:N59)</f>
        <v>#VALUE!</v>
      </c>
      <c r="E59" s="820" t="e">
        <f>ROUND(SUM(D59:D67),4)</f>
        <v>#VALUE!</v>
      </c>
      <c r="F59" s="2465" t="str">
        <f>IF(E2="办公",SUMIF(L1:L12,G2,N1:N12),"——")</f>
        <v>——</v>
      </c>
      <c r="G59" s="1286" t="str">
        <f>H59</f>
        <v>——</v>
      </c>
      <c r="H59" s="1290" t="str">
        <f t="shared" ref="H59:H67" si="17">IFERROR(ROUNDDOWN($F$59*I59/2,4),"——")</f>
        <v>——</v>
      </c>
      <c r="I59" s="819">
        <v>0.24</v>
      </c>
      <c r="J59" s="1287" t="e">
        <f t="shared" ref="J59:J67" si="18">K59+$G59</f>
        <v>#VALUE!</v>
      </c>
      <c r="K59" s="1287" t="e">
        <f t="shared" ref="K59:K67" si="19">$L59+$G59</f>
        <v>#VALUE!</v>
      </c>
      <c r="L59" s="1287">
        <v>0</v>
      </c>
      <c r="M59" s="1287" t="e">
        <f t="shared" ref="M59:N67" si="20">L59-$G59</f>
        <v>#VALUE!</v>
      </c>
      <c r="N59" s="1287" t="e">
        <f t="shared" si="20"/>
        <v>#VALUE!</v>
      </c>
      <c r="AA59" s="1373"/>
      <c r="AB59" s="1373"/>
      <c r="AC59" s="1373"/>
      <c r="AD59" s="1373"/>
      <c r="AE59" s="1373"/>
      <c r="AF59" s="1373"/>
      <c r="AG59" s="1373"/>
      <c r="AH59" s="1373"/>
      <c r="AI59" s="1373"/>
      <c r="AJ59" s="1373"/>
      <c r="AK59" s="1373"/>
    </row>
    <row r="60" spans="1:37" s="1372" customFormat="1" ht="14.25">
      <c r="A60" s="2842" t="s">
        <v>2923</v>
      </c>
      <c r="B60" s="2846" t="str">
        <f>估价对象房地状况!C18</f>
        <v>好</v>
      </c>
      <c r="C60" s="2734" t="s">
        <v>3363</v>
      </c>
      <c r="D60" s="1288" t="e">
        <f t="shared" si="16"/>
        <v>#VALUE!</v>
      </c>
      <c r="E60" s="821"/>
      <c r="F60" s="2465"/>
      <c r="G60" s="1286" t="str">
        <f t="shared" ref="G60:G67" si="21">H60</f>
        <v>——</v>
      </c>
      <c r="H60" s="1290" t="str">
        <f t="shared" si="17"/>
        <v>——</v>
      </c>
      <c r="I60" s="819">
        <v>0.3</v>
      </c>
      <c r="J60" s="1287" t="e">
        <f t="shared" si="18"/>
        <v>#VALUE!</v>
      </c>
      <c r="K60" s="1287" t="e">
        <f t="shared" si="19"/>
        <v>#VALUE!</v>
      </c>
      <c r="L60" s="1287">
        <v>0</v>
      </c>
      <c r="M60" s="1287" t="e">
        <f t="shared" si="20"/>
        <v>#VALUE!</v>
      </c>
      <c r="N60" s="1287" t="e">
        <f t="shared" si="20"/>
        <v>#VALUE!</v>
      </c>
      <c r="AA60" s="1373"/>
      <c r="AB60" s="1373"/>
      <c r="AC60" s="1373"/>
      <c r="AD60" s="1373"/>
      <c r="AE60" s="1373"/>
      <c r="AF60" s="1373"/>
      <c r="AG60" s="1373"/>
      <c r="AH60" s="1373"/>
      <c r="AI60" s="1373"/>
      <c r="AJ60" s="1373"/>
      <c r="AK60" s="1373"/>
    </row>
    <row r="61" spans="1:37" s="1372" customFormat="1" ht="24">
      <c r="A61" s="2842" t="s">
        <v>2924</v>
      </c>
      <c r="B61" s="2846" t="str">
        <f>估价对象房地状况!C19</f>
        <v>一致</v>
      </c>
      <c r="C61" s="2734" t="s">
        <v>3363</v>
      </c>
      <c r="D61" s="1288" t="e">
        <f t="shared" si="16"/>
        <v>#VALUE!</v>
      </c>
      <c r="E61" s="821"/>
      <c r="F61" s="2465"/>
      <c r="G61" s="1286" t="str">
        <f t="shared" si="21"/>
        <v>——</v>
      </c>
      <c r="H61" s="1290" t="str">
        <f t="shared" si="17"/>
        <v>——</v>
      </c>
      <c r="I61" s="819">
        <v>0.08</v>
      </c>
      <c r="J61" s="1287" t="e">
        <f t="shared" si="18"/>
        <v>#VALUE!</v>
      </c>
      <c r="K61" s="1287" t="e">
        <f t="shared" si="19"/>
        <v>#VALUE!</v>
      </c>
      <c r="L61" s="1287">
        <v>0</v>
      </c>
      <c r="M61" s="1287" t="e">
        <f t="shared" si="20"/>
        <v>#VALUE!</v>
      </c>
      <c r="N61" s="1287" t="e">
        <f t="shared" si="20"/>
        <v>#VALUE!</v>
      </c>
      <c r="AA61" s="1373"/>
      <c r="AB61" s="1373"/>
      <c r="AC61" s="1373"/>
      <c r="AD61" s="1373"/>
      <c r="AE61" s="1373"/>
      <c r="AF61" s="1373"/>
      <c r="AG61" s="1373"/>
      <c r="AH61" s="1373"/>
      <c r="AI61" s="1373"/>
      <c r="AJ61" s="1373"/>
      <c r="AK61" s="1373"/>
    </row>
    <row r="62" spans="1:37" s="1372" customFormat="1" ht="24">
      <c r="A62" s="2842" t="s">
        <v>2925</v>
      </c>
      <c r="B62" s="2847"/>
      <c r="C62" s="2734" t="s">
        <v>3362</v>
      </c>
      <c r="D62" s="1288" t="e">
        <f t="shared" si="16"/>
        <v>#VALUE!</v>
      </c>
      <c r="E62" s="821"/>
      <c r="F62" s="2465"/>
      <c r="G62" s="1286" t="str">
        <f t="shared" si="21"/>
        <v>——</v>
      </c>
      <c r="H62" s="1290" t="str">
        <f t="shared" si="17"/>
        <v>——</v>
      </c>
      <c r="I62" s="819">
        <v>0.04</v>
      </c>
      <c r="J62" s="1287" t="e">
        <f t="shared" si="18"/>
        <v>#VALUE!</v>
      </c>
      <c r="K62" s="1287" t="e">
        <f t="shared" si="19"/>
        <v>#VALUE!</v>
      </c>
      <c r="L62" s="1287">
        <v>0</v>
      </c>
      <c r="M62" s="1287" t="e">
        <f t="shared" si="20"/>
        <v>#VALUE!</v>
      </c>
      <c r="N62" s="1287" t="e">
        <f t="shared" si="20"/>
        <v>#VALUE!</v>
      </c>
      <c r="AA62" s="1373"/>
      <c r="AB62" s="1373"/>
      <c r="AC62" s="1373"/>
      <c r="AD62" s="1373"/>
      <c r="AE62" s="1373"/>
      <c r="AF62" s="1373"/>
      <c r="AG62" s="1373"/>
      <c r="AH62" s="1373"/>
      <c r="AI62" s="1373"/>
      <c r="AJ62" s="1373"/>
      <c r="AK62" s="1373"/>
    </row>
    <row r="63" spans="1:37" s="1372" customFormat="1" ht="24">
      <c r="A63" s="2842" t="s">
        <v>2927</v>
      </c>
      <c r="B63" s="2846" t="str">
        <f>估价对象房地状况!C24</f>
        <v>主干道</v>
      </c>
      <c r="C63" s="2734" t="s">
        <v>3362</v>
      </c>
      <c r="D63" s="1288" t="e">
        <f t="shared" si="16"/>
        <v>#VALUE!</v>
      </c>
      <c r="E63" s="821"/>
      <c r="F63" s="2465"/>
      <c r="G63" s="1286" t="str">
        <f t="shared" si="21"/>
        <v>——</v>
      </c>
      <c r="H63" s="1290" t="str">
        <f t="shared" si="17"/>
        <v>——</v>
      </c>
      <c r="I63" s="819">
        <v>0.05</v>
      </c>
      <c r="J63" s="1287" t="e">
        <f t="shared" si="18"/>
        <v>#VALUE!</v>
      </c>
      <c r="K63" s="1287" t="e">
        <f t="shared" si="19"/>
        <v>#VALUE!</v>
      </c>
      <c r="L63" s="1287">
        <v>0</v>
      </c>
      <c r="M63" s="1287" t="e">
        <f t="shared" si="20"/>
        <v>#VALUE!</v>
      </c>
      <c r="N63" s="1287" t="e">
        <f t="shared" si="20"/>
        <v>#VALUE!</v>
      </c>
      <c r="AA63" s="1373"/>
      <c r="AB63" s="1373"/>
      <c r="AC63" s="1373"/>
      <c r="AD63" s="1373"/>
      <c r="AE63" s="1373"/>
      <c r="AF63" s="1373"/>
      <c r="AG63" s="1373"/>
      <c r="AH63" s="1373"/>
      <c r="AI63" s="1373"/>
      <c r="AJ63" s="1373"/>
      <c r="AK63" s="1373"/>
    </row>
    <row r="64" spans="1:37" s="1372" customFormat="1" ht="24">
      <c r="A64" s="2842" t="s">
        <v>2928</v>
      </c>
      <c r="B64" s="2848"/>
      <c r="C64" s="2734" t="s">
        <v>3362</v>
      </c>
      <c r="D64" s="1288" t="e">
        <f t="shared" si="16"/>
        <v>#VALUE!</v>
      </c>
      <c r="E64" s="821"/>
      <c r="F64" s="2465"/>
      <c r="G64" s="1286" t="str">
        <f t="shared" si="21"/>
        <v>——</v>
      </c>
      <c r="H64" s="1290" t="str">
        <f t="shared" si="17"/>
        <v>——</v>
      </c>
      <c r="I64" s="819">
        <v>0.05</v>
      </c>
      <c r="J64" s="1287" t="e">
        <f t="shared" si="18"/>
        <v>#VALUE!</v>
      </c>
      <c r="K64" s="1287" t="e">
        <f t="shared" si="19"/>
        <v>#VALUE!</v>
      </c>
      <c r="L64" s="1287">
        <v>0</v>
      </c>
      <c r="M64" s="1287" t="e">
        <f t="shared" si="20"/>
        <v>#VALUE!</v>
      </c>
      <c r="N64" s="1287" t="e">
        <f t="shared" si="20"/>
        <v>#VALUE!</v>
      </c>
      <c r="AA64" s="1373"/>
      <c r="AB64" s="1373"/>
      <c r="AC64" s="1373"/>
      <c r="AD64" s="1373"/>
      <c r="AE64" s="1373"/>
      <c r="AF64" s="1373"/>
      <c r="AG64" s="1373"/>
      <c r="AH64" s="1373"/>
      <c r="AI64" s="1373"/>
      <c r="AJ64" s="1373"/>
      <c r="AK64" s="1373"/>
    </row>
    <row r="65" spans="1:37" s="1372" customFormat="1" ht="24">
      <c r="A65" s="2842" t="s">
        <v>2930</v>
      </c>
      <c r="B65" s="1727" t="str">
        <f>估价对象房地状况!C21</f>
        <v>好</v>
      </c>
      <c r="C65" s="2734" t="s">
        <v>3363</v>
      </c>
      <c r="D65" s="1288" t="e">
        <f t="shared" si="16"/>
        <v>#VALUE!</v>
      </c>
      <c r="E65" s="821"/>
      <c r="F65" s="2465"/>
      <c r="G65" s="1286" t="str">
        <f t="shared" si="21"/>
        <v>——</v>
      </c>
      <c r="H65" s="1290" t="str">
        <f t="shared" si="17"/>
        <v>——</v>
      </c>
      <c r="I65" s="819">
        <v>0.06</v>
      </c>
      <c r="J65" s="1287" t="e">
        <f t="shared" si="18"/>
        <v>#VALUE!</v>
      </c>
      <c r="K65" s="1287" t="e">
        <f t="shared" si="19"/>
        <v>#VALUE!</v>
      </c>
      <c r="L65" s="1287">
        <v>0</v>
      </c>
      <c r="M65" s="1287" t="e">
        <f t="shared" si="20"/>
        <v>#VALUE!</v>
      </c>
      <c r="N65" s="1287" t="e">
        <f t="shared" si="20"/>
        <v>#VALUE!</v>
      </c>
      <c r="AA65" s="1373"/>
      <c r="AB65" s="1373"/>
      <c r="AC65" s="1373"/>
      <c r="AD65" s="1373"/>
      <c r="AE65" s="1373"/>
      <c r="AF65" s="1373"/>
      <c r="AG65" s="1373"/>
      <c r="AH65" s="1373"/>
      <c r="AI65" s="1373"/>
      <c r="AJ65" s="1373"/>
      <c r="AK65" s="1373"/>
    </row>
    <row r="66" spans="1:37" s="1372" customFormat="1" ht="24">
      <c r="A66" s="2842" t="s">
        <v>2931</v>
      </c>
      <c r="B66" s="1727" t="str">
        <f>估价对象房地状况!C22</f>
        <v>七通</v>
      </c>
      <c r="C66" s="2734" t="s">
        <v>3363</v>
      </c>
      <c r="D66" s="1288" t="e">
        <f t="shared" si="16"/>
        <v>#VALUE!</v>
      </c>
      <c r="E66" s="821"/>
      <c r="F66" s="2465"/>
      <c r="G66" s="1286" t="str">
        <f t="shared" si="21"/>
        <v>——</v>
      </c>
      <c r="H66" s="1290" t="str">
        <f t="shared" si="17"/>
        <v>——</v>
      </c>
      <c r="I66" s="819">
        <v>0.12</v>
      </c>
      <c r="J66" s="1287" t="e">
        <f t="shared" si="18"/>
        <v>#VALUE!</v>
      </c>
      <c r="K66" s="1287" t="e">
        <f t="shared" si="19"/>
        <v>#VALUE!</v>
      </c>
      <c r="L66" s="1287">
        <v>0</v>
      </c>
      <c r="M66" s="1287" t="e">
        <f t="shared" si="20"/>
        <v>#VALUE!</v>
      </c>
      <c r="N66" s="1287" t="e">
        <f t="shared" si="20"/>
        <v>#VALUE!</v>
      </c>
      <c r="AA66" s="1373"/>
      <c r="AB66" s="1373"/>
      <c r="AC66" s="1373"/>
      <c r="AD66" s="1373"/>
      <c r="AE66" s="1373"/>
      <c r="AF66" s="1373"/>
      <c r="AG66" s="1373"/>
      <c r="AH66" s="1373"/>
      <c r="AI66" s="1373"/>
      <c r="AJ66" s="1373"/>
      <c r="AK66" s="1373"/>
    </row>
    <row r="67" spans="1:37" s="1372" customFormat="1" ht="24.75" thickBot="1">
      <c r="A67" s="2850" t="s">
        <v>2932</v>
      </c>
      <c r="B67" s="2852" t="str">
        <f>估价对象房地状况!C20</f>
        <v>好</v>
      </c>
      <c r="C67" s="2734" t="s">
        <v>3363</v>
      </c>
      <c r="D67" s="1288" t="e">
        <f t="shared" si="16"/>
        <v>#VALUE!</v>
      </c>
      <c r="E67" s="824"/>
      <c r="F67" s="2465"/>
      <c r="G67" s="1286" t="str">
        <f t="shared" si="21"/>
        <v>——</v>
      </c>
      <c r="H67" s="1290" t="str">
        <f t="shared" si="17"/>
        <v>——</v>
      </c>
      <c r="I67" s="823">
        <v>0.06</v>
      </c>
      <c r="J67" s="1287" t="e">
        <f t="shared" si="18"/>
        <v>#VALUE!</v>
      </c>
      <c r="K67" s="1287" t="e">
        <f t="shared" si="19"/>
        <v>#VALUE!</v>
      </c>
      <c r="L67" s="1287">
        <v>0</v>
      </c>
      <c r="M67" s="1287" t="e">
        <f t="shared" si="20"/>
        <v>#VALUE!</v>
      </c>
      <c r="N67" s="1287" t="e">
        <f t="shared" si="20"/>
        <v>#VALUE!</v>
      </c>
      <c r="AA67" s="1373"/>
      <c r="AB67" s="1373"/>
      <c r="AC67" s="1373"/>
      <c r="AD67" s="1373"/>
      <c r="AE67" s="1373"/>
      <c r="AF67" s="1373"/>
      <c r="AG67" s="1373"/>
      <c r="AH67" s="1373"/>
      <c r="AI67" s="1373"/>
      <c r="AJ67" s="1373"/>
      <c r="AK67" s="1373"/>
    </row>
    <row r="68" spans="1:37" s="1372" customFormat="1" ht="15">
      <c r="A68" s="2838" t="s">
        <v>2936</v>
      </c>
      <c r="B68" s="2839">
        <f>1+E70</f>
        <v>1</v>
      </c>
      <c r="C68" s="813"/>
      <c r="D68" s="813"/>
      <c r="E68" s="814"/>
      <c r="F68" s="2841"/>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42" t="s">
        <v>2914</v>
      </c>
      <c r="B69" s="3019"/>
      <c r="C69" s="3019" t="s">
        <v>2916</v>
      </c>
      <c r="D69" s="3019" t="s">
        <v>2917</v>
      </c>
      <c r="E69" s="818" t="s">
        <v>2918</v>
      </c>
      <c r="F69" s="2843" t="s">
        <v>2934</v>
      </c>
      <c r="G69" s="3019" t="s">
        <v>754</v>
      </c>
      <c r="H69" s="2844" t="s">
        <v>2920</v>
      </c>
      <c r="I69" s="3019" t="s">
        <v>2921</v>
      </c>
      <c r="J69" s="602" t="s">
        <v>2568</v>
      </c>
      <c r="K69" s="602" t="s">
        <v>2569</v>
      </c>
      <c r="L69" s="602" t="s">
        <v>2570</v>
      </c>
      <c r="M69" s="602" t="s">
        <v>2571</v>
      </c>
      <c r="N69" s="602" t="s">
        <v>2572</v>
      </c>
      <c r="AA69" s="1373"/>
      <c r="AB69" s="1373"/>
      <c r="AC69" s="1373"/>
      <c r="AD69" s="1373"/>
      <c r="AE69" s="1373"/>
      <c r="AF69" s="1373"/>
      <c r="AG69" s="1373"/>
      <c r="AH69" s="1373"/>
      <c r="AI69" s="1373"/>
      <c r="AJ69" s="1373"/>
      <c r="AK69" s="1373"/>
    </row>
    <row r="70" spans="1:37" s="1372" customFormat="1" ht="24">
      <c r="A70" s="2842" t="s">
        <v>2937</v>
      </c>
      <c r="B70" s="2845">
        <f>估价对象房地状况!C15</f>
        <v>0</v>
      </c>
      <c r="C70" s="2734"/>
      <c r="D70" s="1288">
        <f t="shared" ref="D70:D78" si="22">SUMIF($J$69:$N$69,C70,J70:N70)</f>
        <v>0</v>
      </c>
      <c r="E70" s="820">
        <f>ROUND(SUM(D70:D78),4)</f>
        <v>0</v>
      </c>
      <c r="F70" s="2465" t="str">
        <f>IF(E2="住宅",SUMIF(L1:L12,G2,N1:N12),"——")</f>
        <v>——</v>
      </c>
      <c r="G70" s="1286"/>
      <c r="H70" s="1290" t="str">
        <f t="shared" ref="H70:H78" si="23">IFERROR(ROUNDDOWN($F$70*I70/2,4),"——")</f>
        <v>——</v>
      </c>
      <c r="I70" s="819">
        <v>0.14000000000000001</v>
      </c>
      <c r="J70" s="1287">
        <f t="shared" ref="J70:J78" si="24">K70+$G70</f>
        <v>0</v>
      </c>
      <c r="K70" s="1287">
        <f t="shared" ref="K70:K78" si="25">$L70+$G70</f>
        <v>0</v>
      </c>
      <c r="L70" s="1287">
        <v>0</v>
      </c>
      <c r="M70" s="1287">
        <f t="shared" ref="M70:N78" si="26">L70-$G70</f>
        <v>0</v>
      </c>
      <c r="N70" s="1287">
        <f t="shared" si="26"/>
        <v>0</v>
      </c>
      <c r="AA70" s="1373"/>
      <c r="AB70" s="1373"/>
      <c r="AC70" s="1373"/>
      <c r="AD70" s="1373"/>
      <c r="AE70" s="1373"/>
      <c r="AF70" s="1373"/>
      <c r="AG70" s="1373"/>
      <c r="AH70" s="1373"/>
      <c r="AI70" s="1373"/>
      <c r="AJ70" s="1373"/>
      <c r="AK70" s="1373"/>
    </row>
    <row r="71" spans="1:37" s="1372" customFormat="1" ht="14.25">
      <c r="A71" s="2842" t="s">
        <v>2923</v>
      </c>
      <c r="B71" s="2846" t="str">
        <f>估价对象房地状况!C18</f>
        <v>好</v>
      </c>
      <c r="C71" s="2734"/>
      <c r="D71" s="1288">
        <f t="shared" si="22"/>
        <v>0</v>
      </c>
      <c r="E71" s="825"/>
      <c r="F71" s="2465"/>
      <c r="G71" s="1286"/>
      <c r="H71" s="1290" t="str">
        <f t="shared" si="23"/>
        <v>——</v>
      </c>
      <c r="I71" s="819">
        <v>0.3</v>
      </c>
      <c r="J71" s="1287">
        <f t="shared" si="24"/>
        <v>0</v>
      </c>
      <c r="K71" s="1287">
        <f t="shared" si="25"/>
        <v>0</v>
      </c>
      <c r="L71" s="1287">
        <v>0</v>
      </c>
      <c r="M71" s="1287">
        <f t="shared" si="26"/>
        <v>0</v>
      </c>
      <c r="N71" s="1287">
        <f t="shared" si="26"/>
        <v>0</v>
      </c>
      <c r="AA71" s="1373"/>
      <c r="AB71" s="1373"/>
      <c r="AC71" s="1373"/>
      <c r="AD71" s="1373"/>
      <c r="AE71" s="1373"/>
      <c r="AF71" s="1373"/>
      <c r="AG71" s="1373"/>
      <c r="AH71" s="1373"/>
      <c r="AI71" s="1373"/>
      <c r="AJ71" s="1373"/>
      <c r="AK71" s="1373"/>
    </row>
    <row r="72" spans="1:37" s="1372" customFormat="1" ht="24">
      <c r="A72" s="2842" t="s">
        <v>2924</v>
      </c>
      <c r="B72" s="2846" t="str">
        <f>估价对象房地状况!C19</f>
        <v>一致</v>
      </c>
      <c r="C72" s="2734"/>
      <c r="D72" s="1288">
        <f t="shared" si="22"/>
        <v>0</v>
      </c>
      <c r="E72" s="825"/>
      <c r="F72" s="2465"/>
      <c r="G72" s="1286"/>
      <c r="H72" s="1290" t="str">
        <f t="shared" si="23"/>
        <v>——</v>
      </c>
      <c r="I72" s="819">
        <v>0.08</v>
      </c>
      <c r="J72" s="1287">
        <f t="shared" si="24"/>
        <v>0</v>
      </c>
      <c r="K72" s="1287">
        <f t="shared" si="25"/>
        <v>0</v>
      </c>
      <c r="L72" s="1287">
        <v>0</v>
      </c>
      <c r="M72" s="1287">
        <f t="shared" si="26"/>
        <v>0</v>
      </c>
      <c r="N72" s="1287">
        <f t="shared" si="26"/>
        <v>0</v>
      </c>
      <c r="AA72" s="1373"/>
      <c r="AB72" s="1373"/>
      <c r="AC72" s="1373"/>
      <c r="AD72" s="1373"/>
      <c r="AE72" s="1373"/>
      <c r="AF72" s="1373"/>
      <c r="AG72" s="1373"/>
      <c r="AH72" s="1373"/>
      <c r="AI72" s="1373"/>
      <c r="AJ72" s="1373"/>
      <c r="AK72" s="1373"/>
    </row>
    <row r="73" spans="1:37" s="1372" customFormat="1" ht="14.25">
      <c r="A73" s="2842" t="s">
        <v>2938</v>
      </c>
      <c r="B73" s="2846" t="str">
        <f>估价对象房地状况!C24</f>
        <v>主干道</v>
      </c>
      <c r="C73" s="2734"/>
      <c r="D73" s="1288">
        <f t="shared" si="22"/>
        <v>0</v>
      </c>
      <c r="E73" s="825"/>
      <c r="F73" s="2465"/>
      <c r="G73" s="1286"/>
      <c r="H73" s="1290" t="str">
        <f t="shared" si="23"/>
        <v>——</v>
      </c>
      <c r="I73" s="819">
        <v>0.04</v>
      </c>
      <c r="J73" s="1287">
        <f t="shared" si="24"/>
        <v>0</v>
      </c>
      <c r="K73" s="1287">
        <f t="shared" si="25"/>
        <v>0</v>
      </c>
      <c r="L73" s="1287">
        <v>0</v>
      </c>
      <c r="M73" s="1287">
        <f t="shared" si="26"/>
        <v>0</v>
      </c>
      <c r="N73" s="1287">
        <f t="shared" si="26"/>
        <v>0</v>
      </c>
      <c r="AA73" s="1373"/>
      <c r="AB73" s="1373"/>
      <c r="AC73" s="1373"/>
      <c r="AD73" s="1373"/>
      <c r="AE73" s="1373"/>
      <c r="AF73" s="1373"/>
      <c r="AG73" s="1373"/>
      <c r="AH73" s="1373"/>
      <c r="AI73" s="1373"/>
      <c r="AJ73" s="1373"/>
      <c r="AK73" s="1373"/>
    </row>
    <row r="74" spans="1:37" s="1372" customFormat="1" ht="24">
      <c r="A74" s="2842" t="s">
        <v>2930</v>
      </c>
      <c r="B74" s="1727" t="str">
        <f>估价对象房地状况!C21</f>
        <v>好</v>
      </c>
      <c r="C74" s="2734"/>
      <c r="D74" s="1288">
        <f t="shared" si="22"/>
        <v>0</v>
      </c>
      <c r="E74" s="825"/>
      <c r="F74" s="2465"/>
      <c r="G74" s="1286"/>
      <c r="H74" s="1290" t="str">
        <f t="shared" si="23"/>
        <v>——</v>
      </c>
      <c r="I74" s="819">
        <v>0.08</v>
      </c>
      <c r="J74" s="1287">
        <f t="shared" si="24"/>
        <v>0</v>
      </c>
      <c r="K74" s="1287">
        <f t="shared" si="25"/>
        <v>0</v>
      </c>
      <c r="L74" s="1287">
        <v>0</v>
      </c>
      <c r="M74" s="1287">
        <f t="shared" si="26"/>
        <v>0</v>
      </c>
      <c r="N74" s="1287">
        <f t="shared" si="26"/>
        <v>0</v>
      </c>
      <c r="AA74" s="1373"/>
      <c r="AB74" s="1373"/>
      <c r="AC74" s="1373"/>
      <c r="AD74" s="1373"/>
      <c r="AE74" s="1373"/>
      <c r="AF74" s="1373"/>
      <c r="AG74" s="1373"/>
      <c r="AH74" s="1373"/>
      <c r="AI74" s="1373"/>
      <c r="AJ74" s="1373"/>
      <c r="AK74" s="1373"/>
    </row>
    <row r="75" spans="1:37" s="1372" customFormat="1" ht="24">
      <c r="A75" s="2842" t="s">
        <v>2931</v>
      </c>
      <c r="B75" s="1727" t="str">
        <f>估价对象房地状况!C22</f>
        <v>七通</v>
      </c>
      <c r="C75" s="2734"/>
      <c r="D75" s="1288">
        <f t="shared" si="22"/>
        <v>0</v>
      </c>
      <c r="E75" s="825"/>
      <c r="F75" s="2465"/>
      <c r="G75" s="1286"/>
      <c r="H75" s="1290" t="str">
        <f t="shared" si="23"/>
        <v>——</v>
      </c>
      <c r="I75" s="819">
        <v>0.12</v>
      </c>
      <c r="J75" s="1287">
        <f t="shared" si="24"/>
        <v>0</v>
      </c>
      <c r="K75" s="1287">
        <f t="shared" si="25"/>
        <v>0</v>
      </c>
      <c r="L75" s="1287">
        <v>0</v>
      </c>
      <c r="M75" s="1287">
        <f t="shared" si="26"/>
        <v>0</v>
      </c>
      <c r="N75" s="1287">
        <f t="shared" si="26"/>
        <v>0</v>
      </c>
      <c r="AA75" s="1373"/>
      <c r="AB75" s="1373"/>
      <c r="AC75" s="1373"/>
      <c r="AD75" s="1373"/>
      <c r="AE75" s="1373"/>
      <c r="AF75" s="1373"/>
      <c r="AG75" s="1373"/>
      <c r="AH75" s="1373"/>
      <c r="AI75" s="1373"/>
      <c r="AJ75" s="1373"/>
      <c r="AK75" s="1373"/>
    </row>
    <row r="76" spans="1:37" s="2683" customFormat="1" ht="24">
      <c r="A76" s="2842" t="s">
        <v>2928</v>
      </c>
      <c r="B76" s="2848" t="s">
        <v>2929</v>
      </c>
      <c r="C76" s="2734"/>
      <c r="D76" s="1288">
        <f t="shared" si="22"/>
        <v>0</v>
      </c>
      <c r="E76" s="825"/>
      <c r="F76" s="2465"/>
      <c r="G76" s="1286"/>
      <c r="H76" s="1290" t="str">
        <f t="shared" si="23"/>
        <v>——</v>
      </c>
      <c r="I76" s="819">
        <v>0.05</v>
      </c>
      <c r="J76" s="1287">
        <f t="shared" si="24"/>
        <v>0</v>
      </c>
      <c r="K76" s="1287">
        <f t="shared" si="25"/>
        <v>0</v>
      </c>
      <c r="L76" s="1287">
        <v>0</v>
      </c>
      <c r="M76" s="1287">
        <f t="shared" si="26"/>
        <v>0</v>
      </c>
      <c r="N76" s="1287">
        <f t="shared" si="26"/>
        <v>0</v>
      </c>
      <c r="AA76" s="2853"/>
      <c r="AB76" s="1373"/>
      <c r="AC76" s="1373"/>
      <c r="AD76" s="1373"/>
      <c r="AE76" s="1373"/>
      <c r="AF76" s="1373"/>
      <c r="AG76" s="1373"/>
      <c r="AH76" s="2853"/>
      <c r="AI76" s="2853"/>
      <c r="AJ76" s="2853"/>
      <c r="AK76" s="2853"/>
    </row>
    <row r="77" spans="1:37" ht="24">
      <c r="A77" s="2842" t="s">
        <v>2932</v>
      </c>
      <c r="B77" s="2845" t="str">
        <f>估价对象房地状况!C20</f>
        <v>好</v>
      </c>
      <c r="C77" s="2734"/>
      <c r="D77" s="1288">
        <f t="shared" si="22"/>
        <v>0</v>
      </c>
      <c r="E77" s="825"/>
      <c r="F77" s="2465"/>
      <c r="G77" s="1286"/>
      <c r="H77" s="1290" t="str">
        <f t="shared" si="23"/>
        <v>——</v>
      </c>
      <c r="I77" s="819">
        <v>0.15</v>
      </c>
      <c r="J77" s="1287">
        <f t="shared" si="24"/>
        <v>0</v>
      </c>
      <c r="K77" s="1287">
        <f t="shared" si="25"/>
        <v>0</v>
      </c>
      <c r="L77" s="1287">
        <v>0</v>
      </c>
      <c r="M77" s="1287">
        <f t="shared" si="26"/>
        <v>0</v>
      </c>
      <c r="N77" s="1287">
        <f t="shared" si="26"/>
        <v>0</v>
      </c>
      <c r="Z77" s="2684"/>
      <c r="AA77" s="2760"/>
      <c r="AG77" s="1374"/>
      <c r="AK77" s="2760"/>
    </row>
    <row r="78" spans="1:37" ht="24.75" thickBot="1">
      <c r="A78" s="2850" t="s">
        <v>2939</v>
      </c>
      <c r="B78" s="2854"/>
      <c r="C78" s="2734"/>
      <c r="D78" s="1288">
        <f t="shared" si="22"/>
        <v>0</v>
      </c>
      <c r="E78" s="826"/>
      <c r="F78" s="2465"/>
      <c r="G78" s="1286"/>
      <c r="H78" s="1290" t="str">
        <f t="shared" si="23"/>
        <v>——</v>
      </c>
      <c r="I78" s="823">
        <v>0.04</v>
      </c>
      <c r="J78" s="1287">
        <f t="shared" si="24"/>
        <v>0</v>
      </c>
      <c r="K78" s="1287">
        <f t="shared" si="25"/>
        <v>0</v>
      </c>
      <c r="L78" s="1287">
        <v>0</v>
      </c>
      <c r="M78" s="1287">
        <f t="shared" si="26"/>
        <v>0</v>
      </c>
      <c r="N78" s="1287">
        <f t="shared" si="26"/>
        <v>0</v>
      </c>
      <c r="Z78" s="2684"/>
      <c r="AA78" s="2760"/>
      <c r="AG78" s="1374"/>
      <c r="AK78" s="2760"/>
    </row>
    <row r="79" spans="1:37" ht="15">
      <c r="A79" s="2838" t="s">
        <v>2940</v>
      </c>
      <c r="B79" s="2839">
        <f>1+E81</f>
        <v>1</v>
      </c>
      <c r="C79" s="813"/>
      <c r="D79" s="813"/>
      <c r="E79" s="814"/>
      <c r="F79" s="2841"/>
      <c r="G79" s="6"/>
      <c r="H79" s="6"/>
      <c r="I79" s="6"/>
      <c r="J79" s="7"/>
      <c r="K79" s="7"/>
      <c r="L79" s="7"/>
      <c r="M79" s="7"/>
      <c r="N79" s="7"/>
      <c r="Z79" s="2684"/>
      <c r="AA79" s="2760"/>
      <c r="AG79" s="1374"/>
      <c r="AK79" s="2760"/>
    </row>
    <row r="80" spans="1:37" ht="24.75">
      <c r="A80" s="2842" t="s">
        <v>2914</v>
      </c>
      <c r="B80" s="3019"/>
      <c r="C80" s="3019" t="s">
        <v>2916</v>
      </c>
      <c r="D80" s="3019" t="s">
        <v>2917</v>
      </c>
      <c r="E80" s="818" t="s">
        <v>2918</v>
      </c>
      <c r="F80" s="2843" t="s">
        <v>2934</v>
      </c>
      <c r="G80" s="3019" t="s">
        <v>754</v>
      </c>
      <c r="H80" s="2844" t="s">
        <v>2920</v>
      </c>
      <c r="I80" s="3019" t="s">
        <v>2921</v>
      </c>
      <c r="J80" s="602" t="s">
        <v>2568</v>
      </c>
      <c r="K80" s="602" t="s">
        <v>2569</v>
      </c>
      <c r="L80" s="602" t="s">
        <v>2570</v>
      </c>
      <c r="M80" s="602" t="s">
        <v>2571</v>
      </c>
      <c r="N80" s="602" t="s">
        <v>2572</v>
      </c>
      <c r="Z80" s="2684"/>
      <c r="AA80" s="2760"/>
      <c r="AG80" s="1374"/>
      <c r="AK80" s="2760"/>
    </row>
    <row r="81" spans="1:37" ht="24">
      <c r="A81" s="2842" t="s">
        <v>2941</v>
      </c>
      <c r="B81" s="2846">
        <f>估价对象房地状况!G15</f>
        <v>0</v>
      </c>
      <c r="C81" s="2734"/>
      <c r="D81" s="1288">
        <f t="shared" ref="D81:D88" si="27">SUMIF($J$80:$N$80,C81,J81:N81)</f>
        <v>0</v>
      </c>
      <c r="E81" s="820">
        <f>ROUND(SUM(D81:D88),4)</f>
        <v>0</v>
      </c>
      <c r="F81" s="2465" t="str">
        <f>IF(E2="工业",SUMIF(L1:L12,G2,N1:N12),"——")</f>
        <v>——</v>
      </c>
      <c r="G81" s="1286"/>
      <c r="H81" s="1290" t="str">
        <f t="shared" ref="H81:H88" si="28">IFERROR(ROUNDDOWN($F$81*I81/2,4),"——")</f>
        <v>——</v>
      </c>
      <c r="I81" s="819">
        <v>0.26</v>
      </c>
      <c r="J81" s="1287">
        <f t="shared" ref="J81:J88" si="29">K81+$G81</f>
        <v>0</v>
      </c>
      <c r="K81" s="1287">
        <f t="shared" ref="K81:K88" si="30">$L81+$G81</f>
        <v>0</v>
      </c>
      <c r="L81" s="1287">
        <v>0</v>
      </c>
      <c r="M81" s="1287">
        <f t="shared" ref="M81:N88" si="31">L81-$G81</f>
        <v>0</v>
      </c>
      <c r="N81" s="1287">
        <f t="shared" si="31"/>
        <v>0</v>
      </c>
      <c r="Z81" s="2684"/>
      <c r="AA81" s="2760"/>
      <c r="AG81" s="1374"/>
      <c r="AK81" s="2760"/>
    </row>
    <row r="82" spans="1:37" ht="14.25">
      <c r="A82" s="2842" t="s">
        <v>2923</v>
      </c>
      <c r="B82" s="2846">
        <f>估价对象房地状况!G16</f>
        <v>0</v>
      </c>
      <c r="C82" s="2734"/>
      <c r="D82" s="1288">
        <f t="shared" si="27"/>
        <v>0</v>
      </c>
      <c r="E82" s="825"/>
      <c r="F82" s="2465"/>
      <c r="G82" s="1286"/>
      <c r="H82" s="1290" t="str">
        <f t="shared" si="28"/>
        <v>——</v>
      </c>
      <c r="I82" s="819">
        <v>0.33</v>
      </c>
      <c r="J82" s="1287">
        <f t="shared" si="29"/>
        <v>0</v>
      </c>
      <c r="K82" s="1287">
        <f t="shared" si="30"/>
        <v>0</v>
      </c>
      <c r="L82" s="1287">
        <v>0</v>
      </c>
      <c r="M82" s="1287">
        <f t="shared" si="31"/>
        <v>0</v>
      </c>
      <c r="N82" s="1287">
        <f t="shared" si="31"/>
        <v>0</v>
      </c>
      <c r="Z82" s="2684"/>
      <c r="AA82" s="2760"/>
      <c r="AG82" s="1374"/>
      <c r="AK82" s="2760"/>
    </row>
    <row r="83" spans="1:37" ht="24">
      <c r="A83" s="2842" t="s">
        <v>2924</v>
      </c>
      <c r="B83" s="2846">
        <f>估价对象房地状况!G17</f>
        <v>0</v>
      </c>
      <c r="C83" s="2734"/>
      <c r="D83" s="1288">
        <f t="shared" si="27"/>
        <v>0</v>
      </c>
      <c r="E83" s="825"/>
      <c r="F83" s="2465"/>
      <c r="G83" s="1286"/>
      <c r="H83" s="1290" t="str">
        <f t="shared" si="28"/>
        <v>——</v>
      </c>
      <c r="I83" s="819">
        <v>0.05</v>
      </c>
      <c r="J83" s="1287">
        <f t="shared" si="29"/>
        <v>0</v>
      </c>
      <c r="K83" s="1287">
        <f t="shared" si="30"/>
        <v>0</v>
      </c>
      <c r="L83" s="1287">
        <v>0</v>
      </c>
      <c r="M83" s="1287">
        <f t="shared" si="31"/>
        <v>0</v>
      </c>
      <c r="N83" s="1287">
        <f t="shared" si="31"/>
        <v>0</v>
      </c>
      <c r="Z83" s="2684"/>
      <c r="AA83" s="2760"/>
      <c r="AG83" s="1374"/>
      <c r="AK83" s="2760"/>
    </row>
    <row r="84" spans="1:37" ht="14.25">
      <c r="A84" s="2842" t="s">
        <v>2938</v>
      </c>
      <c r="B84" s="2846">
        <f>估价对象房地状况!G22</f>
        <v>0</v>
      </c>
      <c r="C84" s="2734"/>
      <c r="D84" s="1288">
        <f t="shared" si="27"/>
        <v>0</v>
      </c>
      <c r="E84" s="825"/>
      <c r="F84" s="2465"/>
      <c r="G84" s="1286"/>
      <c r="H84" s="1290" t="str">
        <f t="shared" si="28"/>
        <v>——</v>
      </c>
      <c r="I84" s="819">
        <v>0.04</v>
      </c>
      <c r="J84" s="1287">
        <f t="shared" si="29"/>
        <v>0</v>
      </c>
      <c r="K84" s="1287">
        <f t="shared" si="30"/>
        <v>0</v>
      </c>
      <c r="L84" s="1287">
        <v>0</v>
      </c>
      <c r="M84" s="1287">
        <f t="shared" si="31"/>
        <v>0</v>
      </c>
      <c r="N84" s="1287">
        <f t="shared" si="31"/>
        <v>0</v>
      </c>
      <c r="Z84" s="2684"/>
      <c r="AA84" s="2760"/>
      <c r="AG84" s="1374"/>
      <c r="AK84" s="2760"/>
    </row>
    <row r="85" spans="1:37" ht="24">
      <c r="A85" s="2842" t="s">
        <v>2930</v>
      </c>
      <c r="B85" s="1727">
        <f>估价对象房地状况!G19</f>
        <v>0</v>
      </c>
      <c r="C85" s="2734"/>
      <c r="D85" s="1288">
        <f t="shared" si="27"/>
        <v>0</v>
      </c>
      <c r="E85" s="825"/>
      <c r="F85" s="2465"/>
      <c r="G85" s="1286"/>
      <c r="H85" s="1290" t="str">
        <f t="shared" si="28"/>
        <v>——</v>
      </c>
      <c r="I85" s="819">
        <v>0.06</v>
      </c>
      <c r="J85" s="1287">
        <f t="shared" si="29"/>
        <v>0</v>
      </c>
      <c r="K85" s="1287">
        <f t="shared" si="30"/>
        <v>0</v>
      </c>
      <c r="L85" s="1287">
        <v>0</v>
      </c>
      <c r="M85" s="1287">
        <f t="shared" si="31"/>
        <v>0</v>
      </c>
      <c r="N85" s="1287">
        <f t="shared" si="31"/>
        <v>0</v>
      </c>
      <c r="Z85" s="2684"/>
      <c r="AA85" s="2760"/>
      <c r="AG85" s="1374"/>
      <c r="AK85" s="2760"/>
    </row>
    <row r="86" spans="1:37" ht="24">
      <c r="A86" s="2842" t="s">
        <v>2931</v>
      </c>
      <c r="B86" s="1727">
        <f>估价对象房地状况!G20</f>
        <v>0</v>
      </c>
      <c r="C86" s="2734"/>
      <c r="D86" s="1288">
        <f t="shared" si="27"/>
        <v>0</v>
      </c>
      <c r="E86" s="825"/>
      <c r="F86" s="2465"/>
      <c r="G86" s="1286"/>
      <c r="H86" s="1290" t="str">
        <f t="shared" si="28"/>
        <v>——</v>
      </c>
      <c r="I86" s="819">
        <v>0.15</v>
      </c>
      <c r="J86" s="1287">
        <f t="shared" si="29"/>
        <v>0</v>
      </c>
      <c r="K86" s="1287">
        <f t="shared" si="30"/>
        <v>0</v>
      </c>
      <c r="L86" s="1287">
        <v>0</v>
      </c>
      <c r="M86" s="1287">
        <f t="shared" si="31"/>
        <v>0</v>
      </c>
      <c r="N86" s="1287">
        <f t="shared" si="31"/>
        <v>0</v>
      </c>
      <c r="Z86" s="2684"/>
      <c r="AA86" s="2760"/>
      <c r="AG86" s="1374"/>
      <c r="AK86" s="2760"/>
    </row>
    <row r="87" spans="1:37" ht="24">
      <c r="A87" s="2842" t="s">
        <v>2928</v>
      </c>
      <c r="B87" s="2848" t="s">
        <v>2942</v>
      </c>
      <c r="C87" s="2734"/>
      <c r="D87" s="1288">
        <f t="shared" si="27"/>
        <v>0</v>
      </c>
      <c r="E87" s="825"/>
      <c r="F87" s="2465"/>
      <c r="G87" s="1286"/>
      <c r="H87" s="1290" t="str">
        <f t="shared" si="28"/>
        <v>——</v>
      </c>
      <c r="I87" s="819">
        <v>0.05</v>
      </c>
      <c r="J87" s="1287">
        <f t="shared" si="29"/>
        <v>0</v>
      </c>
      <c r="K87" s="1287">
        <f t="shared" si="30"/>
        <v>0</v>
      </c>
      <c r="L87" s="1287">
        <v>0</v>
      </c>
      <c r="M87" s="1287">
        <f t="shared" si="31"/>
        <v>0</v>
      </c>
      <c r="N87" s="1287">
        <f t="shared" si="31"/>
        <v>0</v>
      </c>
      <c r="Z87" s="2684"/>
      <c r="AA87" s="2760"/>
      <c r="AG87" s="1374"/>
      <c r="AK87" s="2760"/>
    </row>
    <row r="88" spans="1:37" ht="15" thickBot="1">
      <c r="A88" s="2850" t="s">
        <v>2943</v>
      </c>
      <c r="B88" s="2855">
        <f>估价对象房地状况!G18</f>
        <v>0</v>
      </c>
      <c r="C88" s="2734"/>
      <c r="D88" s="1288">
        <f t="shared" si="27"/>
        <v>0</v>
      </c>
      <c r="E88" s="826"/>
      <c r="F88" s="2465"/>
      <c r="G88" s="1286"/>
      <c r="H88" s="1290" t="str">
        <f t="shared" si="28"/>
        <v>——</v>
      </c>
      <c r="I88" s="823">
        <v>0.06</v>
      </c>
      <c r="J88" s="1287">
        <f t="shared" si="29"/>
        <v>0</v>
      </c>
      <c r="K88" s="1287">
        <f t="shared" si="30"/>
        <v>0</v>
      </c>
      <c r="L88" s="1287">
        <v>0</v>
      </c>
      <c r="M88" s="1287">
        <f t="shared" si="31"/>
        <v>0</v>
      </c>
      <c r="N88" s="1287">
        <f t="shared" si="31"/>
        <v>0</v>
      </c>
      <c r="Z88" s="2684"/>
      <c r="AA88" s="2760"/>
      <c r="AG88" s="1374"/>
      <c r="AK88" s="2760"/>
    </row>
    <row r="90" spans="1:37">
      <c r="A90" s="3387" t="s">
        <v>2944</v>
      </c>
      <c r="B90" s="3387"/>
      <c r="C90" s="3387"/>
      <c r="D90" s="3387"/>
      <c r="E90" s="3387"/>
      <c r="F90" s="3387"/>
      <c r="G90" s="3387"/>
      <c r="H90" s="3387"/>
      <c r="I90" s="3387"/>
      <c r="J90" s="3387"/>
      <c r="K90" s="3032"/>
      <c r="L90" s="3032"/>
      <c r="M90" s="3032"/>
      <c r="N90" s="3032"/>
    </row>
    <row r="91" spans="1:37">
      <c r="A91" s="3388" t="s">
        <v>2945</v>
      </c>
      <c r="B91" s="3388" t="s">
        <v>2946</v>
      </c>
      <c r="C91" s="2810" t="s">
        <v>2947</v>
      </c>
      <c r="D91" s="2811"/>
      <c r="E91" s="2811"/>
      <c r="F91" s="2811"/>
      <c r="G91" s="2811"/>
      <c r="H91" s="2811"/>
      <c r="I91" s="2811"/>
      <c r="J91" s="2857"/>
      <c r="K91" s="2858"/>
      <c r="L91" s="2858"/>
      <c r="M91" s="2858"/>
      <c r="N91" s="2858"/>
    </row>
    <row r="92" spans="1:37">
      <c r="A92" s="3388"/>
      <c r="B92" s="3388"/>
      <c r="C92" s="3034" t="s">
        <v>2812</v>
      </c>
      <c r="D92" s="3034" t="s">
        <v>2813</v>
      </c>
      <c r="E92" s="3034" t="s">
        <v>2814</v>
      </c>
      <c r="F92" s="3034" t="s">
        <v>2815</v>
      </c>
      <c r="G92" s="3034" t="s">
        <v>2816</v>
      </c>
      <c r="H92" s="3034" t="s">
        <v>2817</v>
      </c>
      <c r="I92" s="3034" t="s">
        <v>2818</v>
      </c>
      <c r="J92" s="3034" t="s">
        <v>2819</v>
      </c>
      <c r="K92" s="3034" t="s">
        <v>2820</v>
      </c>
      <c r="L92" s="3034" t="s">
        <v>2821</v>
      </c>
      <c r="M92" s="3034" t="s">
        <v>2822</v>
      </c>
      <c r="N92" s="3034" t="s">
        <v>2823</v>
      </c>
    </row>
    <row r="93" spans="1:37">
      <c r="A93" s="3380" t="s">
        <v>2948</v>
      </c>
      <c r="B93" s="2859">
        <v>1</v>
      </c>
      <c r="C93" s="2860">
        <v>1.9361999999999999</v>
      </c>
      <c r="D93" s="2860">
        <v>1.9361999999999999</v>
      </c>
      <c r="E93" s="2860">
        <v>1.8629</v>
      </c>
      <c r="F93" s="2860">
        <v>1.8629</v>
      </c>
      <c r="G93" s="2860">
        <v>1.8629</v>
      </c>
      <c r="H93" s="2860">
        <v>1.8629</v>
      </c>
      <c r="I93" s="2860">
        <v>1.8629</v>
      </c>
      <c r="J93" s="2860">
        <v>1.9419999999999999</v>
      </c>
      <c r="K93" s="2860">
        <v>1.9419999999999999</v>
      </c>
      <c r="L93" s="2860">
        <v>1.9419999999999999</v>
      </c>
      <c r="M93" s="2860">
        <v>1.9419999999999999</v>
      </c>
      <c r="N93" s="2860">
        <v>1.9419999999999999</v>
      </c>
    </row>
    <row r="94" spans="1:37">
      <c r="A94" s="3381"/>
      <c r="B94" s="2859">
        <v>2</v>
      </c>
      <c r="C94" s="2860">
        <v>1.4198</v>
      </c>
      <c r="D94" s="2860">
        <v>1.4198</v>
      </c>
      <c r="E94" s="2860">
        <v>1.3371999999999999</v>
      </c>
      <c r="F94" s="2860">
        <v>1.3371999999999999</v>
      </c>
      <c r="G94" s="2860">
        <v>1.3371999999999999</v>
      </c>
      <c r="H94" s="2860">
        <v>1.3371999999999999</v>
      </c>
      <c r="I94" s="2860">
        <v>1.3371999999999999</v>
      </c>
      <c r="J94" s="2860">
        <v>1.2799</v>
      </c>
      <c r="K94" s="2860">
        <v>1.2799</v>
      </c>
      <c r="L94" s="2860">
        <v>1.2799</v>
      </c>
      <c r="M94" s="2860">
        <v>1.2799</v>
      </c>
      <c r="N94" s="2860">
        <v>1.2799</v>
      </c>
    </row>
    <row r="95" spans="1:37">
      <c r="A95" s="3381"/>
      <c r="B95" s="2859">
        <v>3</v>
      </c>
      <c r="C95" s="2860">
        <v>1.1594</v>
      </c>
      <c r="D95" s="2860">
        <v>1.1594</v>
      </c>
      <c r="E95" s="2860">
        <v>1.0788</v>
      </c>
      <c r="F95" s="2860">
        <v>1.0788</v>
      </c>
      <c r="G95" s="2860">
        <v>1.0788</v>
      </c>
      <c r="H95" s="2860">
        <v>1.0788</v>
      </c>
      <c r="I95" s="2860">
        <v>1.0788</v>
      </c>
      <c r="J95" s="2860">
        <v>1.0072000000000001</v>
      </c>
      <c r="K95" s="2860">
        <v>1.0072000000000001</v>
      </c>
      <c r="L95" s="2860">
        <v>1.0072000000000001</v>
      </c>
      <c r="M95" s="2860">
        <v>1.0072000000000001</v>
      </c>
      <c r="N95" s="2860">
        <v>1.0072000000000001</v>
      </c>
    </row>
    <row r="96" spans="1:37">
      <c r="A96" s="3381"/>
      <c r="B96" s="2859">
        <v>4</v>
      </c>
      <c r="C96" s="2860">
        <v>0.96220000000000006</v>
      </c>
      <c r="D96" s="2860">
        <v>0.96220000000000006</v>
      </c>
      <c r="E96" s="2860">
        <v>0.86560000000000004</v>
      </c>
      <c r="F96" s="2860">
        <v>0.86560000000000004</v>
      </c>
      <c r="G96" s="2860">
        <v>0.86560000000000004</v>
      </c>
      <c r="H96" s="2860">
        <v>0.86560000000000004</v>
      </c>
      <c r="I96" s="2860">
        <v>0.86560000000000004</v>
      </c>
      <c r="J96" s="2860">
        <v>0.75249999999999995</v>
      </c>
      <c r="K96" s="2860">
        <v>0.75249999999999995</v>
      </c>
      <c r="L96" s="2860">
        <v>0.75249999999999995</v>
      </c>
      <c r="M96" s="2860">
        <v>0.75249999999999995</v>
      </c>
      <c r="N96" s="2860">
        <v>0.75249999999999995</v>
      </c>
    </row>
    <row r="97" spans="1:14">
      <c r="A97" s="3381"/>
      <c r="B97" s="2859">
        <v>5</v>
      </c>
      <c r="C97" s="2860">
        <v>0.8417</v>
      </c>
      <c r="D97" s="2860">
        <v>0.8417</v>
      </c>
      <c r="E97" s="2860">
        <v>0.73709999999999998</v>
      </c>
      <c r="F97" s="2860">
        <v>0.73709999999999998</v>
      </c>
      <c r="G97" s="2860">
        <v>0.73709999999999998</v>
      </c>
      <c r="H97" s="2860">
        <v>0.73709999999999998</v>
      </c>
      <c r="I97" s="2860">
        <v>0.73709999999999998</v>
      </c>
      <c r="J97" s="2860">
        <v>0.56589999999999996</v>
      </c>
      <c r="K97" s="2860">
        <v>0.56589999999999996</v>
      </c>
      <c r="L97" s="2860">
        <v>0.56589999999999996</v>
      </c>
      <c r="M97" s="2860">
        <v>0.56589999999999996</v>
      </c>
      <c r="N97" s="2860">
        <v>0.56589999999999996</v>
      </c>
    </row>
    <row r="98" spans="1:14">
      <c r="A98" s="3381"/>
      <c r="B98" s="2859">
        <v>6</v>
      </c>
      <c r="C98" s="2860">
        <v>0.76080000000000003</v>
      </c>
      <c r="D98" s="2860">
        <v>0.76080000000000003</v>
      </c>
      <c r="E98" s="2860">
        <v>0.6482</v>
      </c>
      <c r="F98" s="2860">
        <v>0.6482</v>
      </c>
      <c r="G98" s="2860">
        <v>0.6482</v>
      </c>
      <c r="H98" s="2860">
        <v>0.6482</v>
      </c>
      <c r="I98" s="2860">
        <v>0.6482</v>
      </c>
      <c r="J98" s="2860">
        <v>0.45250000000000001</v>
      </c>
      <c r="K98" s="2860">
        <v>0.45250000000000001</v>
      </c>
      <c r="L98" s="2860">
        <v>0.45250000000000001</v>
      </c>
      <c r="M98" s="2860">
        <v>0.45250000000000001</v>
      </c>
      <c r="N98" s="2860">
        <v>0.45250000000000001</v>
      </c>
    </row>
    <row r="99" spans="1:14">
      <c r="A99" s="3381"/>
      <c r="B99" s="2859" t="s">
        <v>2828</v>
      </c>
      <c r="C99" s="2861">
        <f>$I$3</f>
        <v>0</v>
      </c>
      <c r="D99" s="2861">
        <f t="shared" ref="D99:M99" si="32">$I$3</f>
        <v>0</v>
      </c>
      <c r="E99" s="2861">
        <f t="shared" si="32"/>
        <v>0</v>
      </c>
      <c r="F99" s="2861">
        <f t="shared" si="32"/>
        <v>0</v>
      </c>
      <c r="G99" s="2861">
        <f t="shared" si="32"/>
        <v>0</v>
      </c>
      <c r="H99" s="2861">
        <f t="shared" si="32"/>
        <v>0</v>
      </c>
      <c r="I99" s="2861">
        <f t="shared" si="32"/>
        <v>0</v>
      </c>
      <c r="J99" s="2861">
        <f t="shared" si="32"/>
        <v>0</v>
      </c>
      <c r="K99" s="2861">
        <f t="shared" si="32"/>
        <v>0</v>
      </c>
      <c r="L99" s="2861">
        <f t="shared" si="32"/>
        <v>0</v>
      </c>
      <c r="M99" s="2861">
        <f t="shared" si="32"/>
        <v>0</v>
      </c>
      <c r="N99" s="2861">
        <f>$I$3</f>
        <v>0</v>
      </c>
    </row>
    <row r="100" spans="1:14">
      <c r="A100" s="3382"/>
      <c r="B100" s="2859">
        <v>7</v>
      </c>
      <c r="C100" s="2862">
        <f>(-0.163*(C99^2)-0.59*C99+7617)*(10^(-4))</f>
        <v>0.76170000000000004</v>
      </c>
      <c r="D100" s="2862">
        <f>(-0.163*(D99^2)-0.59*D99+7617)*(10^(-4))</f>
        <v>0.76170000000000004</v>
      </c>
      <c r="E100" s="2862">
        <f>(-0.161*(E99^2)-7.509*E99+6533)*(10^(-4))</f>
        <v>0.65329999999999999</v>
      </c>
      <c r="F100" s="2862">
        <f>(-0.161*(F99^2)-7.509*F99+6533)*(10^(-4))</f>
        <v>0.65329999999999999</v>
      </c>
      <c r="G100" s="2862">
        <f>(-0.161*(G99^2)-7.509*G99+6533)*(10^(-4))</f>
        <v>0.65329999999999999</v>
      </c>
      <c r="H100" s="2862">
        <f>(-0.161*(H99^2)-7.509*H99+6533)*(10^(-4))</f>
        <v>0.65329999999999999</v>
      </c>
      <c r="I100" s="2862">
        <f>(-0.161*(I99^2)-7.509*I99+6533)*(10^(-4))</f>
        <v>0.65329999999999999</v>
      </c>
      <c r="J100" s="2862">
        <f>(-0.214*(J99^2)-21.991*J99+4665)*(10^(-4))</f>
        <v>0.46650000000000003</v>
      </c>
      <c r="K100" s="2862">
        <f>(-0.214*(K99^2)-21.991*K99+4665)*(10^(-4))</f>
        <v>0.46650000000000003</v>
      </c>
      <c r="L100" s="2862">
        <f>(-0.214*(L99^2)-21.991*L99+4665)*(10^(-4))</f>
        <v>0.46650000000000003</v>
      </c>
      <c r="M100" s="2862">
        <f>(-0.214*(M99^2)-21.991*M99+4665)*(10^(-4))</f>
        <v>0.46650000000000003</v>
      </c>
      <c r="N100" s="2862">
        <f>(-0.214*(N99^2)-21.991*N99+4665)*(10^(-4))</f>
        <v>0.46650000000000003</v>
      </c>
    </row>
    <row r="101" spans="1:14">
      <c r="A101" s="3380" t="s">
        <v>2949</v>
      </c>
      <c r="B101" s="2863" t="s">
        <v>2950</v>
      </c>
      <c r="C101" s="2864">
        <f>$G$3</f>
        <v>11.91</v>
      </c>
      <c r="D101" s="2864">
        <f t="shared" ref="D101:N101" si="33">$G$3</f>
        <v>11.91</v>
      </c>
      <c r="E101" s="2864">
        <f t="shared" si="33"/>
        <v>11.91</v>
      </c>
      <c r="F101" s="2864">
        <f t="shared" si="33"/>
        <v>11.91</v>
      </c>
      <c r="G101" s="2864">
        <f t="shared" si="33"/>
        <v>11.91</v>
      </c>
      <c r="H101" s="2864">
        <f t="shared" si="33"/>
        <v>11.91</v>
      </c>
      <c r="I101" s="2864">
        <f t="shared" si="33"/>
        <v>11.91</v>
      </c>
      <c r="J101" s="2864">
        <f t="shared" si="33"/>
        <v>11.91</v>
      </c>
      <c r="K101" s="2864">
        <f t="shared" si="33"/>
        <v>11.91</v>
      </c>
      <c r="L101" s="2864">
        <f t="shared" si="33"/>
        <v>11.91</v>
      </c>
      <c r="M101" s="2864">
        <f t="shared" si="33"/>
        <v>11.91</v>
      </c>
      <c r="N101" s="2864">
        <f t="shared" si="33"/>
        <v>11.91</v>
      </c>
    </row>
    <row r="102" spans="1:14">
      <c r="A102" s="3381"/>
      <c r="B102" s="2859">
        <v>1</v>
      </c>
      <c r="C102" s="2860">
        <f>1.9362/C101</f>
        <v>0.16256926952141057</v>
      </c>
      <c r="D102" s="2860">
        <f>1.9362/D101</f>
        <v>0.16256926952141057</v>
      </c>
      <c r="E102" s="2860">
        <f>1.8629/E101</f>
        <v>0.15641477749790092</v>
      </c>
      <c r="F102" s="2860">
        <f>1.8629/F101</f>
        <v>0.15641477749790092</v>
      </c>
      <c r="G102" s="2860">
        <f>1.8629/G101</f>
        <v>0.15641477749790092</v>
      </c>
      <c r="H102" s="2860">
        <f>1.8629/H101</f>
        <v>0.15641477749790092</v>
      </c>
      <c r="I102" s="2860">
        <f>1.8629/I101</f>
        <v>0.15641477749790092</v>
      </c>
      <c r="J102" s="2860">
        <f>1.942/J101</f>
        <v>0.16305625524769102</v>
      </c>
      <c r="K102" s="2860">
        <f>1.942/K101</f>
        <v>0.16305625524769102</v>
      </c>
      <c r="L102" s="2860">
        <f>1.942/L101</f>
        <v>0.16305625524769102</v>
      </c>
      <c r="M102" s="2860">
        <f>1.942/M101</f>
        <v>0.16305625524769102</v>
      </c>
      <c r="N102" s="2860">
        <f>1.942/N101</f>
        <v>0.16305625524769102</v>
      </c>
    </row>
    <row r="103" spans="1:14">
      <c r="A103" s="3381"/>
      <c r="B103" s="2859">
        <v>2</v>
      </c>
      <c r="C103" s="2860">
        <f>1.4198/C101</f>
        <v>0.11921074727120066</v>
      </c>
      <c r="D103" s="2860">
        <f>1.4198/D101</f>
        <v>0.11921074727120066</v>
      </c>
      <c r="E103" s="2860">
        <f>1.3372/E101</f>
        <v>0.1122753988245172</v>
      </c>
      <c r="F103" s="2860">
        <f>1.3372/F101</f>
        <v>0.1122753988245172</v>
      </c>
      <c r="G103" s="2860">
        <f>1.3372/G101</f>
        <v>0.1122753988245172</v>
      </c>
      <c r="H103" s="2860">
        <f>1.3372/H101</f>
        <v>0.1122753988245172</v>
      </c>
      <c r="I103" s="2860">
        <f>1.3372/I101</f>
        <v>0.1122753988245172</v>
      </c>
      <c r="J103" s="2860">
        <f>1.2799/J101</f>
        <v>0.10746431570109152</v>
      </c>
      <c r="K103" s="2860">
        <f>1.2799/K101</f>
        <v>0.10746431570109152</v>
      </c>
      <c r="L103" s="2860">
        <f>1.2799/L101</f>
        <v>0.10746431570109152</v>
      </c>
      <c r="M103" s="2860">
        <f>1.2799/M101</f>
        <v>0.10746431570109152</v>
      </c>
      <c r="N103" s="2860">
        <f>1.2799/N101</f>
        <v>0.10746431570109152</v>
      </c>
    </row>
    <row r="104" spans="1:14">
      <c r="A104" s="3381"/>
      <c r="B104" s="2859">
        <v>3</v>
      </c>
      <c r="C104" s="2860">
        <f>1.1594/C101</f>
        <v>9.7346767422334168E-2</v>
      </c>
      <c r="D104" s="2860">
        <f>1.1594/D101</f>
        <v>9.7346767422334168E-2</v>
      </c>
      <c r="E104" s="2860">
        <f>1.0788/E101</f>
        <v>9.0579345088161206E-2</v>
      </c>
      <c r="F104" s="2860">
        <f>1.0788/F101</f>
        <v>9.0579345088161206E-2</v>
      </c>
      <c r="G104" s="2860">
        <f>1.0788/G101</f>
        <v>9.0579345088161206E-2</v>
      </c>
      <c r="H104" s="2860">
        <f>1.0788/H101</f>
        <v>9.0579345088161206E-2</v>
      </c>
      <c r="I104" s="2860">
        <f>1.0788/I101</f>
        <v>9.0579345088161206E-2</v>
      </c>
      <c r="J104" s="2860">
        <f>1.0072/J101</f>
        <v>8.4567590260285486E-2</v>
      </c>
      <c r="K104" s="2860">
        <f>1.0072/K101</f>
        <v>8.4567590260285486E-2</v>
      </c>
      <c r="L104" s="2860">
        <f>1.0072/L101</f>
        <v>8.4567590260285486E-2</v>
      </c>
      <c r="M104" s="2860">
        <f>1.0072/M101</f>
        <v>8.4567590260285486E-2</v>
      </c>
      <c r="N104" s="2860">
        <f>1.0072/N101</f>
        <v>8.4567590260285486E-2</v>
      </c>
    </row>
    <row r="105" spans="1:14">
      <c r="A105" s="3381"/>
      <c r="B105" s="2859">
        <v>4</v>
      </c>
      <c r="C105" s="2860">
        <f>0.9622/C101</f>
        <v>8.0789252728799332E-2</v>
      </c>
      <c r="D105" s="2860">
        <f>0.9622/D101</f>
        <v>8.0789252728799332E-2</v>
      </c>
      <c r="E105" s="2860">
        <f>0.8656/E101</f>
        <v>7.26784214945424E-2</v>
      </c>
      <c r="F105" s="2860">
        <f>0.8656/F101</f>
        <v>7.26784214945424E-2</v>
      </c>
      <c r="G105" s="2860">
        <f>0.8656/G101</f>
        <v>7.26784214945424E-2</v>
      </c>
      <c r="H105" s="2860">
        <f>0.8656/H101</f>
        <v>7.26784214945424E-2</v>
      </c>
      <c r="I105" s="2860">
        <f>0.8656/I101</f>
        <v>7.26784214945424E-2</v>
      </c>
      <c r="J105" s="2860">
        <f>0.7525/J101</f>
        <v>6.3182199832073876E-2</v>
      </c>
      <c r="K105" s="2860">
        <f>0.7525/K101</f>
        <v>6.3182199832073876E-2</v>
      </c>
      <c r="L105" s="2860">
        <f>0.7525/L101</f>
        <v>6.3182199832073876E-2</v>
      </c>
      <c r="M105" s="2860">
        <f>0.7525/M101</f>
        <v>6.3182199832073876E-2</v>
      </c>
      <c r="N105" s="2860">
        <f>0.7525/N101</f>
        <v>6.3182199832073876E-2</v>
      </c>
    </row>
    <row r="106" spans="1:14">
      <c r="A106" s="3381"/>
      <c r="B106" s="2859">
        <v>5</v>
      </c>
      <c r="C106" s="2860">
        <f>0.8417/C101</f>
        <v>7.0671704450041978E-2</v>
      </c>
      <c r="D106" s="2860">
        <f>0.8417/D101</f>
        <v>7.0671704450041978E-2</v>
      </c>
      <c r="E106" s="2860">
        <f>0.7371/E101</f>
        <v>6.1889168765743068E-2</v>
      </c>
      <c r="F106" s="2860">
        <f>0.7371/F101</f>
        <v>6.1889168765743068E-2</v>
      </c>
      <c r="G106" s="2860">
        <f>0.7371/G101</f>
        <v>6.1889168765743068E-2</v>
      </c>
      <c r="H106" s="2860">
        <f>0.7371/H101</f>
        <v>6.1889168765743068E-2</v>
      </c>
      <c r="I106" s="2860">
        <f>0.7371/I101</f>
        <v>6.1889168765743068E-2</v>
      </c>
      <c r="J106" s="2860">
        <f>0.5659/J101</f>
        <v>4.7514693534844665E-2</v>
      </c>
      <c r="K106" s="2860">
        <f>0.5659/K101</f>
        <v>4.7514693534844665E-2</v>
      </c>
      <c r="L106" s="2860">
        <f>0.5659/L101</f>
        <v>4.7514693534844665E-2</v>
      </c>
      <c r="M106" s="2860">
        <f>0.5659/M101</f>
        <v>4.7514693534844665E-2</v>
      </c>
      <c r="N106" s="2860">
        <f>0.5659/N101</f>
        <v>4.7514693534844665E-2</v>
      </c>
    </row>
    <row r="107" spans="1:14">
      <c r="A107" s="3381"/>
      <c r="B107" s="2859">
        <v>6</v>
      </c>
      <c r="C107" s="2860">
        <f>0.7608/C101</f>
        <v>6.3879093198992445E-2</v>
      </c>
      <c r="D107" s="2860">
        <f>0.7608/D101</f>
        <v>6.3879093198992445E-2</v>
      </c>
      <c r="E107" s="2860">
        <f>0.6482/E101</f>
        <v>5.442485306465155E-2</v>
      </c>
      <c r="F107" s="2860">
        <f>0.6482/F101</f>
        <v>5.442485306465155E-2</v>
      </c>
      <c r="G107" s="2860">
        <f>0.6482/G101</f>
        <v>5.442485306465155E-2</v>
      </c>
      <c r="H107" s="2860">
        <f>0.6482/H101</f>
        <v>5.442485306465155E-2</v>
      </c>
      <c r="I107" s="2860">
        <f>0.6482/I101</f>
        <v>5.442485306465155E-2</v>
      </c>
      <c r="J107" s="2860">
        <f>0.4525/J101</f>
        <v>3.7993282955499579E-2</v>
      </c>
      <c r="K107" s="2860">
        <f>0.4525/K101</f>
        <v>3.7993282955499579E-2</v>
      </c>
      <c r="L107" s="2860">
        <f>0.4525/L101</f>
        <v>3.7993282955499579E-2</v>
      </c>
      <c r="M107" s="2860">
        <f>0.4525/M101</f>
        <v>3.7993282955499579E-2</v>
      </c>
      <c r="N107" s="2860">
        <f>0.4525/N101</f>
        <v>3.7993282955499579E-2</v>
      </c>
    </row>
    <row r="108" spans="1:14">
      <c r="A108" s="3381"/>
      <c r="B108" s="3265" t="s">
        <v>2841</v>
      </c>
      <c r="C108" s="2861">
        <f>C99</f>
        <v>0</v>
      </c>
      <c r="D108" s="2861">
        <f t="shared" ref="D108:N108" si="34">D99</f>
        <v>0</v>
      </c>
      <c r="E108" s="2861">
        <f t="shared" si="34"/>
        <v>0</v>
      </c>
      <c r="F108" s="2861">
        <f t="shared" si="34"/>
        <v>0</v>
      </c>
      <c r="G108" s="2861">
        <f t="shared" si="34"/>
        <v>0</v>
      </c>
      <c r="H108" s="2861">
        <f t="shared" si="34"/>
        <v>0</v>
      </c>
      <c r="I108" s="2861">
        <f t="shared" si="34"/>
        <v>0</v>
      </c>
      <c r="J108" s="2861">
        <f t="shared" si="34"/>
        <v>0</v>
      </c>
      <c r="K108" s="2861">
        <f t="shared" si="34"/>
        <v>0</v>
      </c>
      <c r="L108" s="2861">
        <f t="shared" si="34"/>
        <v>0</v>
      </c>
      <c r="M108" s="2861">
        <f t="shared" si="34"/>
        <v>0</v>
      </c>
      <c r="N108" s="2861">
        <f t="shared" si="34"/>
        <v>0</v>
      </c>
    </row>
    <row r="109" spans="1:14">
      <c r="A109" s="3382"/>
      <c r="B109" s="3266"/>
      <c r="C109" s="2862">
        <f>(-0.163*(C108^2)-0.59*C108+7617)*(10^(-4))/C101</f>
        <v>6.395465994962217E-2</v>
      </c>
      <c r="D109" s="2862">
        <f>(-0.163*(D108^2)-0.59*D108+7617)*(10^(-4))/D101</f>
        <v>6.395465994962217E-2</v>
      </c>
      <c r="E109" s="2862">
        <f>(-0.161*(E108^2)-7.509*E108+6533)*(10^(-4))/E101</f>
        <v>5.4853064651553318E-2</v>
      </c>
      <c r="F109" s="2862">
        <f>(-0.161*(F108^2)-7.509*F108+6533)*(10^(-4))/F101</f>
        <v>5.4853064651553318E-2</v>
      </c>
      <c r="G109" s="2862">
        <f>(-0.161*(G108^2)-7.509*G108+6533)*(10^(-4))/G101</f>
        <v>5.4853064651553318E-2</v>
      </c>
      <c r="H109" s="2862">
        <f>(-0.161*(H108^2)-7.509*H108+6533)*(10^(-4))/H101</f>
        <v>5.4853064651553318E-2</v>
      </c>
      <c r="I109" s="2862">
        <f>(-0.161*(I108^2)-7.509*I108+6533)*(10^(-4))/I101</f>
        <v>5.4853064651553318E-2</v>
      </c>
      <c r="J109" s="2862">
        <f>(-0.214*(J108^2)-21.991*J108+4665)*(10^(-4))/J101</f>
        <v>3.9168765743073049E-2</v>
      </c>
      <c r="K109" s="2862">
        <f>(-0.214*(K108^2)-21.991*K108+4665)*(10^(-4))/K101</f>
        <v>3.9168765743073049E-2</v>
      </c>
      <c r="L109" s="2862">
        <f>(-0.214*(L108^2)-21.991*L108+4665)*(10^(-4))/L101</f>
        <v>3.9168765743073049E-2</v>
      </c>
      <c r="M109" s="2862">
        <f>(-0.214*(M108^2)-21.991*M108+4665)*(10^(-4))/M101</f>
        <v>3.9168765743073049E-2</v>
      </c>
      <c r="N109" s="2862">
        <f>(-0.214*(N108^2)-21.991*N108+4665)*(10^(-4))/N101</f>
        <v>3.9168765743073049E-2</v>
      </c>
    </row>
    <row r="110" spans="1:14">
      <c r="A110" s="3383" t="s">
        <v>2952</v>
      </c>
      <c r="B110" s="3383"/>
      <c r="C110" s="3383"/>
      <c r="D110" s="3383"/>
      <c r="E110" s="3383"/>
      <c r="F110" s="3383"/>
      <c r="G110" s="3383"/>
      <c r="H110" s="3383"/>
      <c r="I110" s="3383"/>
      <c r="J110" s="3383"/>
      <c r="K110" s="3033"/>
      <c r="L110" s="3033"/>
      <c r="M110" s="3033"/>
      <c r="N110" s="3033"/>
    </row>
    <row r="112" spans="1:14" ht="13.5" thickBot="1"/>
    <row r="113" spans="1:13" ht="25.5" thickBot="1">
      <c r="A113" s="902" t="s">
        <v>2953</v>
      </c>
      <c r="B113" s="1289">
        <f>G3</f>
        <v>11.91</v>
      </c>
      <c r="C113" s="903" t="s">
        <v>2954</v>
      </c>
      <c r="D113" s="904">
        <f>SUMPRODUCT((A115:A118=F113)*(B114:M114=H113)*B115:M118)</f>
        <v>0.82150000000000001</v>
      </c>
      <c r="E113" s="2688" t="s">
        <v>2785</v>
      </c>
      <c r="F113" s="2867" t="str">
        <f>E2</f>
        <v>商业</v>
      </c>
      <c r="G113" s="2688" t="s">
        <v>2786</v>
      </c>
      <c r="H113" s="2867" t="str">
        <f>G2</f>
        <v>一级</v>
      </c>
      <c r="I113" s="2688"/>
      <c r="J113" s="2868"/>
      <c r="K113" s="2868"/>
      <c r="L113" s="2868"/>
      <c r="M113" s="2868"/>
    </row>
    <row r="114" spans="1:13">
      <c r="A114" s="907"/>
      <c r="B114" s="2869" t="s">
        <v>2955</v>
      </c>
      <c r="C114" s="2869" t="s">
        <v>2956</v>
      </c>
      <c r="D114" s="2869" t="s">
        <v>2957</v>
      </c>
      <c r="E114" s="2870" t="s">
        <v>2958</v>
      </c>
      <c r="F114" s="2870" t="s">
        <v>2959</v>
      </c>
      <c r="G114" s="2870" t="s">
        <v>2960</v>
      </c>
      <c r="H114" s="2871" t="s">
        <v>2961</v>
      </c>
      <c r="I114" s="2871" t="s">
        <v>2962</v>
      </c>
      <c r="J114" s="2872" t="s">
        <v>2963</v>
      </c>
      <c r="K114" s="2872" t="s">
        <v>2964</v>
      </c>
      <c r="L114" s="2872" t="s">
        <v>2965</v>
      </c>
      <c r="M114" s="2873" t="s">
        <v>2966</v>
      </c>
    </row>
    <row r="115" spans="1:13">
      <c r="A115" s="908" t="s">
        <v>2850</v>
      </c>
      <c r="B115" s="909">
        <f>ROUND(0.9335-0.0094*B113,4)</f>
        <v>0.82150000000000001</v>
      </c>
      <c r="C115" s="909">
        <f>B115</f>
        <v>0.82150000000000001</v>
      </c>
      <c r="D115" s="909">
        <f>ROUND(0.8331-0.0109*B113,4)</f>
        <v>0.70330000000000004</v>
      </c>
      <c r="E115" s="909">
        <f>D115</f>
        <v>0.70330000000000004</v>
      </c>
      <c r="F115" s="909">
        <f>E115</f>
        <v>0.70330000000000004</v>
      </c>
      <c r="G115" s="909">
        <f>F115</f>
        <v>0.70330000000000004</v>
      </c>
      <c r="H115" s="909">
        <f>G115</f>
        <v>0.70330000000000004</v>
      </c>
      <c r="I115" s="909">
        <f>ROUND(0.689-0.0155*B113,4)</f>
        <v>0.50439999999999996</v>
      </c>
      <c r="J115" s="909">
        <f t="shared" ref="J115:M118" si="35">I115</f>
        <v>0.50439999999999996</v>
      </c>
      <c r="K115" s="909">
        <f t="shared" si="35"/>
        <v>0.50439999999999996</v>
      </c>
      <c r="L115" s="909">
        <f t="shared" si="35"/>
        <v>0.50439999999999996</v>
      </c>
      <c r="M115" s="910">
        <f t="shared" si="35"/>
        <v>0.50439999999999996</v>
      </c>
    </row>
    <row r="116" spans="1:13">
      <c r="A116" s="908" t="s">
        <v>2851</v>
      </c>
      <c r="B116" s="909">
        <f>ROUND(0.949-0.012*B113,4)</f>
        <v>0.80610000000000004</v>
      </c>
      <c r="C116" s="909">
        <f>B116</f>
        <v>0.80610000000000004</v>
      </c>
      <c r="D116" s="909">
        <f>ROUND(0.8567-0.013*B113,4)</f>
        <v>0.70189999999999997</v>
      </c>
      <c r="E116" s="909">
        <f t="shared" ref="E116:H117" si="36">D116</f>
        <v>0.70189999999999997</v>
      </c>
      <c r="F116" s="909">
        <f t="shared" si="36"/>
        <v>0.70189999999999997</v>
      </c>
      <c r="G116" s="909">
        <f t="shared" si="36"/>
        <v>0.70189999999999997</v>
      </c>
      <c r="H116" s="909">
        <f t="shared" si="36"/>
        <v>0.70189999999999997</v>
      </c>
      <c r="I116" s="909">
        <f>ROUND(0.7694-0.014*B113,4)</f>
        <v>0.60270000000000001</v>
      </c>
      <c r="J116" s="909">
        <f t="shared" si="35"/>
        <v>0.60270000000000001</v>
      </c>
      <c r="K116" s="909">
        <f t="shared" si="35"/>
        <v>0.60270000000000001</v>
      </c>
      <c r="L116" s="909">
        <f t="shared" si="35"/>
        <v>0.60270000000000001</v>
      </c>
      <c r="M116" s="910">
        <f t="shared" si="35"/>
        <v>0.60270000000000001</v>
      </c>
    </row>
    <row r="117" spans="1:13">
      <c r="A117" s="908" t="s">
        <v>2852</v>
      </c>
      <c r="B117" s="909">
        <f>ROUND(0.8808-0.006*B113,4)</f>
        <v>0.80930000000000002</v>
      </c>
      <c r="C117" s="909">
        <f>B117</f>
        <v>0.80930000000000002</v>
      </c>
      <c r="D117" s="909">
        <f>ROUND(0.8748-0.008*B113,4)</f>
        <v>0.77949999999999997</v>
      </c>
      <c r="E117" s="909">
        <f t="shared" si="36"/>
        <v>0.77949999999999997</v>
      </c>
      <c r="F117" s="909">
        <f t="shared" si="36"/>
        <v>0.77949999999999997</v>
      </c>
      <c r="G117" s="909">
        <f t="shared" si="36"/>
        <v>0.77949999999999997</v>
      </c>
      <c r="H117" s="909">
        <f t="shared" si="36"/>
        <v>0.77949999999999997</v>
      </c>
      <c r="I117" s="909">
        <f>ROUND(0.7412-0.0095*B113,4)</f>
        <v>0.62809999999999999</v>
      </c>
      <c r="J117" s="909">
        <f t="shared" si="35"/>
        <v>0.62809999999999999</v>
      </c>
      <c r="K117" s="909">
        <f t="shared" si="35"/>
        <v>0.62809999999999999</v>
      </c>
      <c r="L117" s="909">
        <f t="shared" si="35"/>
        <v>0.62809999999999999</v>
      </c>
      <c r="M117" s="910">
        <f t="shared" si="35"/>
        <v>0.62809999999999999</v>
      </c>
    </row>
    <row r="118" spans="1:13" ht="13.5" thickBot="1">
      <c r="A118" s="713" t="s">
        <v>2853</v>
      </c>
      <c r="B118" s="911">
        <f>ROUND(0.7275-0.01*B113,4)</f>
        <v>0.60840000000000005</v>
      </c>
      <c r="C118" s="911">
        <f>B118</f>
        <v>0.60840000000000005</v>
      </c>
      <c r="D118" s="911">
        <f>ROUND(0.7043-0.012*B113,4)</f>
        <v>0.56140000000000001</v>
      </c>
      <c r="E118" s="911">
        <f>D118</f>
        <v>0.56140000000000001</v>
      </c>
      <c r="F118" s="911">
        <f>E118</f>
        <v>0.56140000000000001</v>
      </c>
      <c r="G118" s="911">
        <f>ROUND(0.6299-0.0122*B113,4)</f>
        <v>0.48459999999999998</v>
      </c>
      <c r="H118" s="911">
        <f>G118</f>
        <v>0.48459999999999998</v>
      </c>
      <c r="I118" s="911">
        <f>ROUND(0.5667-0.0136*B113,4)</f>
        <v>0.4047</v>
      </c>
      <c r="J118" s="911">
        <f t="shared" si="35"/>
        <v>0.4047</v>
      </c>
      <c r="K118" s="911">
        <f t="shared" si="35"/>
        <v>0.4047</v>
      </c>
      <c r="L118" s="911">
        <f t="shared" si="35"/>
        <v>0.4047</v>
      </c>
      <c r="M118" s="912">
        <f t="shared" si="35"/>
        <v>0.4047</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2" type="noConversion"/>
  <conditionalFormatting sqref="F48">
    <cfRule type="cellIs" dxfId="120" priority="5" stopIfTrue="1" operator="notEqual">
      <formula>"——"</formula>
    </cfRule>
  </conditionalFormatting>
  <conditionalFormatting sqref="F59">
    <cfRule type="cellIs" dxfId="119" priority="4" stopIfTrue="1" operator="notEqual">
      <formula>"——"</formula>
    </cfRule>
  </conditionalFormatting>
  <conditionalFormatting sqref="F70">
    <cfRule type="cellIs" dxfId="118" priority="3" stopIfTrue="1" operator="notEqual">
      <formula>"——"</formula>
    </cfRule>
  </conditionalFormatting>
  <conditionalFormatting sqref="F81">
    <cfRule type="cellIs" dxfId="117" priority="2" stopIfTrue="1" operator="notEqual">
      <formula>"——"</formula>
    </cfRule>
  </conditionalFormatting>
  <conditionalFormatting sqref="H48:H56 H59:H67 H70:H78 H81:H88">
    <cfRule type="cellIs" dxfId="116"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6" sqref="C6"/>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1377</v>
      </c>
      <c r="D1" s="1822" t="s">
        <v>70</v>
      </c>
      <c r="E1" s="1823" t="s">
        <v>1387</v>
      </c>
      <c r="F1" s="1285">
        <f ca="1">J53</f>
        <v>24.9</v>
      </c>
      <c r="G1" s="1838">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95859</v>
      </c>
      <c r="C2" s="1847" t="s">
        <v>1516</v>
      </c>
      <c r="D2" s="1847"/>
      <c r="E2" s="1848"/>
      <c r="F2" s="1849"/>
      <c r="G2" s="1850"/>
      <c r="H2" s="1842"/>
      <c r="I2" s="1842"/>
      <c r="J2" s="1842"/>
      <c r="K2" s="1843"/>
      <c r="L2" s="1842"/>
      <c r="M2" s="1842"/>
    </row>
    <row r="3" spans="1:37" ht="18" customHeight="1" thickBot="1">
      <c r="A3" s="1851" t="s">
        <v>1517</v>
      </c>
      <c r="B3" s="1852">
        <f ca="1">IF(ISERROR(B2*10000/F43),0,ROUND(B2*10000/F43,0))</f>
        <v>90986</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f ca="1">C6+C10+C12</f>
        <v>5487</v>
      </c>
      <c r="D5" s="1824" t="s">
        <v>1402</v>
      </c>
      <c r="E5" s="1295"/>
      <c r="F5" s="1296"/>
      <c r="G5" s="1853"/>
      <c r="H5" s="343">
        <v>1</v>
      </c>
      <c r="I5" s="344" t="s">
        <v>1401</v>
      </c>
      <c r="J5" s="1294">
        <f ca="1">J6+J10+J12</f>
        <v>0</v>
      </c>
      <c r="K5" s="1824" t="s">
        <v>1402</v>
      </c>
      <c r="L5" s="1295"/>
      <c r="M5" s="1296"/>
    </row>
    <row r="6" spans="1:37" ht="18" customHeight="1">
      <c r="A6" s="1293" t="s">
        <v>1035</v>
      </c>
      <c r="B6" s="3343" t="s">
        <v>1403</v>
      </c>
      <c r="C6" s="1298">
        <f ca="1">ROUND(F6*F8*F7*(1-F9)/10000,0)</f>
        <v>5480</v>
      </c>
      <c r="D6" s="163" t="s">
        <v>3003</v>
      </c>
      <c r="E6" s="346" t="s">
        <v>1405</v>
      </c>
      <c r="F6" s="347">
        <f ca="1">INDIRECT("'数据-取费表'!u"&amp;$G$1)</f>
        <v>15</v>
      </c>
      <c r="G6" s="1853"/>
      <c r="H6" s="1293" t="s">
        <v>1035</v>
      </c>
      <c r="I6" s="3343" t="s">
        <v>1403</v>
      </c>
      <c r="J6" s="345">
        <f ca="1">ROUND(M6*M8*M7*(1-M9)/10000,0)</f>
        <v>0</v>
      </c>
      <c r="K6" s="163" t="s">
        <v>3002</v>
      </c>
      <c r="L6" s="346" t="s">
        <v>1405</v>
      </c>
      <c r="M6" s="347">
        <f ca="1">INDIRECT("'数据-取费表'!z"&amp;$G$1)</f>
        <v>0</v>
      </c>
    </row>
    <row r="7" spans="1:37" ht="18" customHeight="1">
      <c r="A7" s="1297"/>
      <c r="B7" s="3344"/>
      <c r="C7" s="1299"/>
      <c r="D7" s="351"/>
      <c r="E7" s="2997" t="s">
        <v>1406</v>
      </c>
      <c r="F7" s="347">
        <f ca="1">IF(INDIRECT("'数据-取费表'!ah"&amp;$G$1)="",INDIRECT("'数据-取费表'!k"&amp;$G$1),INDIRECT("'数据-取费表'!ah"&amp;$G$1))</f>
        <v>10535.52</v>
      </c>
      <c r="G7" s="1853"/>
      <c r="H7" s="348"/>
      <c r="I7" s="3344"/>
      <c r="J7" s="350"/>
      <c r="K7" s="351"/>
      <c r="L7" s="346" t="s">
        <v>1406</v>
      </c>
      <c r="M7" s="347">
        <f ca="1">F7</f>
        <v>10535.52</v>
      </c>
    </row>
    <row r="8" spans="1:37" ht="18" customHeight="1">
      <c r="A8" s="348"/>
      <c r="B8" s="3344"/>
      <c r="C8" s="350"/>
      <c r="D8" s="351"/>
      <c r="E8" s="346" t="s">
        <v>1407</v>
      </c>
      <c r="F8" s="347">
        <f ca="1">INDIRECT("'数据-取费表'!ai"&amp;$G$1)</f>
        <v>365</v>
      </c>
      <c r="G8" s="1853"/>
      <c r="H8" s="348"/>
      <c r="I8" s="3344"/>
      <c r="J8" s="350"/>
      <c r="K8" s="351"/>
      <c r="L8" s="346" t="s">
        <v>1407</v>
      </c>
      <c r="M8" s="347">
        <f ca="1">INDIRECT("'数据-取费表'!ai"&amp;$G$1)</f>
        <v>365</v>
      </c>
    </row>
    <row r="9" spans="1:37" ht="18" customHeight="1">
      <c r="A9" s="348"/>
      <c r="B9" s="3345"/>
      <c r="C9" s="350"/>
      <c r="D9" s="351"/>
      <c r="E9" s="346" t="s">
        <v>1408</v>
      </c>
      <c r="F9" s="356">
        <f ca="1">INDIRECT("'数据-取费表'!w"&amp;$G$1)</f>
        <v>0.05</v>
      </c>
      <c r="G9" s="1853"/>
      <c r="H9" s="348"/>
      <c r="I9" s="3345"/>
      <c r="J9" s="350"/>
      <c r="K9" s="351"/>
      <c r="L9" s="357" t="s">
        <v>1408</v>
      </c>
      <c r="M9" s="358">
        <f ca="1">INDIRECT("'数据-取费表'!ab"&amp;$G$1)</f>
        <v>0</v>
      </c>
    </row>
    <row r="10" spans="1:37" ht="18" customHeight="1">
      <c r="A10" s="1293" t="s">
        <v>1039</v>
      </c>
      <c r="B10" s="1825" t="s">
        <v>1409</v>
      </c>
      <c r="C10" s="360">
        <f ca="1">ROUND(IF(F10="押一",C6/12*F11,IF(F10="押二",C6/12*2*F11,IF(F10="押三",C6/12*3*F11,C11*F11))),0)</f>
        <v>7</v>
      </c>
      <c r="D10" s="1826" t="s">
        <v>3011</v>
      </c>
      <c r="E10" s="357" t="s">
        <v>1410</v>
      </c>
      <c r="F10" s="1368" t="s">
        <v>3250</v>
      </c>
      <c r="G10" s="1853"/>
      <c r="H10" s="1293" t="s">
        <v>1039</v>
      </c>
      <c r="I10" s="1825" t="s">
        <v>1409</v>
      </c>
      <c r="J10" s="345">
        <f ca="1">ROUND(IF(M10="押一",J6/12*M11,IF(M10="押二",J6/12*2*M11,IF(M10="押三",J6/12*3*M11,J11*M11))),0)</f>
        <v>0</v>
      </c>
      <c r="K10" s="1826" t="s">
        <v>3011</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8010</v>
      </c>
      <c r="D13" s="1333" t="s">
        <v>1415</v>
      </c>
      <c r="E13" s="1333" t="s">
        <v>1416</v>
      </c>
      <c r="F13" s="1334">
        <f ca="1">INDIRECT("'数据-取费表'!y"&amp;$G$1)</f>
        <v>0.92</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5323</v>
      </c>
      <c r="D14" s="2991" t="s">
        <v>1418</v>
      </c>
      <c r="E14" s="2989"/>
      <c r="F14" s="363"/>
      <c r="G14" s="1853"/>
      <c r="H14" s="1203" t="s">
        <v>1035</v>
      </c>
      <c r="I14" s="346" t="s">
        <v>1419</v>
      </c>
      <c r="J14" s="24">
        <f ca="1">C29</f>
        <v>8707</v>
      </c>
      <c r="K14" s="2996"/>
      <c r="L14" s="981"/>
      <c r="M14" s="982"/>
    </row>
    <row r="15" spans="1:37" s="1860" customFormat="1" ht="18" customHeight="1" thickBot="1">
      <c r="A15" s="1203" t="s">
        <v>1036</v>
      </c>
      <c r="B15" s="346" t="s">
        <v>1420</v>
      </c>
      <c r="C15" s="24">
        <f ca="1">ROUND(C14*F15,0)</f>
        <v>266</v>
      </c>
      <c r="D15" s="364" t="s">
        <v>1421</v>
      </c>
      <c r="E15" s="364" t="s">
        <v>1422</v>
      </c>
      <c r="F15" s="365">
        <f>'数据-取费表'!B33</f>
        <v>0.05</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206</v>
      </c>
      <c r="K16" s="1339" t="s">
        <v>1425</v>
      </c>
      <c r="L16" s="2992"/>
      <c r="M16" s="1296"/>
    </row>
    <row r="17" spans="1:37" s="1860" customFormat="1" ht="18" customHeight="1">
      <c r="A17" s="1203" t="s">
        <v>1390</v>
      </c>
      <c r="B17" s="346" t="s">
        <v>1426</v>
      </c>
      <c r="C17" s="24">
        <f ca="1">ROUND(F17*(F43+INDIRECT("'数据-取费表'!S"&amp;$G$1))/10000,0)</f>
        <v>215</v>
      </c>
      <c r="D17" s="346" t="s">
        <v>1427</v>
      </c>
      <c r="E17" s="346" t="s">
        <v>1428</v>
      </c>
      <c r="F17" s="26">
        <f>'数据-取费表'!B35</f>
        <v>200</v>
      </c>
      <c r="G17" s="1856"/>
      <c r="H17" s="1203" t="s">
        <v>1035</v>
      </c>
      <c r="I17" s="346" t="s">
        <v>1429</v>
      </c>
      <c r="J17" s="24">
        <f ca="1">ROUND(IF(项目基本情况!B11="自然人",J5*M17,J18+J19+J20),1)</f>
        <v>75.2</v>
      </c>
      <c r="K17" s="2991" t="s">
        <v>1430</v>
      </c>
      <c r="L17" s="299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80</v>
      </c>
      <c r="D18" s="346" t="s">
        <v>1421</v>
      </c>
      <c r="E18" s="346" t="s">
        <v>1422</v>
      </c>
      <c r="F18" s="366">
        <f>'数据-取费表'!B36</f>
        <v>1.4999999999999999E-2</v>
      </c>
      <c r="G18" s="1856"/>
      <c r="H18" s="1203" t="s">
        <v>1034</v>
      </c>
      <c r="I18" s="346" t="s">
        <v>1433</v>
      </c>
      <c r="J18" s="24">
        <f ca="1">ROUND(J5*M18/(1+'数据-取费表'!C42),2)</f>
        <v>0</v>
      </c>
      <c r="K18" s="2990"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5884</v>
      </c>
      <c r="D19" s="139" t="s">
        <v>1436</v>
      </c>
      <c r="E19" s="2995"/>
      <c r="F19" s="26"/>
      <c r="G19" s="1853"/>
      <c r="H19" s="1203" t="s">
        <v>1036</v>
      </c>
      <c r="I19" s="346" t="s">
        <v>1437</v>
      </c>
      <c r="J19" s="24">
        <f ca="1">IF(K19="按租金收入计税",ROUND(J5*M19,2),ROUND(C29*M19*0.7,2))</f>
        <v>73.14</v>
      </c>
      <c r="K19" s="1830" t="s">
        <v>1438</v>
      </c>
      <c r="L19" s="346" t="s">
        <v>1422</v>
      </c>
      <c r="M19" s="366">
        <f>IF(K19="按租金收入计税",'数据-取费表'!B51,'数据-取费表'!B50)</f>
        <v>1.2E-2</v>
      </c>
    </row>
    <row r="20" spans="1:37" s="1860" customFormat="1" ht="18" customHeight="1">
      <c r="A20" s="1203" t="s">
        <v>1039</v>
      </c>
      <c r="B20" s="346" t="s">
        <v>1439</v>
      </c>
      <c r="C20" s="24">
        <f ca="1">ROUND(C19*F20,0)</f>
        <v>177</v>
      </c>
      <c r="D20" s="368" t="s">
        <v>1440</v>
      </c>
      <c r="E20" s="346" t="s">
        <v>1422</v>
      </c>
      <c r="F20" s="366">
        <f>'数据-取费表'!B37</f>
        <v>0.03</v>
      </c>
      <c r="G20" s="1856"/>
      <c r="H20" s="1203" t="s">
        <v>1389</v>
      </c>
      <c r="I20" s="163" t="s">
        <v>1441</v>
      </c>
      <c r="J20" s="25">
        <f ca="1">ROUND(M20*M21/10000,2)</f>
        <v>2.1</v>
      </c>
      <c r="K20" s="369" t="s">
        <v>1442</v>
      </c>
      <c r="L20" s="346" t="s">
        <v>1443</v>
      </c>
      <c r="M20" s="370">
        <f>'数据-取费表'!B52</f>
        <v>30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v>
      </c>
      <c r="D21" s="368" t="s">
        <v>1445</v>
      </c>
      <c r="E21" s="346" t="s">
        <v>1446</v>
      </c>
      <c r="F21" s="366">
        <f>'数据-取费表'!B38</f>
        <v>0.02</v>
      </c>
      <c r="G21" s="1856"/>
      <c r="H21" s="371"/>
      <c r="I21" s="355"/>
      <c r="J21" s="29"/>
      <c r="K21" s="372"/>
      <c r="L21" s="346" t="s">
        <v>1447</v>
      </c>
      <c r="M21" s="347">
        <f ca="1">INDIRECT("'数据-取费表'!r"&amp;$G$1)</f>
        <v>701.23</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2995"/>
      <c r="F22" s="26"/>
      <c r="G22" s="1853"/>
      <c r="H22" s="1203" t="s">
        <v>1039</v>
      </c>
      <c r="I22" s="346" t="s">
        <v>1449</v>
      </c>
      <c r="J22" s="24">
        <f ca="1">ROUND(J14*M22,1)</f>
        <v>130.6</v>
      </c>
      <c r="K22" s="2990" t="s">
        <v>1450</v>
      </c>
      <c r="L22" s="346" t="s">
        <v>1422</v>
      </c>
      <c r="M22" s="373">
        <f ca="1">INDIRECT("'数据-取费表'!Ak"&amp;$G$1)</f>
        <v>1.4999999999999999E-2</v>
      </c>
    </row>
    <row r="23" spans="1:37" s="1860" customFormat="1" ht="18" customHeight="1">
      <c r="A23" s="1203" t="s">
        <v>1034</v>
      </c>
      <c r="B23" s="346" t="s">
        <v>1451</v>
      </c>
      <c r="C23" s="24">
        <f ca="1">IF('数据-取费表'!B22&lt;=1,ROUND(C19*F24*F23/2,0)+ROUND(C20*F24*F23/2,0),ROUND(C19*(POWER((1+F24),F23/2)-1),0)+ROUND(C20*(POWER((1+F24),F23/2)-1),0))</f>
        <v>437</v>
      </c>
      <c r="D23" s="374" t="str">
        <f>IF(F23&lt;=1,"(建造成本+管理费用)×利率×(建设周期÷2)","(建造成本+管理费用)×((1+利率)^(建设周期÷2)-1)")</f>
        <v>(建造成本+管理费用)×((1+利率)^(建设周期÷2)-1)</v>
      </c>
      <c r="E23" s="346" t="s">
        <v>1452</v>
      </c>
      <c r="F23" s="370">
        <f>'数据-取费表'!B20</f>
        <v>3</v>
      </c>
      <c r="G23" s="1856"/>
      <c r="H23" s="1203" t="s">
        <v>1075</v>
      </c>
      <c r="I23" s="346" t="s">
        <v>1453</v>
      </c>
      <c r="J23" s="24">
        <f ca="1">ROUND(J13*M23,1)</f>
        <v>0</v>
      </c>
      <c r="K23" s="2990" t="s">
        <v>1454</v>
      </c>
      <c r="L23" s="346" t="s">
        <v>1422</v>
      </c>
      <c r="M23" s="375">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6" t="s">
        <v>1457</v>
      </c>
      <c r="C24" s="24">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6"/>
      <c r="H24" s="1341" t="s">
        <v>1392</v>
      </c>
      <c r="I24" s="1342" t="s">
        <v>1439</v>
      </c>
      <c r="J24" s="1343">
        <f ca="1">ROUND(J5*M24,1)</f>
        <v>0</v>
      </c>
      <c r="K24" s="1344" t="s">
        <v>1459</v>
      </c>
      <c r="L24" s="1342" t="s">
        <v>1422</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39" t="s">
        <v>1462</v>
      </c>
      <c r="E25" s="2995"/>
      <c r="F25" s="26"/>
      <c r="G25" s="1853"/>
      <c r="H25" s="1331" t="s">
        <v>1031</v>
      </c>
      <c r="I25" s="1346" t="s">
        <v>1463</v>
      </c>
      <c r="J25" s="354">
        <f ca="1">J5-J16</f>
        <v>-206</v>
      </c>
      <c r="K25" s="1347" t="s">
        <v>1464</v>
      </c>
      <c r="L25" s="1348"/>
      <c r="M25" s="1349"/>
    </row>
    <row r="26" spans="1:37">
      <c r="A26" s="1203" t="s">
        <v>1034</v>
      </c>
      <c r="B26" s="346" t="s">
        <v>1465</v>
      </c>
      <c r="C26" s="24">
        <f ca="1">ROUND((C19+C20)*F26,0)</f>
        <v>1515</v>
      </c>
      <c r="D26" s="368" t="s">
        <v>1466</v>
      </c>
      <c r="E26" s="357" t="s">
        <v>1467</v>
      </c>
      <c r="F26" s="356">
        <f ca="1">INDIRECT("'数据-取费表'!q"&amp;$G$1)</f>
        <v>0.25</v>
      </c>
      <c r="G26" s="1853"/>
      <c r="H26" s="343" t="s">
        <v>1032</v>
      </c>
      <c r="I26" s="344" t="s">
        <v>1468</v>
      </c>
      <c r="J26" s="345">
        <f ca="1">IF(J5&lt;&gt;0,ROUND(J25*(1-((1+M28)/(1+M26))^M27)/(M26-M28),0),0)</f>
        <v>0</v>
      </c>
      <c r="K26" s="369" t="s">
        <v>1469</v>
      </c>
      <c r="L26" s="346" t="s">
        <v>1470</v>
      </c>
      <c r="M26" s="356">
        <f ca="1">INDIRECT("'数据-取费表'!I"&amp;$G$1)</f>
        <v>0.05</v>
      </c>
    </row>
    <row r="27" spans="1:37" ht="18" customHeight="1">
      <c r="A27" s="1203" t="s">
        <v>1036</v>
      </c>
      <c r="B27" s="346" t="s">
        <v>1471</v>
      </c>
      <c r="C27" s="24">
        <f ca="1">ROUND(F21*F26,4)</f>
        <v>5.0000000000000001E-3</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8707</v>
      </c>
      <c r="D29" s="1344"/>
      <c r="E29" s="1342"/>
      <c r="F29" s="1345"/>
      <c r="G29" s="1856"/>
      <c r="H29" s="379" t="s">
        <v>1033</v>
      </c>
      <c r="I29" s="380" t="s">
        <v>1479</v>
      </c>
      <c r="J29" s="381">
        <f ca="1">ROUND(J26/(1+F40)^F41,0)</f>
        <v>0</v>
      </c>
      <c r="K29" s="382" t="s">
        <v>1480</v>
      </c>
      <c r="L29" s="383"/>
      <c r="M29" s="384">
        <f ca="1">INDIRECT("'数据-取费表'!k"&amp;$G$1)</f>
        <v>10535.52</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1210</v>
      </c>
      <c r="D30" s="1339" t="s">
        <v>1425</v>
      </c>
      <c r="E30" s="2992"/>
      <c r="F30" s="1296"/>
      <c r="G30" s="1853"/>
      <c r="H30" s="744"/>
      <c r="I30" s="745"/>
      <c r="J30" s="746"/>
      <c r="K30" s="747"/>
      <c r="L30" s="748"/>
      <c r="M30" s="749"/>
    </row>
    <row r="31" spans="1:37" ht="18" customHeight="1">
      <c r="A31" s="1203" t="s">
        <v>1035</v>
      </c>
      <c r="B31" s="346" t="s">
        <v>1429</v>
      </c>
      <c r="C31" s="24">
        <f ca="1">ROUND(IF(项目基本情况!B11="自然人",C5*F31,C32+C33+C34),1)</f>
        <v>953.2</v>
      </c>
      <c r="D31" s="2991" t="s">
        <v>1430</v>
      </c>
      <c r="E31" s="299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IF(项目基本情况!B11="自然人","——",ROUND(C5*F32/(1+'数据-取费表'!C42),2))</f>
        <v>292.64</v>
      </c>
      <c r="D32" s="2990" t="s">
        <v>1434</v>
      </c>
      <c r="E32" s="346" t="s">
        <v>1422</v>
      </c>
      <c r="F32" s="376">
        <f>'数据-取费表'!B41</f>
        <v>5.6000000000000001E-2</v>
      </c>
      <c r="G32" s="1853"/>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658.44</v>
      </c>
      <c r="D33" s="1830" t="s">
        <v>3251</v>
      </c>
      <c r="E33" s="346" t="s">
        <v>1422</v>
      </c>
      <c r="F33" s="366">
        <f>IF(D33="按票据","——",IF(D33="按租金收入计税",'数据-取费表'!B51,'数据-取费表'!B50))</f>
        <v>0.12</v>
      </c>
      <c r="G33" s="1853"/>
      <c r="H33" s="1861"/>
      <c r="I33" s="1862"/>
      <c r="J33" s="1863"/>
      <c r="K33" s="1864"/>
      <c r="L33" s="1861"/>
      <c r="M33" s="1861"/>
    </row>
    <row r="34" spans="1:18" ht="18" customHeight="1">
      <c r="A34" s="1293" t="s">
        <v>1389</v>
      </c>
      <c r="B34" s="163" t="s">
        <v>1441</v>
      </c>
      <c r="C34" s="25">
        <f ca="1">IF(项目基本情况!B11="自然人","——",ROUND(F34*F35/10000,2))</f>
        <v>2.1</v>
      </c>
      <c r="D34" s="369" t="s">
        <v>1442</v>
      </c>
      <c r="E34" s="346" t="s">
        <v>1443</v>
      </c>
      <c r="F34" s="370">
        <f>'数据-取费表'!B52</f>
        <v>30</v>
      </c>
      <c r="G34" s="1853"/>
      <c r="H34" s="744"/>
      <c r="I34" s="1862"/>
      <c r="J34" s="1863"/>
      <c r="K34" s="1865"/>
      <c r="L34" s="1866"/>
      <c r="M34" s="1866"/>
    </row>
    <row r="35" spans="1:18" ht="18" customHeight="1">
      <c r="A35" s="1355"/>
      <c r="B35" s="1353"/>
      <c r="C35" s="29"/>
      <c r="D35" s="372"/>
      <c r="E35" s="346" t="s">
        <v>1447</v>
      </c>
      <c r="F35" s="347">
        <f ca="1">INDIRECT("'数据-取费表'!r"&amp;$G$1)</f>
        <v>701.23</v>
      </c>
      <c r="G35" s="1853"/>
      <c r="H35" s="744"/>
      <c r="I35" s="1862"/>
      <c r="J35" s="1863"/>
      <c r="K35" s="1864"/>
      <c r="L35" s="1861"/>
      <c r="M35" s="1861"/>
    </row>
    <row r="36" spans="1:18" ht="18" customHeight="1">
      <c r="A36" s="1354" t="s">
        <v>1039</v>
      </c>
      <c r="B36" s="346" t="s">
        <v>1449</v>
      </c>
      <c r="C36" s="24">
        <f ca="1">ROUND(C29*F36,1)</f>
        <v>130.6</v>
      </c>
      <c r="D36" s="2990" t="s">
        <v>1482</v>
      </c>
      <c r="E36" s="346" t="s">
        <v>1422</v>
      </c>
      <c r="F36" s="373">
        <f ca="1">INDIRECT("'数据-取费表'!Ak"&amp;$G$1)</f>
        <v>1.4999999999999999E-2</v>
      </c>
      <c r="G36" s="1853"/>
      <c r="H36" s="1861"/>
      <c r="I36" s="1862"/>
      <c r="J36" s="1863"/>
      <c r="K36" s="750"/>
      <c r="L36" s="1861"/>
      <c r="M36" s="1861"/>
    </row>
    <row r="37" spans="1:18" ht="18" customHeight="1">
      <c r="A37" s="1203" t="s">
        <v>1075</v>
      </c>
      <c r="B37" s="346" t="s">
        <v>1453</v>
      </c>
      <c r="C37" s="24">
        <f ca="1">ROUND(C13*F37,1)</f>
        <v>16</v>
      </c>
      <c r="D37" s="2990" t="s">
        <v>1454</v>
      </c>
      <c r="E37" s="346" t="s">
        <v>1422</v>
      </c>
      <c r="F37" s="375">
        <f ca="1">INDIRECT("'数据-取费表'!Al"&amp;$G$1)</f>
        <v>2E-3</v>
      </c>
      <c r="G37" s="1853"/>
      <c r="H37" s="1861"/>
      <c r="I37" s="1862"/>
      <c r="J37" s="1863"/>
      <c r="K37" s="750"/>
      <c r="L37" s="1861"/>
      <c r="M37" s="1861"/>
    </row>
    <row r="38" spans="1:18" ht="18" customHeight="1" thickBot="1">
      <c r="A38" s="1341" t="s">
        <v>1392</v>
      </c>
      <c r="B38" s="1342" t="s">
        <v>1439</v>
      </c>
      <c r="C38" s="1343">
        <f ca="1">ROUND(C5*F38,1)</f>
        <v>109.7</v>
      </c>
      <c r="D38" s="1344" t="s">
        <v>1459</v>
      </c>
      <c r="E38" s="1342" t="s">
        <v>1422</v>
      </c>
      <c r="F38" s="1338">
        <f ca="1">INDIRECT("'数据-取费表'!Am"&amp;$G$1)</f>
        <v>0.02</v>
      </c>
      <c r="G38" s="1853"/>
      <c r="H38" s="1861"/>
      <c r="I38" s="1862"/>
      <c r="J38" s="1863"/>
      <c r="K38" s="1867"/>
      <c r="L38" s="1861"/>
      <c r="M38" s="1861"/>
    </row>
    <row r="39" spans="1:18" ht="24.6" customHeight="1" thickTop="1">
      <c r="A39" s="1331" t="s">
        <v>1031</v>
      </c>
      <c r="B39" s="1346" t="s">
        <v>1463</v>
      </c>
      <c r="C39" s="354">
        <f ca="1">C5-C30</f>
        <v>4277</v>
      </c>
      <c r="D39" s="1347" t="s">
        <v>1464</v>
      </c>
      <c r="E39" s="1348"/>
      <c r="F39" s="1349"/>
      <c r="G39" s="1853"/>
      <c r="H39" s="1861"/>
      <c r="I39" s="1862"/>
      <c r="J39" s="1863"/>
      <c r="K39" s="1867"/>
      <c r="L39" s="1861"/>
      <c r="M39" s="1861"/>
    </row>
    <row r="40" spans="1:18" ht="18" customHeight="1">
      <c r="A40" s="343" t="s">
        <v>1032</v>
      </c>
      <c r="B40" s="344" t="s">
        <v>1485</v>
      </c>
      <c r="C40" s="345">
        <f ca="1">ROUND(C39*(1-((1+F42)/(1+F40))^F41)/(F40-F42),0)</f>
        <v>95859</v>
      </c>
      <c r="D40" s="369" t="s">
        <v>1469</v>
      </c>
      <c r="E40" s="346" t="s">
        <v>1470</v>
      </c>
      <c r="F40" s="356">
        <f ca="1">INDIRECT("'数据-取费表'!I"&amp;$G$1)</f>
        <v>0.05</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24.9</v>
      </c>
      <c r="G41" s="1853"/>
      <c r="H41" s="731"/>
      <c r="I41" s="1862"/>
      <c r="J41" s="1863"/>
      <c r="K41" s="750"/>
      <c r="L41" s="731"/>
      <c r="M41" s="731"/>
    </row>
    <row r="42" spans="1:18" ht="18" customHeight="1">
      <c r="A42" s="352"/>
      <c r="B42" s="353"/>
      <c r="C42" s="354"/>
      <c r="D42" s="372"/>
      <c r="E42" s="346" t="s">
        <v>1477</v>
      </c>
      <c r="F42" s="356">
        <f ca="1">INDIRECT("'数据-取费表'!v"&amp;$G$1)</f>
        <v>4.4999999999999998E-2</v>
      </c>
      <c r="G42" s="1853"/>
      <c r="H42" s="731"/>
      <c r="I42" s="1862"/>
      <c r="J42" s="1863"/>
      <c r="K42" s="750"/>
      <c r="L42" s="731"/>
      <c r="M42" s="731"/>
    </row>
    <row r="43" spans="1:18" ht="18" customHeight="1" thickBot="1">
      <c r="A43" s="379" t="s">
        <v>1033</v>
      </c>
      <c r="B43" s="380" t="s">
        <v>1487</v>
      </c>
      <c r="C43" s="381">
        <f ca="1">ROUND(C40*10000/F43,0)</f>
        <v>90986</v>
      </c>
      <c r="D43" s="382" t="s">
        <v>1488</v>
      </c>
      <c r="E43" s="383" t="s">
        <v>1489</v>
      </c>
      <c r="F43" s="384">
        <f ca="1">INDIRECT("'数据-取费表'!k"&amp;$G$1)</f>
        <v>10535.52</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-108236</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3252</v>
      </c>
      <c r="K47" s="1884" t="s">
        <v>1527</v>
      </c>
      <c r="L47" s="1885">
        <f ca="1">INDIRECT("'数据-取费表'!d"&amp;$G$1)</f>
        <v>40</v>
      </c>
      <c r="M47" s="1840" t="str">
        <f>IF(ISNUMBER(FIND("住宅",C1)),"住宅","非住宅")</f>
        <v>非住宅</v>
      </c>
      <c r="O47" s="1886" t="s">
        <v>1040</v>
      </c>
      <c r="P47" s="1887" t="s">
        <v>1528</v>
      </c>
      <c r="Q47" s="1888">
        <f ca="1">C40+J29</f>
        <v>95859</v>
      </c>
      <c r="R47" s="1888" t="s">
        <v>1529</v>
      </c>
    </row>
    <row r="48" spans="1:18" s="1844" customFormat="1" ht="28.5" thickBot="1">
      <c r="A48" s="1362" t="s">
        <v>1135</v>
      </c>
      <c r="B48" s="344" t="s">
        <v>1401</v>
      </c>
      <c r="C48" s="2994">
        <f ca="1">C49+C53+C55</f>
        <v>0</v>
      </c>
      <c r="D48" s="1364"/>
      <c r="E48" s="1365"/>
      <c r="F48" s="1183"/>
      <c r="G48" s="791"/>
      <c r="H48" s="792"/>
      <c r="I48" s="1889" t="s">
        <v>1530</v>
      </c>
      <c r="J48" s="1890" t="s">
        <v>3253</v>
      </c>
      <c r="K48" s="1891" t="s">
        <v>1531</v>
      </c>
      <c r="L48" s="1892">
        <f ca="1">INDIRECT("'数据-取费表'!f"&amp;$G$1)</f>
        <v>24.9</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3002</v>
      </c>
      <c r="E49" s="1832" t="s">
        <v>1491</v>
      </c>
      <c r="F49" s="1283"/>
      <c r="G49" s="1893"/>
      <c r="H49" s="792"/>
      <c r="I49" s="1889" t="s">
        <v>1534</v>
      </c>
      <c r="J49" s="1894">
        <v>2011</v>
      </c>
      <c r="K49" s="1891" t="s">
        <v>1535</v>
      </c>
      <c r="L49" s="1895"/>
      <c r="O49" s="1896" t="s">
        <v>1042</v>
      </c>
      <c r="P49" s="1887" t="s">
        <v>1536</v>
      </c>
      <c r="Q49" s="1888">
        <f ca="1">C29</f>
        <v>8707</v>
      </c>
      <c r="R49" s="1888" t="s">
        <v>1529</v>
      </c>
    </row>
    <row r="50" spans="1:18" s="1844" customFormat="1" ht="13.5" thickBot="1">
      <c r="A50" s="1197"/>
      <c r="B50" s="1200"/>
      <c r="C50" s="1370"/>
      <c r="D50" s="1174"/>
      <c r="E50" s="1279" t="s">
        <v>1406</v>
      </c>
      <c r="F50" s="1280">
        <f ca="1">F7</f>
        <v>10535.52</v>
      </c>
      <c r="H50" s="792"/>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7">
        <f ca="1">F8</f>
        <v>365</v>
      </c>
      <c r="I51" s="1900" t="s">
        <v>1540</v>
      </c>
      <c r="J51" s="1901">
        <f>IF(J49="",J50,J49+J50-YEAR('数据-取费表'!B2))</f>
        <v>53</v>
      </c>
      <c r="K51" s="1902" t="s">
        <v>1541</v>
      </c>
      <c r="L51" s="1903">
        <f ca="1">ROUND(-PV(INDIRECT("'数据-取费表'!h"&amp;$G$1),L48,(C39-C13*C76),0),0)</f>
        <v>50580</v>
      </c>
      <c r="M51" s="1904"/>
      <c r="O51" s="1896" t="s">
        <v>1044</v>
      </c>
      <c r="P51" s="1887" t="s">
        <v>1542</v>
      </c>
      <c r="Q51" s="1899">
        <f>J52</f>
        <v>0.09</v>
      </c>
      <c r="R51" s="1888"/>
    </row>
    <row r="52" spans="1:18" s="1844" customFormat="1" ht="13.5" thickBot="1">
      <c r="A52" s="1198"/>
      <c r="B52" s="1200"/>
      <c r="C52" s="1201"/>
      <c r="D52" s="1174"/>
      <c r="E52" s="1202" t="s">
        <v>1408</v>
      </c>
      <c r="F52" s="1277"/>
      <c r="I52" s="1905" t="s">
        <v>1543</v>
      </c>
      <c r="J52" s="1906">
        <v>0.09</v>
      </c>
      <c r="K52" s="1905" t="s">
        <v>1544</v>
      </c>
      <c r="L52" s="1906"/>
      <c r="O52" s="1896" t="s">
        <v>1045</v>
      </c>
      <c r="P52" s="1887" t="s">
        <v>1545</v>
      </c>
      <c r="Q52" s="1888">
        <f ca="1">J53</f>
        <v>24.9</v>
      </c>
      <c r="R52" s="1888" t="s">
        <v>1546</v>
      </c>
    </row>
    <row r="53" spans="1:18" s="1844" customFormat="1" ht="24.75" thickBot="1">
      <c r="A53" s="1407" t="s">
        <v>1137</v>
      </c>
      <c r="B53" s="1833" t="s">
        <v>1409</v>
      </c>
      <c r="C53" s="360">
        <f ca="1">ROUND(IF(F53="押一",C49/12*F11,IF(F53="押二",C49/12*2*F11,IF(F53="押三",C49/12*3*F11,C54*F11))),0)</f>
        <v>0</v>
      </c>
      <c r="D53" s="1826" t="s">
        <v>3011</v>
      </c>
      <c r="E53" s="357"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24.9</v>
      </c>
      <c r="K53" s="3346" t="s">
        <v>1548</v>
      </c>
      <c r="L53" s="3347"/>
      <c r="O53" s="1886" t="s">
        <v>1046</v>
      </c>
      <c r="P53" s="1887" t="s">
        <v>1549</v>
      </c>
      <c r="Q53" s="1888">
        <f ca="1">Q47+Q48</f>
        <v>95859</v>
      </c>
      <c r="R53" s="1888" t="s">
        <v>1047</v>
      </c>
    </row>
    <row r="54" spans="1:18" s="1844" customFormat="1" ht="13.5" thickBot="1">
      <c r="A54" s="1408"/>
      <c r="B54" s="1827" t="s">
        <v>1388</v>
      </c>
      <c r="C54" s="1180"/>
      <c r="D54" s="1826"/>
      <c r="E54" s="2993"/>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2993"/>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8010</v>
      </c>
      <c r="D56" s="1916"/>
      <c r="E56" s="1917"/>
      <c r="F56" s="1909"/>
      <c r="I56" s="1918" t="s">
        <v>1554</v>
      </c>
      <c r="J56" s="1919" t="s">
        <v>3237</v>
      </c>
      <c r="K56" s="1889" t="s">
        <v>1555</v>
      </c>
      <c r="L56" s="1892" t="str">
        <f ca="1">IF(L48&lt;J51,"——",L48-J53)</f>
        <v>——</v>
      </c>
      <c r="O56" s="1886" t="s">
        <v>1040</v>
      </c>
      <c r="P56" s="1887" t="s">
        <v>1528</v>
      </c>
      <c r="Q56" s="1888">
        <f ca="1">C40+J29</f>
        <v>95859</v>
      </c>
      <c r="R56" s="1888" t="s">
        <v>1529</v>
      </c>
    </row>
    <row r="57" spans="1:18" s="1844" customFormat="1" ht="24.75" thickBot="1">
      <c r="A57" s="1920"/>
      <c r="B57" s="1171" t="s">
        <v>1478</v>
      </c>
      <c r="C57" s="281">
        <f ca="1">C29</f>
        <v>8707</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59" t="s">
        <v>1030</v>
      </c>
      <c r="B58" s="1179" t="s">
        <v>1424</v>
      </c>
      <c r="C58" s="360">
        <f ca="1">ROUND(C59+C64+C65+C66,0)</f>
        <v>880</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733.5</v>
      </c>
      <c r="D59" s="1184" t="s">
        <v>1430</v>
      </c>
      <c r="E59" s="1185" t="s">
        <v>1431</v>
      </c>
      <c r="F59" s="367"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6">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1437</v>
      </c>
      <c r="C61" s="24">
        <f ca="1">IF(项目基本情况!B11="自然人","——",IF(D61="按租金收入计税",ROUND(C48*F61,2),IF(D61="按房产原值计税",ROUND(C57*F61*0.7,2),INDIRECT("'数据-取费表'!Aj"&amp;$G$1))))</f>
        <v>731.39</v>
      </c>
      <c r="D61" s="1830" t="s">
        <v>1438</v>
      </c>
      <c r="E61" s="1171" t="s">
        <v>1422</v>
      </c>
      <c r="F61" s="366">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1441</v>
      </c>
      <c r="C62" s="25">
        <f ca="1">IF(项目基本情况!B11="自然人","——",ROUND(F62*F63/10000,2))</f>
        <v>2.1</v>
      </c>
      <c r="D62" s="1186" t="s">
        <v>1442</v>
      </c>
      <c r="E62" s="1171" t="s">
        <v>1443</v>
      </c>
      <c r="F62" s="370">
        <f t="shared" si="0"/>
        <v>30</v>
      </c>
      <c r="I62" s="1931" t="s">
        <v>1570</v>
      </c>
      <c r="J62" s="1932" t="s">
        <v>1571</v>
      </c>
      <c r="K62" s="1932" t="s">
        <v>1572</v>
      </c>
      <c r="L62" s="1932" t="s">
        <v>1573</v>
      </c>
      <c r="M62" s="1933" t="s">
        <v>1574</v>
      </c>
      <c r="O62" s="1886" t="s">
        <v>1046</v>
      </c>
      <c r="P62" s="1887" t="s">
        <v>1549</v>
      </c>
      <c r="Q62" s="1888">
        <f ca="1">Q56+Q57</f>
        <v>95859</v>
      </c>
      <c r="R62" s="1888" t="s">
        <v>1047</v>
      </c>
    </row>
    <row r="63" spans="1:18" s="1844" customFormat="1" ht="13.5" thickBot="1">
      <c r="A63" s="371"/>
      <c r="B63" s="1177"/>
      <c r="C63" s="29"/>
      <c r="D63" s="1187"/>
      <c r="E63" s="1171" t="s">
        <v>1447</v>
      </c>
      <c r="F63" s="347">
        <f t="shared" ca="1" si="0"/>
        <v>701.23</v>
      </c>
      <c r="I63" s="1931" t="s">
        <v>1576</v>
      </c>
      <c r="J63" s="1932">
        <v>70</v>
      </c>
      <c r="K63" s="1932">
        <v>50</v>
      </c>
      <c r="L63" s="1932">
        <v>80</v>
      </c>
      <c r="M63" s="1934">
        <v>0.02</v>
      </c>
      <c r="O63" s="1871" t="s">
        <v>1577</v>
      </c>
      <c r="P63" s="1841"/>
      <c r="Q63" s="1841"/>
      <c r="R63" s="1841"/>
    </row>
    <row r="64" spans="1:18" s="1844" customFormat="1" ht="13.5" thickBot="1">
      <c r="A64" s="1203" t="s">
        <v>1039</v>
      </c>
      <c r="B64" s="1171" t="s">
        <v>1449</v>
      </c>
      <c r="C64" s="24">
        <f ca="1">ROUND(C57*F64,1)</f>
        <v>130.6</v>
      </c>
      <c r="D64" s="1185" t="s">
        <v>1482</v>
      </c>
      <c r="E64" s="1171" t="s">
        <v>1422</v>
      </c>
      <c r="F64" s="373">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16</v>
      </c>
      <c r="D65" s="1185" t="s">
        <v>1454</v>
      </c>
      <c r="E65" s="1171" t="s">
        <v>1422</v>
      </c>
      <c r="F65" s="375">
        <f t="shared" ca="1" si="0"/>
        <v>2E-3</v>
      </c>
      <c r="I65" s="1931" t="s">
        <v>1579</v>
      </c>
      <c r="J65" s="1932">
        <v>40</v>
      </c>
      <c r="K65" s="1932">
        <v>30</v>
      </c>
      <c r="L65" s="1932">
        <v>50</v>
      </c>
      <c r="M65" s="1934">
        <v>0.02</v>
      </c>
      <c r="O65" s="1886" t="s">
        <v>1040</v>
      </c>
      <c r="P65" s="1887" t="s">
        <v>1528</v>
      </c>
      <c r="Q65" s="1888">
        <f ca="1">C40+J29</f>
        <v>95859</v>
      </c>
      <c r="R65" s="1888" t="s">
        <v>1529</v>
      </c>
    </row>
    <row r="66" spans="1:18" s="1844" customFormat="1" ht="16.5" thickBot="1">
      <c r="A66" s="1203" t="s">
        <v>1504</v>
      </c>
      <c r="B66" s="1171" t="s">
        <v>1439</v>
      </c>
      <c r="C66" s="24">
        <f ca="1">ROUND(C48*F66,1)</f>
        <v>0</v>
      </c>
      <c r="D66" s="1185" t="s">
        <v>1459</v>
      </c>
      <c r="E66" s="1171" t="s">
        <v>1422</v>
      </c>
      <c r="F66" s="356">
        <f t="shared" ca="1" si="0"/>
        <v>0.02</v>
      </c>
      <c r="O66" s="1886" t="s">
        <v>1041</v>
      </c>
      <c r="P66" s="1887" t="s">
        <v>1558</v>
      </c>
      <c r="Q66" s="1888">
        <f ca="1">L60</f>
        <v>0</v>
      </c>
      <c r="R66" s="1888" t="s">
        <v>1581</v>
      </c>
    </row>
    <row r="67" spans="1:18" s="1844" customFormat="1" ht="16.5" thickBot="1">
      <c r="A67" s="1178" t="s">
        <v>1031</v>
      </c>
      <c r="B67" s="1188" t="s">
        <v>1463</v>
      </c>
      <c r="C67" s="360">
        <f ca="1">C48-C58</f>
        <v>-880</v>
      </c>
      <c r="D67" s="1184" t="s">
        <v>1464</v>
      </c>
      <c r="E67" s="1189"/>
      <c r="F67" s="1190"/>
      <c r="O67" s="1896" t="s">
        <v>1042</v>
      </c>
      <c r="P67" s="1887" t="s">
        <v>1562</v>
      </c>
      <c r="Q67" s="1935">
        <f ca="1">L51</f>
        <v>50580</v>
      </c>
      <c r="R67" s="1888" t="s">
        <v>1582</v>
      </c>
    </row>
    <row r="68" spans="1:18" s="1844" customFormat="1" ht="16.5" thickBot="1">
      <c r="A68" s="1168" t="s">
        <v>1032</v>
      </c>
      <c r="B68" s="1169" t="s">
        <v>1485</v>
      </c>
      <c r="C68" s="345">
        <f ca="1">ROUND(C67*(1-((1+F70)/(1+F68))^F69)/(F68-F70),0)</f>
        <v>-12377</v>
      </c>
      <c r="D68" s="1186" t="s">
        <v>1469</v>
      </c>
      <c r="E68" s="1171" t="s">
        <v>1470</v>
      </c>
      <c r="F68" s="356">
        <f ca="1">F40</f>
        <v>0.05</v>
      </c>
      <c r="O68" s="1896" t="s">
        <v>1043</v>
      </c>
      <c r="P68" s="1936" t="s">
        <v>1583</v>
      </c>
      <c r="Q68" s="1888">
        <f ca="1">ROUND(Q69-Q70*Q71,0)</f>
        <v>3596</v>
      </c>
      <c r="R68" s="1888" t="s">
        <v>1051</v>
      </c>
    </row>
    <row r="69" spans="1:18" s="1844" customFormat="1" ht="13.5" thickBot="1">
      <c r="A69" s="1172"/>
      <c r="B69" s="1173"/>
      <c r="C69" s="350"/>
      <c r="D69" s="1191" t="s">
        <v>1473</v>
      </c>
      <c r="E69" s="1171" t="s">
        <v>1474</v>
      </c>
      <c r="F69" s="378">
        <f ca="1">F41</f>
        <v>24.9</v>
      </c>
      <c r="O69" s="1896" t="s">
        <v>1048</v>
      </c>
      <c r="P69" s="1936" t="s">
        <v>1584</v>
      </c>
      <c r="Q69" s="1888">
        <f ca="1">C39</f>
        <v>4277</v>
      </c>
      <c r="R69" s="1888" t="s">
        <v>1529</v>
      </c>
    </row>
    <row r="70" spans="1:18" s="1844" customFormat="1" ht="13.5" thickBot="1">
      <c r="A70" s="1175"/>
      <c r="B70" s="1176"/>
      <c r="C70" s="354"/>
      <c r="D70" s="1187"/>
      <c r="E70" s="1171" t="s">
        <v>1477</v>
      </c>
      <c r="F70" s="1277"/>
      <c r="O70" s="1896" t="s">
        <v>1049</v>
      </c>
      <c r="P70" s="1936" t="s">
        <v>1585</v>
      </c>
      <c r="Q70" s="1888">
        <f ca="1">C13</f>
        <v>8010</v>
      </c>
      <c r="R70" s="1888" t="s">
        <v>1529</v>
      </c>
    </row>
    <row r="71" spans="1:18" s="1844" customFormat="1" ht="13.5" thickBot="1">
      <c r="A71" s="1192" t="s">
        <v>1033</v>
      </c>
      <c r="B71" s="1193" t="s">
        <v>1487</v>
      </c>
      <c r="C71" s="381">
        <f ca="1">ROUND(C68*10000/F71,0)</f>
        <v>-11748</v>
      </c>
      <c r="D71" s="1194" t="s">
        <v>1488</v>
      </c>
      <c r="E71" s="1195" t="s">
        <v>1489</v>
      </c>
      <c r="F71" s="384">
        <f ca="1">F43</f>
        <v>10535.52</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5" t="s">
        <v>1506</v>
      </c>
      <c r="C75" s="386">
        <f ca="1">ROUND(C13*C76,0)</f>
        <v>681</v>
      </c>
      <c r="D75" s="1844"/>
      <c r="E75" s="1844"/>
      <c r="F75" s="1844"/>
      <c r="K75" s="1870"/>
      <c r="L75" s="1844"/>
      <c r="O75" s="1886" t="s">
        <v>1046</v>
      </c>
      <c r="P75" s="1887" t="s">
        <v>1549</v>
      </c>
      <c r="Q75" s="1888">
        <f ca="1">Q65+Q66</f>
        <v>95859</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0.84099999999999997</v>
      </c>
    </row>
    <row r="80" spans="1:18">
      <c r="B80" s="385" t="s">
        <v>1511</v>
      </c>
      <c r="C80" s="317">
        <f ca="1">ROUND(C75/C39,3)</f>
        <v>0.159</v>
      </c>
    </row>
    <row r="81" spans="2:3">
      <c r="B81" s="313" t="s">
        <v>1512</v>
      </c>
      <c r="C81" s="281"/>
    </row>
    <row r="82" spans="2:3">
      <c r="B82" s="316" t="s">
        <v>1513</v>
      </c>
      <c r="C82" s="318">
        <f ca="1">1-C83</f>
        <v>0.91600000000000004</v>
      </c>
    </row>
    <row r="83" spans="2:3">
      <c r="B83" s="316" t="s">
        <v>1514</v>
      </c>
      <c r="C83" s="317">
        <f ca="1">ROUND(C13/C40,3)</f>
        <v>8.4000000000000005E-2</v>
      </c>
    </row>
  </sheetData>
  <sheetProtection password="C66D" sheet="1" objects="1" scenarios="1" formatCells="0" formatColumns="0" formatRows="0"/>
  <mergeCells count="3">
    <mergeCell ref="B6:B9"/>
    <mergeCell ref="I6:I9"/>
    <mergeCell ref="K53:L53"/>
  </mergeCells>
  <phoneticPr fontId="142" type="noConversion"/>
  <conditionalFormatting sqref="K55 K60">
    <cfRule type="expression" dxfId="115" priority="4">
      <formula>$L$48&gt;$J$51</formula>
    </cfRule>
  </conditionalFormatting>
  <conditionalFormatting sqref="I55 I60">
    <cfRule type="expression" dxfId="114" priority="5">
      <formula>$J$51&gt;$L$48</formula>
    </cfRule>
  </conditionalFormatting>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D25" sqref="D25"/>
    </sheetView>
  </sheetViews>
  <sheetFormatPr defaultColWidth="12.625" defaultRowHeight="21.75" customHeight="1"/>
  <cols>
    <col min="1" max="2" width="12.625" style="2386"/>
    <col min="3" max="4" width="12.625" style="2386" customWidth="1"/>
    <col min="5" max="9" width="12.625" style="2386"/>
    <col min="10" max="11" width="12.625" style="794" customWidth="1"/>
    <col min="12" max="12" width="12.625" style="794"/>
    <col min="13" max="13" width="14.125" style="794" bestFit="1" customWidth="1"/>
    <col min="14" max="26" width="12.625" style="794"/>
    <col min="27" max="35" width="12.625" style="2385"/>
    <col min="36" max="16384" width="12.625" style="2386"/>
  </cols>
  <sheetData>
    <row r="1" spans="1:12" ht="21.75" customHeight="1" thickBot="1">
      <c r="A1" s="2227" t="s">
        <v>2088</v>
      </c>
      <c r="B1" s="2380"/>
      <c r="C1" s="2381" t="s">
        <v>3049</v>
      </c>
      <c r="D1" s="2380"/>
      <c r="E1" s="2380"/>
      <c r="F1" s="2382" t="s">
        <v>2089</v>
      </c>
      <c r="G1" s="2072" t="s">
        <v>3235</v>
      </c>
      <c r="H1" s="2383" t="str">
        <f>IF(G1="现房","——","估价对象范围")</f>
        <v>——</v>
      </c>
      <c r="I1" s="2384" t="s">
        <v>3374</v>
      </c>
    </row>
    <row r="2" spans="1:12" ht="21.75" customHeight="1" thickBot="1">
      <c r="A2" s="3232" t="str">
        <f>项目基本情况!S2</f>
        <v>北京市财源国际大厦A、B座房地产</v>
      </c>
      <c r="B2" s="3233"/>
      <c r="C2" s="3233"/>
      <c r="D2" s="3233"/>
      <c r="E2" s="3233"/>
      <c r="F2" s="3233"/>
      <c r="G2" s="3233"/>
      <c r="H2" s="3233"/>
      <c r="I2" s="3234"/>
    </row>
    <row r="3" spans="1:12" ht="12.75">
      <c r="A3" s="3236" t="s">
        <v>2090</v>
      </c>
      <c r="B3" s="3237"/>
      <c r="C3" s="3237"/>
      <c r="D3" s="3237"/>
      <c r="E3" s="3237"/>
      <c r="F3" s="3237"/>
      <c r="G3" s="3237"/>
      <c r="H3" s="3237"/>
      <c r="I3" s="3237"/>
    </row>
    <row r="4" spans="1:12" ht="14.25">
      <c r="A4" s="2387" t="s">
        <v>2091</v>
      </c>
      <c r="B4" s="2388" t="s">
        <v>2092</v>
      </c>
      <c r="C4" s="2389" t="s">
        <v>3377</v>
      </c>
      <c r="D4" s="2389" t="s">
        <v>3258</v>
      </c>
      <c r="E4" s="3229" t="s">
        <v>2093</v>
      </c>
      <c r="F4" s="3230"/>
      <c r="G4" s="3230"/>
      <c r="H4" s="3230"/>
      <c r="I4" s="3238"/>
      <c r="K4" s="2390" t="str">
        <f>IF(ISNUMBER(FIND("比较法",'结果表（地下车库）'!C4)),"比较法",IF(ISNUMBER(FIND("成本法",'结果表（地下车库）'!C4)),"成本法",IF(ISNUMBER(FIND("假设开发法",'结果表（地下车库）'!C4)),"假设开发法",IF(ISNUMBER(FIND("收益法",'结果表（地下车库）'!C4)),"收益法","基准地价系数修正法"))))</f>
        <v>成本法</v>
      </c>
      <c r="L4" s="2390" t="str">
        <f>IF(ISNUMBER(FIND("比较法",'结果表（地下车库）'!D4)),"比较法",IF(ISNUMBER(FIND("成本法",'结果表（地下车库）'!D4)),"成本法",IF(ISNUMBER(FIND("假设开发法",'结果表（地下车库）'!D4)),"假设开发法",IF(ISNUMBER(FIND("收益法",'结果表（地下车库）'!D4)),"收益法","基准地价系数修正法"))))</f>
        <v>收益法</v>
      </c>
    </row>
    <row r="5" spans="1:12" ht="12.75">
      <c r="A5" s="3212" t="s">
        <v>2094</v>
      </c>
      <c r="B5" s="3150">
        <v>25</v>
      </c>
      <c r="C5" s="3215"/>
      <c r="D5" s="3235"/>
      <c r="E5" s="139" t="s">
        <v>2095</v>
      </c>
      <c r="F5" s="2391"/>
      <c r="G5" s="2391"/>
      <c r="H5" s="2391"/>
      <c r="I5" s="1833"/>
    </row>
    <row r="6" spans="1:12" ht="12.75">
      <c r="A6" s="3212"/>
      <c r="B6" s="3150"/>
      <c r="C6" s="3216"/>
      <c r="D6" s="3235"/>
      <c r="E6" s="139" t="s">
        <v>2096</v>
      </c>
      <c r="F6" s="2391"/>
      <c r="G6" s="2391"/>
      <c r="H6" s="2391"/>
      <c r="I6" s="1833"/>
    </row>
    <row r="7" spans="1:12" ht="12.75">
      <c r="A7" s="3212"/>
      <c r="B7" s="3150"/>
      <c r="C7" s="3217"/>
      <c r="D7" s="3235"/>
      <c r="E7" s="139" t="s">
        <v>2097</v>
      </c>
      <c r="F7" s="2391"/>
      <c r="G7" s="2391"/>
      <c r="H7" s="2391"/>
      <c r="I7" s="1833"/>
    </row>
    <row r="8" spans="1:12" ht="12.75">
      <c r="A8" s="3212" t="s">
        <v>2098</v>
      </c>
      <c r="B8" s="3150">
        <v>15</v>
      </c>
      <c r="C8" s="3215"/>
      <c r="D8" s="3235"/>
      <c r="E8" s="139" t="s">
        <v>2099</v>
      </c>
      <c r="F8" s="2391"/>
      <c r="G8" s="2391"/>
      <c r="H8" s="2391"/>
      <c r="I8" s="1833"/>
    </row>
    <row r="9" spans="1:12" ht="12.75">
      <c r="A9" s="3212"/>
      <c r="B9" s="3150"/>
      <c r="C9" s="3217"/>
      <c r="D9" s="3235"/>
      <c r="E9" s="139" t="s">
        <v>2100</v>
      </c>
      <c r="F9" s="2391"/>
      <c r="G9" s="2391"/>
      <c r="H9" s="2391"/>
      <c r="I9" s="1833"/>
    </row>
    <row r="10" spans="1:12" ht="12.75">
      <c r="A10" s="3212" t="s">
        <v>2101</v>
      </c>
      <c r="B10" s="3150">
        <v>15</v>
      </c>
      <c r="C10" s="3215"/>
      <c r="D10" s="3235"/>
      <c r="E10" s="139" t="s">
        <v>2102</v>
      </c>
      <c r="F10" s="2391"/>
      <c r="G10" s="2391"/>
      <c r="H10" s="2391"/>
      <c r="I10" s="1833"/>
    </row>
    <row r="11" spans="1:12" ht="12.75">
      <c r="A11" s="3212"/>
      <c r="B11" s="3150"/>
      <c r="C11" s="3217"/>
      <c r="D11" s="3235"/>
      <c r="E11" s="139" t="s">
        <v>2103</v>
      </c>
      <c r="F11" s="2391"/>
      <c r="G11" s="2391"/>
      <c r="H11" s="2391"/>
      <c r="I11" s="1833"/>
    </row>
    <row r="12" spans="1:12" ht="12.75">
      <c r="A12" s="3212" t="s">
        <v>2104</v>
      </c>
      <c r="B12" s="3150">
        <v>15</v>
      </c>
      <c r="C12" s="3215"/>
      <c r="D12" s="3235"/>
      <c r="E12" s="139" t="s">
        <v>2105</v>
      </c>
      <c r="F12" s="2391"/>
      <c r="G12" s="2391"/>
      <c r="H12" s="2391"/>
      <c r="I12" s="1833"/>
    </row>
    <row r="13" spans="1:12" ht="12.75">
      <c r="A13" s="3212"/>
      <c r="B13" s="3150"/>
      <c r="C13" s="3217"/>
      <c r="D13" s="3235"/>
      <c r="E13" s="139" t="s">
        <v>2106</v>
      </c>
      <c r="F13" s="2391"/>
      <c r="G13" s="2391"/>
      <c r="H13" s="2391"/>
      <c r="I13" s="1833"/>
    </row>
    <row r="14" spans="1:12" ht="12.75">
      <c r="A14" s="3212" t="s">
        <v>2107</v>
      </c>
      <c r="B14" s="3150">
        <v>30</v>
      </c>
      <c r="C14" s="3215">
        <v>5</v>
      </c>
      <c r="D14" s="3235">
        <v>5</v>
      </c>
      <c r="E14" s="139" t="s">
        <v>2108</v>
      </c>
      <c r="F14" s="2391"/>
      <c r="G14" s="2391"/>
      <c r="H14" s="2391"/>
      <c r="I14" s="1833"/>
    </row>
    <row r="15" spans="1:12" ht="12.75">
      <c r="A15" s="3212"/>
      <c r="B15" s="3150"/>
      <c r="C15" s="3216"/>
      <c r="D15" s="3235"/>
      <c r="E15" s="139" t="s">
        <v>2109</v>
      </c>
      <c r="F15" s="2391"/>
      <c r="G15" s="2391"/>
      <c r="H15" s="2391"/>
      <c r="I15" s="1833"/>
    </row>
    <row r="16" spans="1:12" ht="12.75">
      <c r="A16" s="3212"/>
      <c r="B16" s="3150"/>
      <c r="C16" s="3217"/>
      <c r="D16" s="3235"/>
      <c r="E16" s="139" t="s">
        <v>2110</v>
      </c>
      <c r="F16" s="2391"/>
      <c r="G16" s="2391"/>
      <c r="H16" s="2391"/>
      <c r="I16" s="1833"/>
    </row>
    <row r="17" spans="1:35" ht="15">
      <c r="A17" s="2392" t="s">
        <v>2111</v>
      </c>
      <c r="B17" s="64"/>
      <c r="C17" s="140">
        <f>SUM(C5:C16)</f>
        <v>5</v>
      </c>
      <c r="D17" s="140">
        <f>SUM(D5:D16)</f>
        <v>5</v>
      </c>
      <c r="E17" s="137"/>
      <c r="F17" s="137"/>
      <c r="G17" s="137"/>
      <c r="H17" s="137"/>
      <c r="I17" s="137"/>
      <c r="K17" s="2390"/>
      <c r="L17" s="2393" t="s">
        <v>2112</v>
      </c>
      <c r="M17" s="2393" t="s">
        <v>2113</v>
      </c>
    </row>
    <row r="18" spans="1:35" ht="15.75" thickBot="1">
      <c r="A18" s="2394" t="s">
        <v>2114</v>
      </c>
      <c r="B18" s="2395"/>
      <c r="C18" s="141">
        <f>ROUND(C17/SUM(C17:D17),2)</f>
        <v>0.5</v>
      </c>
      <c r="D18" s="141">
        <f>1-C18</f>
        <v>0.5</v>
      </c>
      <c r="E18" s="137"/>
      <c r="F18" s="137"/>
      <c r="G18" s="137"/>
      <c r="H18" s="137"/>
      <c r="I18" s="137"/>
      <c r="K18" s="2390" t="s">
        <v>2115</v>
      </c>
      <c r="L18" s="2390">
        <f>IF(C1="",'数据-汇总表'!E3,SUMIF(项目类型,C1,'数据-汇总表'!E17:E26)+SUMIF(项目类型,C1,'数据-汇总表'!I17:I26))</f>
        <v>23807.88</v>
      </c>
      <c r="M18" s="2390">
        <f>IF(C1="",'数据-汇总表'!E3,SUMIF(项目类型,C1,'数据-汇总表'!E17:E26))</f>
        <v>23320.11</v>
      </c>
    </row>
    <row r="19" spans="1:35" ht="15">
      <c r="A19" s="2396" t="s">
        <v>2116</v>
      </c>
      <c r="B19" s="2397" t="s">
        <v>2117</v>
      </c>
      <c r="C19" s="142">
        <f ca="1">SUMIF(INDIRECT("'"&amp;C4&amp;"'"&amp;"!A:A"),'结果表（地下车库）'!B19,INDIRECT("'"&amp;C4&amp;"'"&amp;"!B:B"))</f>
        <v>43322</v>
      </c>
      <c r="D19" s="143">
        <f ca="1">SUMIF(INDIRECT("'"&amp;D4&amp;"'"&amp;"!A:A"),'结果表（地下车库）'!B19,INDIRECT("'"&amp;D4&amp;"'"&amp;"!B:B"))</f>
        <v>48520</v>
      </c>
      <c r="E19" s="2396" t="s">
        <v>2118</v>
      </c>
      <c r="F19" s="2397" t="s">
        <v>2117</v>
      </c>
      <c r="G19" s="144">
        <f ca="1">ROUND(C19*$C$18+D19*$D$18,0)</f>
        <v>45921</v>
      </c>
      <c r="H19" s="2398" t="s">
        <v>2119</v>
      </c>
      <c r="I19" s="137"/>
      <c r="K19" s="2390" t="s">
        <v>2120</v>
      </c>
      <c r="L19" s="2390">
        <f>IF(C1="",'数据-汇总表'!D3,SUMIF(项目类型,C1,'数据-汇总表'!D17:D26)+SUMIF(项目类型,C1,'数据-汇总表'!H17:H27))</f>
        <v>1552.1499999999999</v>
      </c>
      <c r="M19" s="2390">
        <f>IF(C1="",'数据-汇总表'!D3,SUMIF(项目类型,C1,'数据-汇总表'!D17:D26))</f>
        <v>1520.35</v>
      </c>
    </row>
    <row r="20" spans="1:35" ht="15">
      <c r="A20" s="2399"/>
      <c r="B20" s="1249" t="s">
        <v>2121</v>
      </c>
      <c r="C20" s="145">
        <f ca="1">SUMIF(INDIRECT("'"&amp;C4&amp;"'"&amp;"!A:A"),'结果表（地下车库）'!B20,INDIRECT("'"&amp;C4&amp;"'"&amp;"!B:B"))</f>
        <v>18577</v>
      </c>
      <c r="D20" s="146">
        <f ca="1">SUMIF(INDIRECT("'"&amp;D4&amp;"'"&amp;"!A:A"),'结果表（地下车库）'!B20,INDIRECT("'"&amp;D4&amp;"'"&amp;"!B:B"))</f>
        <v>20806</v>
      </c>
      <c r="E20" s="2399"/>
      <c r="F20" s="1249" t="s">
        <v>2121</v>
      </c>
      <c r="G20" s="147">
        <f ca="1">ROUND(C20*$C$18+D20*$D$18,0)</f>
        <v>19692</v>
      </c>
      <c r="H20" s="982" t="s">
        <v>2122</v>
      </c>
      <c r="I20" s="137"/>
    </row>
    <row r="21" spans="1:35" ht="15" customHeight="1" thickBot="1">
      <c r="A21" s="1002"/>
      <c r="B21" s="2400" t="s">
        <v>2123</v>
      </c>
      <c r="C21" s="788">
        <f ca="1">ROUND(C19*10000/L19,0)</f>
        <v>279110</v>
      </c>
      <c r="D21" s="789">
        <f ca="1">ROUND(D19*10000/L19,0)</f>
        <v>312599</v>
      </c>
      <c r="E21" s="1002"/>
      <c r="F21" s="2400" t="s">
        <v>2123</v>
      </c>
      <c r="G21" s="148">
        <f ca="1">ROUND(G19*10000/L19,0)</f>
        <v>295854</v>
      </c>
      <c r="H21" s="2401" t="s">
        <v>2122</v>
      </c>
      <c r="I21" s="137"/>
    </row>
    <row r="22" spans="1:35" ht="15" thickBot="1">
      <c r="A22" s="2282" t="s">
        <v>2124</v>
      </c>
      <c r="B22" s="2402"/>
      <c r="C22" s="2403"/>
      <c r="D22" s="790">
        <f ca="1">IF(C19&lt;D19,D19/C19-1,C19/D19-1)</f>
        <v>0.1199852269054984</v>
      </c>
      <c r="E22" s="137"/>
      <c r="F22" s="137"/>
      <c r="G22" s="137"/>
      <c r="H22" s="137"/>
      <c r="I22" s="137"/>
    </row>
    <row r="23" spans="1:35" ht="13.5" thickBot="1">
      <c r="A23" s="2380"/>
      <c r="B23" s="2380"/>
      <c r="C23" s="2380"/>
      <c r="D23" s="2380"/>
      <c r="E23" s="137"/>
      <c r="F23" s="137"/>
      <c r="G23" s="137"/>
      <c r="H23" s="137"/>
      <c r="I23" s="137"/>
    </row>
    <row r="24" spans="1:35" ht="14.25">
      <c r="A24" s="3206" t="s">
        <v>2125</v>
      </c>
      <c r="B24" s="2397" t="s">
        <v>2117</v>
      </c>
      <c r="C24" s="144">
        <f>IF(B30=0,0,D30)</f>
        <v>0</v>
      </c>
      <c r="D24" s="2404"/>
      <c r="E24" s="137"/>
      <c r="F24" s="137"/>
      <c r="G24" s="137"/>
      <c r="H24" s="137"/>
      <c r="I24" s="137"/>
    </row>
    <row r="25" spans="1:35" ht="14.25">
      <c r="A25" s="3207"/>
      <c r="B25" s="1249" t="s">
        <v>2121</v>
      </c>
      <c r="C25" s="149">
        <f>IF(B30=0,0,C30)</f>
        <v>0</v>
      </c>
      <c r="D25" s="2405"/>
      <c r="E25" s="137"/>
      <c r="F25" s="137"/>
      <c r="G25" s="137"/>
      <c r="H25" s="137"/>
      <c r="I25" s="137"/>
    </row>
    <row r="26" spans="1:35" ht="13.5" customHeight="1">
      <c r="A26" s="2406" t="s">
        <v>2126</v>
      </c>
      <c r="B26" s="150" t="s">
        <v>2127</v>
      </c>
      <c r="C26" s="150" t="s">
        <v>2128</v>
      </c>
      <c r="D26" s="151" t="s">
        <v>2129</v>
      </c>
      <c r="E26" s="137"/>
      <c r="F26" s="137"/>
      <c r="G26" s="137"/>
      <c r="H26" s="137"/>
      <c r="I26" s="137"/>
    </row>
    <row r="27" spans="1:35" ht="14.25">
      <c r="A27" s="2406"/>
      <c r="B27" s="150">
        <v>0</v>
      </c>
      <c r="C27" s="150">
        <v>0</v>
      </c>
      <c r="D27" s="151">
        <f>ROUND(C27*B27/10000,0)</f>
        <v>0</v>
      </c>
      <c r="E27" s="137"/>
      <c r="F27" s="137"/>
      <c r="G27" s="137"/>
      <c r="H27" s="137"/>
      <c r="I27" s="137"/>
    </row>
    <row r="28" spans="1:35" ht="14.25">
      <c r="A28" s="2406"/>
      <c r="B28" s="150"/>
      <c r="C28" s="150"/>
      <c r="D28" s="151"/>
      <c r="E28" s="137"/>
      <c r="F28" s="137"/>
      <c r="G28" s="137"/>
      <c r="H28" s="137"/>
      <c r="I28" s="137"/>
    </row>
    <row r="29" spans="1:35" ht="14.25">
      <c r="A29" s="2406"/>
      <c r="B29" s="150"/>
      <c r="C29" s="150"/>
      <c r="D29" s="151"/>
      <c r="E29" s="137"/>
      <c r="F29" s="137"/>
      <c r="G29" s="137"/>
      <c r="H29" s="137"/>
      <c r="I29" s="137"/>
    </row>
    <row r="30" spans="1:35" ht="14.25">
      <c r="A30" s="150" t="s">
        <v>2130</v>
      </c>
      <c r="B30" s="150"/>
      <c r="C30" s="150"/>
      <c r="D30" s="150"/>
      <c r="E30" s="2889" t="s">
        <v>3007</v>
      </c>
      <c r="F30" s="137"/>
      <c r="G30" s="137"/>
      <c r="H30" s="137"/>
      <c r="I30" s="137"/>
    </row>
    <row r="31" spans="1:35" s="2408" customFormat="1" ht="15" thickBot="1">
      <c r="A31" s="2407"/>
      <c r="B31" s="2407"/>
      <c r="C31" s="2407"/>
      <c r="D31" s="2407"/>
      <c r="E31" s="137"/>
      <c r="F31" s="137"/>
      <c r="G31" s="137"/>
      <c r="H31" s="137"/>
      <c r="I31" s="137"/>
      <c r="J31" s="794"/>
      <c r="K31" s="794"/>
      <c r="L31" s="794"/>
      <c r="M31" s="794"/>
      <c r="N31" s="794"/>
      <c r="O31" s="794"/>
      <c r="P31" s="794"/>
      <c r="Q31" s="794"/>
      <c r="R31" s="794"/>
      <c r="S31" s="794"/>
      <c r="T31" s="794"/>
      <c r="U31" s="794"/>
      <c r="V31" s="794"/>
      <c r="W31" s="794"/>
      <c r="X31" s="794"/>
      <c r="Y31" s="794"/>
      <c r="Z31" s="794"/>
      <c r="AA31" s="2385"/>
      <c r="AB31" s="2385"/>
      <c r="AC31" s="2385"/>
      <c r="AD31" s="2385"/>
      <c r="AE31" s="2385"/>
      <c r="AF31" s="2385"/>
      <c r="AG31" s="2385"/>
      <c r="AH31" s="2385"/>
      <c r="AI31" s="2385"/>
    </row>
    <row r="32" spans="1:35" ht="15.75" thickBot="1">
      <c r="A32" s="2409" t="s">
        <v>2131</v>
      </c>
      <c r="B32" s="2410"/>
      <c r="C32" s="152">
        <f ca="1">IF(D32="总价",G19-C24,G20-C25)</f>
        <v>45921</v>
      </c>
      <c r="D32" s="2411" t="s">
        <v>2132</v>
      </c>
      <c r="E32" s="137"/>
      <c r="F32" s="137"/>
      <c r="G32" s="137"/>
      <c r="H32" s="137"/>
      <c r="I32" s="137"/>
    </row>
    <row r="33" spans="1:15" ht="15">
      <c r="A33" s="959" t="s">
        <v>2133</v>
      </c>
      <c r="B33" s="2412"/>
      <c r="C33" s="2413" t="s">
        <v>3380</v>
      </c>
      <c r="D33" s="2414" t="s">
        <v>3377</v>
      </c>
      <c r="E33" s="2415" t="s">
        <v>2134</v>
      </c>
      <c r="F33" s="3014" t="str">
        <f>IF(D32="楼面单价","取值（单价）","取值（总价）")</f>
        <v>取值（总价）</v>
      </c>
      <c r="G33" s="137"/>
      <c r="H33" s="137"/>
      <c r="I33" s="137"/>
    </row>
    <row r="34" spans="1:15" ht="15">
      <c r="A34" s="2417"/>
      <c r="B34" s="2418" t="s">
        <v>2135</v>
      </c>
      <c r="C34" s="156">
        <f ca="1">IF(C33="自定义",F34,C32-C35)</f>
        <v>35635</v>
      </c>
      <c r="D34" s="1057">
        <f ca="1">IF(C33="自定义",ROUND(C34/C32,3),IF(C33="收益比率",SUMIF(INDIRECT("'"&amp;D33&amp;"'"&amp;"!b:b"),"土地收益比率",INDIRECT("'"&amp;D33&amp;"'"&amp;"!c:c")),SUMIF(INDIRECT("'"&amp;D33&amp;"'"&amp;"!b:b"),"土地成本比率",INDIRECT("'"&amp;D33&amp;"'"&amp;"!c:c"))))</f>
        <v>0.77600000000000002</v>
      </c>
      <c r="E34" s="2419" t="s">
        <v>2136</v>
      </c>
      <c r="F34" s="1738"/>
      <c r="G34" s="137"/>
      <c r="H34" s="137"/>
      <c r="I34" s="137"/>
    </row>
    <row r="35" spans="1:15" ht="15.75" thickBot="1">
      <c r="A35" s="2420"/>
      <c r="B35" s="2421" t="s">
        <v>2137</v>
      </c>
      <c r="C35" s="1443">
        <f ca="1">IF(C33="自定义",F35,ROUND(C32*D35,0))</f>
        <v>10286</v>
      </c>
      <c r="D35" s="1444">
        <f ca="1">IF(C33="自定义",ROUND(C35/C32,3),IF(C33="收益比率",SUMIF(INDIRECT("'"&amp;D33&amp;"'"&amp;"!b:b"),"建筑物收益比率",INDIRECT("'"&amp;D33&amp;"'"&amp;"!c:c")),SUMIF(INDIRECT("'"&amp;D33&amp;"'"&amp;"!b:b"),"建筑物成本比率",INDIRECT("'"&amp;D33&amp;"'"&amp;"!c:c"))))</f>
        <v>0.224</v>
      </c>
      <c r="E35" s="2422" t="s">
        <v>2138</v>
      </c>
      <c r="F35" s="162"/>
      <c r="G35" s="137"/>
      <c r="H35" s="137"/>
      <c r="I35" s="137"/>
    </row>
    <row r="36" spans="1:15" ht="15.75" thickBot="1">
      <c r="A36" s="3224" t="s">
        <v>2139</v>
      </c>
      <c r="B36" s="2423" t="s">
        <v>2140</v>
      </c>
      <c r="C36" s="153"/>
      <c r="D36" s="2424"/>
      <c r="E36" s="2425"/>
      <c r="F36" s="2426"/>
      <c r="G36" s="137"/>
      <c r="H36" s="137"/>
      <c r="I36" s="137"/>
    </row>
    <row r="37" spans="1:15" ht="15.75" thickBot="1">
      <c r="A37" s="3225"/>
      <c r="B37" s="2268" t="s">
        <v>2141</v>
      </c>
      <c r="C37" s="155"/>
      <c r="D37" s="1394"/>
      <c r="E37" s="1394"/>
      <c r="F37" s="2426"/>
      <c r="G37" s="137"/>
      <c r="H37" s="137"/>
      <c r="I37" s="137"/>
    </row>
    <row r="38" spans="1:15" ht="15.75" thickBot="1">
      <c r="A38" s="3226"/>
      <c r="B38" s="2427" t="s">
        <v>2142</v>
      </c>
      <c r="C38" s="726"/>
      <c r="D38" s="2428" t="s">
        <v>2143</v>
      </c>
      <c r="E38" s="1394"/>
      <c r="F38" s="2426"/>
      <c r="G38" s="137"/>
      <c r="H38" s="137"/>
      <c r="I38" s="137"/>
    </row>
    <row r="39" spans="1:15" ht="15">
      <c r="A39" s="2399" t="s">
        <v>2144</v>
      </c>
      <c r="B39" s="2429" t="s">
        <v>2127</v>
      </c>
      <c r="C39" s="2430" t="s">
        <v>2128</v>
      </c>
      <c r="D39" s="2430" t="s">
        <v>2147</v>
      </c>
      <c r="E39" s="2431" t="s">
        <v>2129</v>
      </c>
      <c r="F39" s="2426"/>
      <c r="G39" s="137"/>
      <c r="H39" s="137"/>
      <c r="I39" s="137"/>
    </row>
    <row r="40" spans="1:15" ht="14.25">
      <c r="A40" s="2432" t="s">
        <v>2149</v>
      </c>
      <c r="B40" s="157"/>
      <c r="C40" s="158"/>
      <c r="D40" s="158"/>
      <c r="E40" s="159"/>
      <c r="F40" s="2426"/>
      <c r="G40" s="137"/>
      <c r="H40" s="137"/>
      <c r="I40" s="137"/>
    </row>
    <row r="41" spans="1:15" ht="14.25">
      <c r="A41" s="2432" t="s">
        <v>2150</v>
      </c>
      <c r="B41" s="157"/>
      <c r="C41" s="158"/>
      <c r="D41" s="158"/>
      <c r="E41" s="159"/>
      <c r="F41" s="2426"/>
      <c r="G41" s="137"/>
      <c r="H41" s="137"/>
      <c r="I41" s="137"/>
    </row>
    <row r="42" spans="1:15" ht="15" thickBot="1">
      <c r="A42" s="2433"/>
      <c r="B42" s="160"/>
      <c r="C42" s="161"/>
      <c r="D42" s="161"/>
      <c r="E42" s="162"/>
      <c r="F42" s="2426"/>
      <c r="G42" s="137"/>
      <c r="H42" s="137"/>
      <c r="I42" s="137"/>
    </row>
    <row r="43" spans="1:15" ht="12.75">
      <c r="A43" s="2167"/>
      <c r="B43" s="2167"/>
      <c r="C43" s="2167"/>
      <c r="D43" s="2167"/>
      <c r="E43" s="2167"/>
      <c r="F43" s="2434"/>
      <c r="G43" s="2434"/>
      <c r="H43" s="2434"/>
      <c r="I43" s="2435"/>
    </row>
    <row r="44" spans="1:15" ht="18.75">
      <c r="A44" s="2436" t="s">
        <v>2151</v>
      </c>
      <c r="B44" s="2437"/>
      <c r="C44" s="2437"/>
      <c r="D44" s="2438"/>
      <c r="E44" s="2438"/>
      <c r="F44" s="2439"/>
      <c r="G44" s="2439"/>
      <c r="H44" s="2439"/>
      <c r="I44" s="2439"/>
      <c r="J44" s="2440" t="s">
        <v>2152</v>
      </c>
      <c r="K44" s="2441"/>
      <c r="L44" s="2441"/>
      <c r="M44" s="2441"/>
      <c r="N44" s="2441"/>
      <c r="O44" s="2441"/>
    </row>
    <row r="45" spans="1:15" ht="14.25" customHeight="1" thickBot="1">
      <c r="A45" s="3203" t="s">
        <v>2153</v>
      </c>
      <c r="B45" s="3204"/>
      <c r="C45" s="3205"/>
      <c r="D45" s="163">
        <f ca="1">ROUND(H101*F45,0)</f>
        <v>45921</v>
      </c>
      <c r="E45" s="164" t="s">
        <v>2154</v>
      </c>
      <c r="F45" s="165">
        <v>1</v>
      </c>
      <c r="G45" s="166" t="s">
        <v>2155</v>
      </c>
      <c r="H45" s="137"/>
      <c r="I45" s="137"/>
      <c r="J45" s="3263" t="s">
        <v>2156</v>
      </c>
      <c r="K45" s="3263"/>
      <c r="L45" s="3263"/>
      <c r="M45" s="3263"/>
      <c r="N45" s="3263"/>
      <c r="O45" s="3263"/>
    </row>
    <row r="46" spans="1:15" ht="14.25" customHeight="1">
      <c r="A46" s="3200" t="s">
        <v>2157</v>
      </c>
      <c r="B46" s="3201"/>
      <c r="C46" s="3201"/>
      <c r="D46" s="3201"/>
      <c r="E46" s="3201"/>
      <c r="F46" s="3201"/>
      <c r="G46" s="3202"/>
      <c r="H46" s="2442"/>
      <c r="I46" s="167"/>
      <c r="J46" s="3019">
        <v>1</v>
      </c>
      <c r="K46" s="3263" t="s">
        <v>2158</v>
      </c>
      <c r="L46" s="3263"/>
      <c r="M46" s="3283"/>
      <c r="N46" s="3283"/>
      <c r="O46" s="3283"/>
    </row>
    <row r="47" spans="1:15" ht="12" customHeight="1">
      <c r="A47" s="168" t="s">
        <v>2159</v>
      </c>
      <c r="B47" s="169"/>
      <c r="C47" s="170"/>
      <c r="D47" s="171" t="s">
        <v>2160</v>
      </c>
      <c r="E47" s="24" t="s">
        <v>2161</v>
      </c>
      <c r="F47" s="172" t="s">
        <v>2162</v>
      </c>
      <c r="G47" s="173" t="s">
        <v>2163</v>
      </c>
      <c r="H47" s="2442"/>
      <c r="I47" s="167"/>
      <c r="J47" s="3019">
        <v>2</v>
      </c>
      <c r="K47" s="3263" t="s">
        <v>2164</v>
      </c>
      <c r="L47" s="3263"/>
      <c r="M47" s="3284">
        <f>'数据-取费表'!B2</f>
        <v>43395</v>
      </c>
      <c r="N47" s="3284"/>
      <c r="O47" s="3284"/>
    </row>
    <row r="48" spans="1:15" ht="25.5">
      <c r="A48" s="3231" t="s">
        <v>2165</v>
      </c>
      <c r="B48" s="3214"/>
      <c r="C48" s="3214"/>
      <c r="D48" s="139">
        <f>IF(H48="情况1",0,IF(H48="情况2",D52,IF(H48="情况3",D53,IF(H48="情况4",D54))))</f>
        <v>0</v>
      </c>
      <c r="E48" s="3029" t="str">
        <f>IF(H48="情况4","(销售额-原购置价)×税（费）率","销售额×税（费）率")</f>
        <v>销售额×税（费）率</v>
      </c>
      <c r="F48" s="174" t="str">
        <f>IF(H48="情况1","免征",'数据-取费表'!B41)</f>
        <v>免征</v>
      </c>
      <c r="G48" s="2443" t="s">
        <v>2166</v>
      </c>
      <c r="H48" s="2444" t="s">
        <v>2167</v>
      </c>
      <c r="I48" s="2442"/>
      <c r="J48" s="3019">
        <v>3</v>
      </c>
      <c r="K48" s="3263" t="s">
        <v>2168</v>
      </c>
      <c r="L48" s="3263"/>
      <c r="M48" s="3285">
        <f ca="1">H101</f>
        <v>45921</v>
      </c>
      <c r="N48" s="3285"/>
      <c r="O48" s="3285"/>
    </row>
    <row r="49" spans="1:35" ht="25.5" customHeight="1">
      <c r="A49" s="175" t="s">
        <v>2169</v>
      </c>
      <c r="B49" s="3199" t="s">
        <v>2170</v>
      </c>
      <c r="C49" s="3199"/>
      <c r="D49" s="176">
        <v>0</v>
      </c>
      <c r="E49" s="23" t="s">
        <v>2171</v>
      </c>
      <c r="F49" s="28" t="s">
        <v>34</v>
      </c>
      <c r="G49" s="3269"/>
      <c r="H49" s="137"/>
      <c r="I49" s="2445"/>
      <c r="J49" s="3019">
        <v>4</v>
      </c>
      <c r="K49" s="3263" t="str">
        <f>IF(项目基本情况!E8="房地产抵押价值","房地产抵押价值","抵押担保权已注销时的房地产抵押价值")</f>
        <v>抵押担保权已注销时的房地产抵押价值</v>
      </c>
      <c r="L49" s="3263"/>
      <c r="M49" s="3285" t="str">
        <f>IF(项目基本情况!E8="房地产抵押价值",H107,H109)</f>
        <v>——</v>
      </c>
      <c r="N49" s="3285"/>
      <c r="O49" s="3285"/>
    </row>
    <row r="50" spans="1:35" ht="25.5" customHeight="1">
      <c r="A50" s="177"/>
      <c r="B50" s="3199" t="s">
        <v>2172</v>
      </c>
      <c r="C50" s="3199"/>
      <c r="D50" s="178"/>
      <c r="E50" s="31"/>
      <c r="F50" s="179"/>
      <c r="G50" s="3270"/>
      <c r="H50" s="137"/>
      <c r="I50" s="2445"/>
      <c r="J50" s="3263" t="s">
        <v>2173</v>
      </c>
      <c r="K50" s="3263"/>
      <c r="L50" s="3263"/>
      <c r="M50" s="3263"/>
      <c r="N50" s="3263"/>
      <c r="O50" s="3263"/>
    </row>
    <row r="51" spans="1:35" ht="12" customHeight="1">
      <c r="A51" s="180"/>
      <c r="B51" s="3199" t="s">
        <v>2174</v>
      </c>
      <c r="C51" s="3199"/>
      <c r="D51" s="181"/>
      <c r="E51" s="30"/>
      <c r="F51" s="179"/>
      <c r="G51" s="3271"/>
      <c r="H51" s="137"/>
      <c r="I51" s="2445"/>
      <c r="J51" s="3016" t="s">
        <v>2175</v>
      </c>
      <c r="K51" s="3263" t="s">
        <v>2176</v>
      </c>
      <c r="L51" s="3263"/>
      <c r="M51" s="3016" t="s">
        <v>2177</v>
      </c>
      <c r="N51" s="3016" t="s">
        <v>2178</v>
      </c>
      <c r="O51" s="3016" t="s">
        <v>2179</v>
      </c>
    </row>
    <row r="52" spans="1:35" ht="24" customHeight="1">
      <c r="A52" s="182" t="s">
        <v>2180</v>
      </c>
      <c r="B52" s="3199" t="s">
        <v>2181</v>
      </c>
      <c r="C52" s="3199"/>
      <c r="D52" s="181">
        <f ca="1">ROUND(D45*'数据-取费表'!B41/(1+'数据-取费表'!C42),0)</f>
        <v>2449</v>
      </c>
      <c r="E52" s="11" t="s">
        <v>2182</v>
      </c>
      <c r="F52" s="183">
        <f>'数据-取费表'!B41</f>
        <v>5.6000000000000001E-2</v>
      </c>
      <c r="G52" s="2447"/>
      <c r="H52" s="137"/>
      <c r="I52" s="2445"/>
      <c r="J52" s="3019">
        <v>1</v>
      </c>
      <c r="K52" s="3264" t="s">
        <v>2183</v>
      </c>
      <c r="L52" s="3264"/>
      <c r="M52" s="1753">
        <f>D48</f>
        <v>0</v>
      </c>
      <c r="N52" s="3019" t="str">
        <f>E48</f>
        <v>销售额×税（费）率</v>
      </c>
      <c r="O52" s="1754" t="str">
        <f>F48</f>
        <v>免征</v>
      </c>
    </row>
    <row r="53" spans="1:35" ht="12" customHeight="1">
      <c r="A53" s="182" t="s">
        <v>2184</v>
      </c>
      <c r="B53" s="3222" t="s">
        <v>2185</v>
      </c>
      <c r="C53" s="3223"/>
      <c r="D53" s="181">
        <f ca="1">ROUND(D45*'数据-取费表'!B41/(1+'数据-取费表'!C42),0)</f>
        <v>2449</v>
      </c>
      <c r="E53" s="11" t="s">
        <v>2182</v>
      </c>
      <c r="F53" s="183">
        <f>'数据-取费表'!B41</f>
        <v>5.6000000000000001E-2</v>
      </c>
      <c r="G53" s="2447"/>
      <c r="H53" s="137"/>
      <c r="I53" s="2445"/>
      <c r="J53" s="3019">
        <v>2</v>
      </c>
      <c r="K53" s="3264" t="s">
        <v>2186</v>
      </c>
      <c r="L53" s="3264"/>
      <c r="M53" s="1753">
        <f t="shared" ref="M53:O54" ca="1" si="0">D55</f>
        <v>23</v>
      </c>
      <c r="N53" s="3019" t="str">
        <f t="shared" si="0"/>
        <v>销售额×税（费）率</v>
      </c>
      <c r="O53" s="1754">
        <f t="shared" si="0"/>
        <v>5.0000000000000001E-4</v>
      </c>
    </row>
    <row r="54" spans="1:35" ht="12" customHeight="1">
      <c r="A54" s="182" t="s">
        <v>2187</v>
      </c>
      <c r="B54" s="3222" t="s">
        <v>2188</v>
      </c>
      <c r="C54" s="3223"/>
      <c r="D54" s="181">
        <f ca="1">C68</f>
        <v>2449</v>
      </c>
      <c r="E54" s="30" t="s">
        <v>2189</v>
      </c>
      <c r="F54" s="183">
        <f>'数据-取费表'!B41</f>
        <v>5.6000000000000001E-2</v>
      </c>
      <c r="G54" s="2447"/>
      <c r="H54" s="2448"/>
      <c r="I54" s="2445"/>
      <c r="J54" s="3019">
        <v>3</v>
      </c>
      <c r="K54" s="3264" t="s">
        <v>2190</v>
      </c>
      <c r="L54" s="3264"/>
      <c r="M54" s="1753">
        <f t="shared" ca="1" si="0"/>
        <v>25992</v>
      </c>
      <c r="N54" s="3019" t="str">
        <f t="shared" si="0"/>
        <v>增值额×税（费）率</v>
      </c>
      <c r="O54" s="1755" t="str">
        <f t="shared" si="0"/>
        <v>——</v>
      </c>
    </row>
    <row r="55" spans="1:35" ht="24" customHeight="1">
      <c r="A55" s="3213" t="s">
        <v>2191</v>
      </c>
      <c r="B55" s="3214"/>
      <c r="C55" s="3214"/>
      <c r="D55" s="184">
        <f ca="1">IF(H55="个人住宅",0,ROUND(D45*I55,0))</f>
        <v>23</v>
      </c>
      <c r="E55" s="11" t="s">
        <v>2192</v>
      </c>
      <c r="F55" s="183">
        <f>IF(H55="正常",I55,"免征")</f>
        <v>5.0000000000000001E-4</v>
      </c>
      <c r="G55" s="2447"/>
      <c r="H55" s="2444" t="s">
        <v>2193</v>
      </c>
      <c r="I55" s="185">
        <f>'数据-取费表'!B49</f>
        <v>5.0000000000000001E-4</v>
      </c>
      <c r="J55" s="3019" t="str">
        <f>IF(H59="非个人房产","",4)</f>
        <v/>
      </c>
      <c r="K55" s="3264" t="str">
        <f>IF(H59="非个人房产","——","个人所得税")</f>
        <v>——</v>
      </c>
      <c r="L55" s="3264"/>
      <c r="M55" s="1756" t="str">
        <f>D59</f>
        <v>——</v>
      </c>
      <c r="N55" s="3020" t="str">
        <f>E59</f>
        <v>——</v>
      </c>
      <c r="O55" s="1757" t="str">
        <f>F59</f>
        <v>——</v>
      </c>
    </row>
    <row r="56" spans="1:35" ht="24.75">
      <c r="A56" s="3213" t="s">
        <v>2194</v>
      </c>
      <c r="B56" s="3214"/>
      <c r="C56" s="3214"/>
      <c r="D56" s="184">
        <f ca="1">IF(H56="个人住宅",D57,D58)</f>
        <v>25992</v>
      </c>
      <c r="E56" s="11" t="s">
        <v>2195</v>
      </c>
      <c r="F56" s="183" t="str">
        <f>IF(H56="正常",F58,"免征")</f>
        <v>——</v>
      </c>
      <c r="G56" s="2449" t="s">
        <v>2196</v>
      </c>
      <c r="H56" s="2450" t="s">
        <v>2193</v>
      </c>
      <c r="I56" s="2451"/>
      <c r="J56" s="3019" t="str">
        <f>IF(项目基本情况!K6="上海银行",IF(J55="",4,J55+1),"")</f>
        <v/>
      </c>
      <c r="K56" s="3287" t="str">
        <f>IF(项目基本情况!K6="上海银行","其他处置费用","")</f>
        <v/>
      </c>
      <c r="L56" s="3288"/>
      <c r="M56" s="1753" t="str">
        <f>IF(项目基本情况!K6="上海银行",M69,"")</f>
        <v/>
      </c>
      <c r="N56" s="3290" t="str">
        <f>IF(项目基本情况!K6="上海银行","包含处置中涉及的律师、诉讼、拍卖、评估等费用","")</f>
        <v/>
      </c>
      <c r="O56" s="3291"/>
    </row>
    <row r="57" spans="1:35" ht="12.75">
      <c r="A57" s="182" t="s">
        <v>2169</v>
      </c>
      <c r="B57" s="3229" t="s">
        <v>2197</v>
      </c>
      <c r="C57" s="3238"/>
      <c r="D57" s="186">
        <v>0</v>
      </c>
      <c r="E57" s="23" t="s">
        <v>2171</v>
      </c>
      <c r="F57" s="154"/>
      <c r="G57" s="2447"/>
      <c r="H57" s="2451"/>
      <c r="I57" s="2451"/>
      <c r="J57" s="3264">
        <f>IF(AND(J55="",J56=""),4,IF(项目基本情况!K6="上海银行",'结果表（地下车库）'!J56+1,'结果表（地下车库）'!J55+1))</f>
        <v>4</v>
      </c>
      <c r="K57" s="3264" t="s">
        <v>2198</v>
      </c>
      <c r="L57" s="2452" t="s">
        <v>2199</v>
      </c>
      <c r="M57" s="1758"/>
      <c r="N57" s="1759">
        <f ca="1">SUMIF(M52:M56,"&lt;9e307")</f>
        <v>26015</v>
      </c>
      <c r="O57" s="2453"/>
      <c r="P57" s="1752" t="e">
        <f ca="1">N57/M49</f>
        <v>#VALUE!</v>
      </c>
    </row>
    <row r="58" spans="1:35" ht="24.75">
      <c r="A58" s="182" t="s">
        <v>2180</v>
      </c>
      <c r="B58" s="3229" t="s">
        <v>2200</v>
      </c>
      <c r="C58" s="3230"/>
      <c r="D58" s="184">
        <f ca="1">IF(H58="转让取得",C81,C97)</f>
        <v>25992</v>
      </c>
      <c r="E58" s="11" t="s">
        <v>2195</v>
      </c>
      <c r="F58" s="24" t="s">
        <v>34</v>
      </c>
      <c r="G58" s="2447"/>
      <c r="H58" s="2450" t="s">
        <v>2201</v>
      </c>
      <c r="I58" s="2451"/>
      <c r="J58" s="3264"/>
      <c r="K58" s="3264"/>
      <c r="L58" s="2452" t="s">
        <v>2202</v>
      </c>
      <c r="M58" s="1760"/>
      <c r="N58" s="2454" t="str">
        <f ca="1">NUMBERSTRING(INT(N57*10000),2)&amp;"元整"</f>
        <v>贰亿陆仟零壹拾伍万元整</v>
      </c>
      <c r="O58" s="2455"/>
    </row>
    <row r="59" spans="1:35" ht="24.75" thickBot="1">
      <c r="A59" s="3267" t="s">
        <v>2203</v>
      </c>
      <c r="B59" s="3268"/>
      <c r="C59" s="3268"/>
      <c r="D59" s="187" t="str">
        <f>IF(H59="非个人房产","——",IF(H59="个人住宅",0,ROUND(D45*I59,0)))</f>
        <v>——</v>
      </c>
      <c r="E59" s="188" t="str">
        <f>IF(H59="非个人房产","——","销售额×税（费）率")</f>
        <v>——</v>
      </c>
      <c r="F59" s="189" t="str">
        <f>IF(H59="非个人房产","——",IF(H59="个人住宅","免征",I59))</f>
        <v>——</v>
      </c>
      <c r="G59" s="2456" t="s">
        <v>2196</v>
      </c>
      <c r="H59" s="2450" t="s">
        <v>2204</v>
      </c>
      <c r="I59" s="190">
        <v>0.01</v>
      </c>
      <c r="J59" s="3265">
        <f>J57+1</f>
        <v>5</v>
      </c>
      <c r="K59" s="3264" t="s">
        <v>2205</v>
      </c>
      <c r="L59" s="3019" t="s">
        <v>2199</v>
      </c>
      <c r="M59" s="1761"/>
      <c r="N59" s="1762" t="e">
        <f ca="1">M49-N57</f>
        <v>#VALUE!</v>
      </c>
      <c r="O59" s="2457"/>
    </row>
    <row r="60" spans="1:35" ht="12" customHeight="1">
      <c r="A60" s="2458"/>
      <c r="B60" s="2380"/>
      <c r="C60" s="2380"/>
      <c r="D60" s="2380"/>
      <c r="E60" s="2168"/>
      <c r="F60" s="2451"/>
      <c r="G60" s="2451"/>
      <c r="H60" s="2459"/>
      <c r="I60" s="137"/>
      <c r="J60" s="3266"/>
      <c r="K60" s="3264"/>
      <c r="L60" s="2452" t="s">
        <v>2202</v>
      </c>
      <c r="M60" s="1760"/>
      <c r="N60" s="2454" t="e">
        <f ca="1">NUMBERSTRING(INT(N59*10000),2)&amp;"元整"</f>
        <v>#VALUE!</v>
      </c>
      <c r="O60" s="2455"/>
    </row>
    <row r="61" spans="1:35" ht="13.5" thickBot="1">
      <c r="A61" s="3211" t="s">
        <v>2206</v>
      </c>
      <c r="B61" s="3211"/>
      <c r="C61" s="3211"/>
      <c r="D61" s="3211"/>
      <c r="E61" s="3211"/>
      <c r="F61" s="2451"/>
      <c r="G61" s="2451"/>
      <c r="H61" s="2459"/>
      <c r="I61" s="137"/>
      <c r="J61" s="3019">
        <f>J59+1</f>
        <v>6</v>
      </c>
      <c r="K61" s="3264" t="s">
        <v>2207</v>
      </c>
      <c r="L61" s="3264"/>
      <c r="M61" s="1763"/>
      <c r="N61" s="1764" t="e">
        <f ca="1">ROUND(N59*10000/'数据-汇总表'!E3,0)</f>
        <v>#VALUE!</v>
      </c>
      <c r="O61" s="2460"/>
    </row>
    <row r="62" spans="1:35" ht="12.75">
      <c r="A62" s="3227" t="s">
        <v>2208</v>
      </c>
      <c r="B62" s="3228"/>
      <c r="C62" s="3025"/>
      <c r="D62" s="3025" t="s">
        <v>2209</v>
      </c>
      <c r="E62" s="191" t="s">
        <v>2210</v>
      </c>
      <c r="F62" s="2451"/>
      <c r="G62" s="2451"/>
      <c r="H62" s="2459"/>
      <c r="I62" s="137"/>
    </row>
    <row r="63" spans="1:35" ht="12.75">
      <c r="A63" s="202" t="s">
        <v>775</v>
      </c>
      <c r="B63" s="192" t="s">
        <v>2211</v>
      </c>
      <c r="C63" s="193">
        <f ca="1">ROUND((C64+C65)/(1+'数据-取费表'!C42),0)</f>
        <v>43734</v>
      </c>
      <c r="D63" s="194"/>
      <c r="E63" s="195"/>
      <c r="F63" s="2451"/>
      <c r="G63" s="2451"/>
      <c r="H63" s="2459"/>
      <c r="I63" s="137"/>
      <c r="J63" s="3289" t="s">
        <v>2212</v>
      </c>
      <c r="K63" s="3017" t="s">
        <v>2213</v>
      </c>
      <c r="L63" s="1751" t="e">
        <f>IF(M49&gt;10000,M49*0.5%,IF(AND(M49&gt;1000,M49&lt;=10000),M49*1%,IF(AND(M49&gt;100,M49&lt;=1000),M49*3%,IF(AND(M49&gt;10,M49&lt;=100),M49*5%,M49*8%))))</f>
        <v>#VALUE!</v>
      </c>
      <c r="M63" s="24" t="e">
        <f>ROUND(L63,1)</f>
        <v>#VALUE!</v>
      </c>
      <c r="Z63" s="2385"/>
      <c r="AI63" s="2386"/>
    </row>
    <row r="64" spans="1:35" ht="14.25" customHeight="1">
      <c r="A64" s="196" t="s">
        <v>770</v>
      </c>
      <c r="B64" s="197" t="s">
        <v>2214</v>
      </c>
      <c r="C64" s="198">
        <f ca="1">D45</f>
        <v>45921</v>
      </c>
      <c r="D64" s="199" t="s">
        <v>32</v>
      </c>
      <c r="E64" s="200"/>
      <c r="F64" s="2451"/>
      <c r="G64" s="2451"/>
      <c r="H64" s="2459"/>
      <c r="I64" s="137"/>
      <c r="J64" s="3289"/>
      <c r="K64" s="3017" t="s">
        <v>2215</v>
      </c>
      <c r="L64" s="1751"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2216</v>
      </c>
      <c r="Z64" s="2385"/>
      <c r="AI64" s="2386"/>
    </row>
    <row r="65" spans="1:35" ht="14.25" customHeight="1">
      <c r="A65" s="196" t="s">
        <v>771</v>
      </c>
      <c r="B65" s="197" t="s">
        <v>2217</v>
      </c>
      <c r="C65" s="201"/>
      <c r="D65" s="199"/>
      <c r="E65" s="200"/>
      <c r="F65" s="2451"/>
      <c r="G65" s="2451"/>
      <c r="H65" s="2459"/>
      <c r="I65" s="137"/>
      <c r="J65" s="3289"/>
      <c r="K65" s="3017" t="s">
        <v>2218</v>
      </c>
      <c r="L65" s="1751" t="e">
        <f>IF(M49&gt;1000,M49*0.1%,IF(AND(M49&gt;500,M49&lt;=1000),M49*0.5%,IF(AND(M49&gt;50,M49&lt;=500),M49*1%,IF(AND(M49&gt;1,M49&lt;=50),M49*1.5%))))</f>
        <v>#VALUE!</v>
      </c>
      <c r="M65" s="24" t="e">
        <f t="shared" si="1"/>
        <v>#VALUE!</v>
      </c>
      <c r="N65" s="137" t="s">
        <v>2216</v>
      </c>
      <c r="Z65" s="2385"/>
      <c r="AI65" s="2386"/>
    </row>
    <row r="66" spans="1:35" ht="14.25" customHeight="1">
      <c r="A66" s="202" t="s">
        <v>772</v>
      </c>
      <c r="B66" s="203" t="s">
        <v>2219</v>
      </c>
      <c r="C66" s="204"/>
      <c r="D66" s="205" t="s">
        <v>32</v>
      </c>
      <c r="E66" s="1775" t="s">
        <v>1371</v>
      </c>
      <c r="F66" s="2451"/>
      <c r="G66" s="2451"/>
      <c r="H66" s="2459"/>
      <c r="I66" s="137"/>
      <c r="J66" s="3289"/>
      <c r="K66" s="3017" t="s">
        <v>2220</v>
      </c>
      <c r="L66" s="1751" t="e">
        <f>M49*0.5%</f>
        <v>#VALUE!</v>
      </c>
      <c r="M66" s="24" t="e">
        <f>IF(L66&gt;0.5,0.5,ROUND(L66,0))</f>
        <v>#VALUE!</v>
      </c>
      <c r="N66" s="137" t="s">
        <v>2221</v>
      </c>
      <c r="Z66" s="2385"/>
      <c r="AI66" s="2386"/>
    </row>
    <row r="67" spans="1:35" ht="14.25" customHeight="1">
      <c r="A67" s="202" t="s">
        <v>773</v>
      </c>
      <c r="B67" s="203" t="s">
        <v>2222</v>
      </c>
      <c r="C67" s="206">
        <f ca="1">C63-C66</f>
        <v>43734</v>
      </c>
      <c r="D67" s="199" t="s">
        <v>32</v>
      </c>
      <c r="E67" s="200"/>
      <c r="F67" s="2451"/>
      <c r="G67" s="2451"/>
      <c r="H67" s="2459"/>
      <c r="I67" s="137"/>
      <c r="J67" s="3289"/>
      <c r="K67" s="3017" t="s">
        <v>2223</v>
      </c>
      <c r="L67" s="1751"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385"/>
      <c r="AI67" s="2386"/>
    </row>
    <row r="68" spans="1:35" ht="14.25" customHeight="1" thickBot="1">
      <c r="A68" s="207" t="s">
        <v>774</v>
      </c>
      <c r="B68" s="208" t="s">
        <v>2224</v>
      </c>
      <c r="C68" s="209">
        <f ca="1">IF(C67&lt;=0,0,ROUND(C67*D68,0))</f>
        <v>2449</v>
      </c>
      <c r="D68" s="210">
        <f>'数据-取费表'!B41</f>
        <v>5.6000000000000001E-2</v>
      </c>
      <c r="E68" s="211"/>
      <c r="F68" s="2451"/>
      <c r="G68" s="2451"/>
      <c r="H68" s="2459"/>
      <c r="I68" s="137"/>
      <c r="J68" s="3289"/>
      <c r="K68" s="3017" t="s">
        <v>2225</v>
      </c>
      <c r="L68" s="1751" t="e">
        <f>IF(M49&gt;10000,M49*0.5%,IF(AND(M49&gt;5000,M49&lt;=10000),M49*1%,IF(AND(M49&gt;1000,M49&lt;=5000),M49*2%,IF(AND(M49&gt;200,M49&lt;=1000),M49*3%,M49*5%))))</f>
        <v>#VALUE!</v>
      </c>
      <c r="M68" s="24" t="e">
        <f>ROUND(L68,1)</f>
        <v>#VALUE!</v>
      </c>
      <c r="Z68" s="2385"/>
      <c r="AI68" s="2386"/>
    </row>
    <row r="69" spans="1:35" s="2408" customFormat="1" ht="16.5" customHeight="1">
      <c r="A69" s="2462"/>
      <c r="B69" s="2463"/>
      <c r="C69" s="2464"/>
      <c r="D69" s="2465"/>
      <c r="E69" s="2466"/>
      <c r="F69" s="2168"/>
      <c r="G69" s="2168"/>
      <c r="H69" s="2167"/>
      <c r="I69" s="2380"/>
      <c r="J69" s="3289"/>
      <c r="K69" s="3017" t="s">
        <v>2226</v>
      </c>
      <c r="L69" s="2467"/>
      <c r="M69" s="24" t="e">
        <f>ROUND(SUM(M63:M68),0)</f>
        <v>#VALUE!</v>
      </c>
      <c r="N69" s="1752" t="e">
        <f>M69/M49</f>
        <v>#VALUE!</v>
      </c>
      <c r="O69" s="794"/>
      <c r="P69" s="794"/>
      <c r="Q69" s="794"/>
      <c r="R69" s="794"/>
      <c r="S69" s="794"/>
      <c r="T69" s="794"/>
      <c r="U69" s="794"/>
      <c r="V69" s="794"/>
      <c r="W69" s="794"/>
      <c r="X69" s="794"/>
      <c r="Y69" s="794"/>
      <c r="Z69" s="2385"/>
      <c r="AA69" s="2385"/>
      <c r="AB69" s="2385"/>
      <c r="AC69" s="2385"/>
      <c r="AD69" s="2385"/>
      <c r="AE69" s="2385"/>
      <c r="AF69" s="2385"/>
      <c r="AG69" s="2385"/>
      <c r="AH69" s="2385"/>
    </row>
    <row r="70" spans="1:35" s="2469" customFormat="1" ht="15" thickBot="1">
      <c r="A70" s="3248" t="s">
        <v>2227</v>
      </c>
      <c r="B70" s="3249"/>
      <c r="C70" s="3249"/>
      <c r="D70" s="3249"/>
      <c r="E70" s="3249"/>
      <c r="F70" s="3249"/>
      <c r="G70" s="3249"/>
      <c r="H70" s="3249"/>
      <c r="I70" s="2468"/>
      <c r="N70" s="2470"/>
      <c r="O70" s="2470"/>
      <c r="P70" s="2470"/>
      <c r="Q70" s="2470"/>
      <c r="R70" s="2470"/>
      <c r="S70" s="2470"/>
      <c r="T70" s="2470"/>
      <c r="U70" s="2470"/>
      <c r="V70" s="2470"/>
      <c r="W70" s="2470"/>
      <c r="X70" s="2470"/>
      <c r="Y70" s="2470"/>
      <c r="Z70" s="2470"/>
      <c r="AA70" s="2471"/>
      <c r="AB70" s="2471"/>
      <c r="AC70" s="2471"/>
      <c r="AD70" s="2471"/>
      <c r="AE70" s="2471"/>
      <c r="AF70" s="2471"/>
      <c r="AG70" s="2471"/>
      <c r="AH70" s="2471"/>
      <c r="AI70" s="2471"/>
    </row>
    <row r="71" spans="1:35" s="2469" customFormat="1" ht="14.25">
      <c r="A71" s="3227" t="s">
        <v>2208</v>
      </c>
      <c r="B71" s="3228"/>
      <c r="C71" s="3025"/>
      <c r="D71" s="3025" t="s">
        <v>2209</v>
      </c>
      <c r="E71" s="212" t="s">
        <v>2210</v>
      </c>
      <c r="F71" s="213"/>
      <c r="G71" s="213"/>
      <c r="H71" s="214"/>
      <c r="I71" s="2472"/>
      <c r="N71" s="2470"/>
      <c r="O71" s="2470"/>
      <c r="P71" s="2470"/>
      <c r="Q71" s="2470"/>
      <c r="R71" s="2470"/>
      <c r="S71" s="2470"/>
      <c r="T71" s="2470"/>
      <c r="U71" s="2470"/>
      <c r="V71" s="2470"/>
      <c r="W71" s="2470"/>
      <c r="X71" s="2470"/>
      <c r="Y71" s="2470"/>
      <c r="Z71" s="2470"/>
      <c r="AA71" s="2471"/>
      <c r="AB71" s="2471"/>
      <c r="AC71" s="2471"/>
      <c r="AD71" s="2471"/>
      <c r="AE71" s="2471"/>
      <c r="AF71" s="2471"/>
      <c r="AG71" s="2471"/>
      <c r="AH71" s="2471"/>
      <c r="AI71" s="2471"/>
    </row>
    <row r="72" spans="1:35" s="2469" customFormat="1" ht="14.25">
      <c r="A72" s="202" t="s">
        <v>775</v>
      </c>
      <c r="B72" s="203" t="s">
        <v>2228</v>
      </c>
      <c r="C72" s="206">
        <f ca="1">ROUND(D45/(1+'数据-取费表'!C42),0)</f>
        <v>43734</v>
      </c>
      <c r="D72" s="199" t="s">
        <v>32</v>
      </c>
      <c r="E72" s="3027"/>
      <c r="F72" s="3026"/>
      <c r="G72" s="3026"/>
      <c r="H72" s="215"/>
      <c r="I72" s="2472"/>
      <c r="N72" s="2470"/>
      <c r="O72" s="2470"/>
      <c r="P72" s="2470"/>
      <c r="Q72" s="2470"/>
      <c r="R72" s="2470"/>
      <c r="S72" s="2470"/>
      <c r="T72" s="2470"/>
      <c r="U72" s="2470"/>
      <c r="V72" s="2470"/>
      <c r="W72" s="2470"/>
      <c r="X72" s="2470"/>
      <c r="Y72" s="2470"/>
      <c r="Z72" s="2470"/>
      <c r="AA72" s="2471"/>
      <c r="AB72" s="2471"/>
      <c r="AC72" s="2471"/>
      <c r="AD72" s="2471"/>
      <c r="AE72" s="2471"/>
      <c r="AF72" s="2471"/>
      <c r="AG72" s="2471"/>
      <c r="AH72" s="2471"/>
      <c r="AI72" s="2471"/>
    </row>
    <row r="73" spans="1:35" s="2469" customFormat="1" ht="14.25">
      <c r="A73" s="202" t="s">
        <v>772</v>
      </c>
      <c r="B73" s="172" t="s">
        <v>2229</v>
      </c>
      <c r="C73" s="206">
        <f ca="1">C74+C78</f>
        <v>262</v>
      </c>
      <c r="D73" s="199" t="s">
        <v>32</v>
      </c>
      <c r="E73" s="3027"/>
      <c r="F73" s="3026"/>
      <c r="G73" s="3026"/>
      <c r="H73" s="215"/>
      <c r="I73" s="2472"/>
      <c r="J73" s="2470"/>
      <c r="K73" s="2470"/>
      <c r="L73" s="2470"/>
      <c r="M73" s="2470"/>
      <c r="N73" s="2470"/>
      <c r="O73" s="2470"/>
      <c r="P73" s="2470"/>
      <c r="Q73" s="2470"/>
      <c r="R73" s="2470"/>
      <c r="S73" s="2470"/>
      <c r="T73" s="2470"/>
      <c r="U73" s="2470"/>
      <c r="V73" s="2470"/>
      <c r="W73" s="2470"/>
      <c r="X73" s="2470"/>
      <c r="Y73" s="2470"/>
      <c r="Z73" s="2470"/>
      <c r="AA73" s="2471"/>
      <c r="AB73" s="2471"/>
      <c r="AC73" s="2471"/>
      <c r="AD73" s="2471"/>
      <c r="AE73" s="2471"/>
      <c r="AF73" s="2471"/>
      <c r="AG73" s="2471"/>
      <c r="AH73" s="2471"/>
      <c r="AI73" s="2471"/>
    </row>
    <row r="74" spans="1:35" s="2469" customFormat="1" ht="24">
      <c r="A74" s="216" t="s">
        <v>770</v>
      </c>
      <c r="B74" s="197" t="s">
        <v>2230</v>
      </c>
      <c r="C74" s="199">
        <f>ROUND(IF(G77="2016年5月1日后购买",C75/(1+'数据-取费表'!C42)+C76+C77,C75+C76+C77),0)</f>
        <v>0</v>
      </c>
      <c r="D74" s="199" t="s">
        <v>32</v>
      </c>
      <c r="E74" s="3027"/>
      <c r="F74" s="3026"/>
      <c r="G74" s="3026"/>
      <c r="H74" s="215"/>
      <c r="I74" s="2472"/>
      <c r="J74" s="2470"/>
      <c r="K74" s="2470"/>
      <c r="L74" s="2470"/>
      <c r="M74" s="2470"/>
      <c r="N74" s="2470"/>
      <c r="O74" s="2470"/>
      <c r="P74" s="2470"/>
      <c r="Q74" s="2470"/>
      <c r="R74" s="2470"/>
      <c r="S74" s="2470"/>
      <c r="T74" s="2470"/>
      <c r="U74" s="2470"/>
      <c r="V74" s="2470"/>
      <c r="W74" s="2470"/>
      <c r="X74" s="2470"/>
      <c r="Y74" s="2470"/>
      <c r="Z74" s="2470"/>
      <c r="AA74" s="2471"/>
      <c r="AB74" s="2471"/>
      <c r="AC74" s="2471"/>
      <c r="AD74" s="2471"/>
      <c r="AE74" s="2471"/>
      <c r="AF74" s="2471"/>
      <c r="AG74" s="2471"/>
      <c r="AH74" s="2471"/>
      <c r="AI74" s="2471"/>
    </row>
    <row r="75" spans="1:35" s="2469" customFormat="1" ht="14.25">
      <c r="A75" s="216" t="s">
        <v>776</v>
      </c>
      <c r="B75" s="197" t="s">
        <v>2231</v>
      </c>
      <c r="C75" s="217"/>
      <c r="D75" s="199" t="s">
        <v>32</v>
      </c>
      <c r="E75" s="218" t="s">
        <v>2232</v>
      </c>
      <c r="F75" s="2473" t="s">
        <v>2233</v>
      </c>
      <c r="G75" s="218" t="s">
        <v>2234</v>
      </c>
      <c r="H75" s="219"/>
      <c r="I75" s="2474"/>
      <c r="J75" s="2470"/>
      <c r="K75" s="2470"/>
      <c r="L75" s="2470"/>
      <c r="M75" s="2470"/>
      <c r="N75" s="2470"/>
      <c r="O75" s="2470"/>
      <c r="P75" s="2470"/>
      <c r="Q75" s="2470"/>
      <c r="R75" s="2470"/>
      <c r="S75" s="2470"/>
      <c r="T75" s="2470"/>
      <c r="U75" s="2470"/>
      <c r="V75" s="2470"/>
      <c r="W75" s="2470"/>
      <c r="X75" s="2470"/>
      <c r="Y75" s="2470"/>
      <c r="Z75" s="2470"/>
      <c r="AA75" s="2471"/>
      <c r="AB75" s="2471"/>
      <c r="AC75" s="2471"/>
      <c r="AD75" s="2471"/>
      <c r="AE75" s="2471"/>
      <c r="AF75" s="2471"/>
      <c r="AG75" s="2471"/>
      <c r="AH75" s="2471"/>
      <c r="AI75" s="2471"/>
    </row>
    <row r="76" spans="1:35" s="2469" customFormat="1" ht="24.75" customHeight="1">
      <c r="A76" s="216" t="s">
        <v>777</v>
      </c>
      <c r="B76" s="220" t="s">
        <v>2235</v>
      </c>
      <c r="C76" s="199">
        <f>IF(F75="购房发票",ROUND(C75*H75*D76,0),0)</f>
        <v>0</v>
      </c>
      <c r="D76" s="221">
        <v>0.05</v>
      </c>
      <c r="E76" s="3222" t="s">
        <v>2236</v>
      </c>
      <c r="F76" s="3199"/>
      <c r="G76" s="3199"/>
      <c r="H76" s="3247"/>
      <c r="I76" s="2472"/>
      <c r="J76" s="2470"/>
      <c r="K76" s="2470"/>
      <c r="L76" s="2470"/>
      <c r="M76" s="2470"/>
      <c r="N76" s="2470"/>
      <c r="O76" s="2470"/>
      <c r="P76" s="2470"/>
      <c r="Q76" s="2470"/>
      <c r="R76" s="2470"/>
      <c r="S76" s="2470"/>
      <c r="T76" s="2470"/>
      <c r="U76" s="2470"/>
      <c r="V76" s="2470"/>
      <c r="W76" s="2470"/>
      <c r="X76" s="2470"/>
      <c r="Y76" s="2470"/>
      <c r="Z76" s="2470"/>
      <c r="AA76" s="2471"/>
      <c r="AB76" s="2471"/>
      <c r="AC76" s="2471"/>
      <c r="AD76" s="2471"/>
      <c r="AE76" s="2471"/>
      <c r="AF76" s="2471"/>
      <c r="AG76" s="2471"/>
      <c r="AH76" s="2471"/>
      <c r="AI76" s="2471"/>
    </row>
    <row r="77" spans="1:35" s="2469" customFormat="1" ht="24.75" customHeight="1">
      <c r="A77" s="216" t="s">
        <v>778</v>
      </c>
      <c r="B77" s="197" t="s">
        <v>2237</v>
      </c>
      <c r="C77" s="199">
        <f>ROUND(IF(G77="个人住宅",0,IF(G77="2016年5月1日前购买",C75*D77,C75*D77/(1+'数据-取费表'!C42))),0)</f>
        <v>0</v>
      </c>
      <c r="D77" s="222">
        <f>'数据-取费表'!B48+'数据-取费表'!B49</f>
        <v>3.0499999999999999E-2</v>
      </c>
      <c r="E77" s="3018" t="s">
        <v>2238</v>
      </c>
      <c r="F77" s="223"/>
      <c r="G77" s="2475" t="s">
        <v>2239</v>
      </c>
      <c r="H77" s="3028" t="str">
        <f>IF(G77="个人买卖住房","免征印花税"," ")</f>
        <v xml:space="preserve"> </v>
      </c>
      <c r="I77" s="2472"/>
      <c r="J77" s="2470"/>
      <c r="K77" s="2470"/>
      <c r="L77" s="2470"/>
      <c r="M77" s="2470"/>
      <c r="N77" s="2470"/>
      <c r="O77" s="2470"/>
      <c r="P77" s="2470"/>
      <c r="Q77" s="2470"/>
      <c r="R77" s="2470"/>
      <c r="S77" s="2470"/>
      <c r="T77" s="2470"/>
      <c r="U77" s="2470"/>
      <c r="V77" s="2470"/>
      <c r="W77" s="2470"/>
      <c r="X77" s="2470"/>
      <c r="Y77" s="2470"/>
      <c r="Z77" s="2470"/>
      <c r="AA77" s="2471"/>
      <c r="AB77" s="2471"/>
      <c r="AC77" s="2471"/>
      <c r="AD77" s="2471"/>
      <c r="AE77" s="2471"/>
      <c r="AF77" s="2471"/>
      <c r="AG77" s="2471"/>
      <c r="AH77" s="2471"/>
      <c r="AI77" s="2471"/>
    </row>
    <row r="78" spans="1:35" s="2469" customFormat="1" ht="24.75" customHeight="1">
      <c r="A78" s="216" t="s">
        <v>771</v>
      </c>
      <c r="B78" s="197" t="s">
        <v>2240</v>
      </c>
      <c r="C78" s="224">
        <f ca="1">ROUND(D45*D78/(1+'数据-取费表'!C42),0)</f>
        <v>262</v>
      </c>
      <c r="D78" s="225">
        <f>'数据-取费表'!B43</f>
        <v>6.000000000000001E-3</v>
      </c>
      <c r="E78" s="3208" t="s">
        <v>2241</v>
      </c>
      <c r="F78" s="3209"/>
      <c r="G78" s="3209"/>
      <c r="H78" s="3218"/>
      <c r="I78" s="2476"/>
      <c r="J78" s="2470"/>
      <c r="K78" s="2470"/>
      <c r="L78" s="2470"/>
      <c r="M78" s="2470"/>
      <c r="N78" s="2470"/>
      <c r="O78" s="2470"/>
      <c r="P78" s="2470"/>
      <c r="Q78" s="2470"/>
      <c r="R78" s="2470"/>
      <c r="S78" s="2470"/>
      <c r="T78" s="2470"/>
      <c r="U78" s="2470"/>
      <c r="V78" s="2470"/>
      <c r="W78" s="2470"/>
      <c r="X78" s="2470"/>
      <c r="Y78" s="2470"/>
      <c r="Z78" s="2470"/>
      <c r="AA78" s="2471"/>
      <c r="AB78" s="2471"/>
      <c r="AC78" s="2471"/>
      <c r="AD78" s="2471"/>
      <c r="AE78" s="2471"/>
      <c r="AF78" s="2471"/>
      <c r="AG78" s="2471"/>
      <c r="AH78" s="2471"/>
      <c r="AI78" s="2471"/>
    </row>
    <row r="79" spans="1:35" s="2469" customFormat="1" ht="14.25">
      <c r="A79" s="2477" t="s">
        <v>773</v>
      </c>
      <c r="B79" s="203" t="s">
        <v>2242</v>
      </c>
      <c r="C79" s="206">
        <f ca="1">C72-C73</f>
        <v>43472</v>
      </c>
      <c r="D79" s="199" t="s">
        <v>32</v>
      </c>
      <c r="E79" s="3027"/>
      <c r="F79" s="3026"/>
      <c r="G79" s="3026"/>
      <c r="H79" s="215"/>
      <c r="I79" s="2472"/>
      <c r="J79" s="2470"/>
      <c r="K79" s="2470"/>
      <c r="L79" s="2470"/>
      <c r="M79" s="2470"/>
      <c r="N79" s="2470"/>
      <c r="O79" s="2470"/>
      <c r="P79" s="2470"/>
      <c r="Q79" s="2470"/>
      <c r="R79" s="2470"/>
      <c r="S79" s="2470"/>
      <c r="T79" s="2470"/>
      <c r="U79" s="2470"/>
      <c r="V79" s="2470"/>
      <c r="W79" s="2470"/>
      <c r="X79" s="2470"/>
      <c r="Y79" s="2470"/>
      <c r="Z79" s="2470"/>
      <c r="AA79" s="2471"/>
      <c r="AB79" s="2471"/>
      <c r="AC79" s="2471"/>
      <c r="AD79" s="2471"/>
      <c r="AE79" s="2471"/>
      <c r="AF79" s="2471"/>
      <c r="AG79" s="2471"/>
      <c r="AH79" s="2471"/>
      <c r="AI79" s="2471"/>
    </row>
    <row r="80" spans="1:35" s="2469" customFormat="1" ht="24">
      <c r="A80" s="2477" t="s">
        <v>780</v>
      </c>
      <c r="B80" s="203" t="s">
        <v>2243</v>
      </c>
      <c r="C80" s="226">
        <f ca="1">IF(C79&lt;=0,0,C79/C73)</f>
        <v>165.92366412213741</v>
      </c>
      <c r="D80" s="199" t="s">
        <v>32</v>
      </c>
      <c r="E80" s="3018" t="str">
        <f ca="1">IF(C80&gt;=200%,"增值额超过扣除项目金额200%",IF(C80&gt;=100%,"增值额超过扣除项目金额100%，未超过200%",IF(C80&gt;=50%,"增值额超过扣除项目金额50%，未超过100%",IF(C80&lt;50%,"增值额未超过扣除项目金额50%"))))</f>
        <v>增值额超过扣除项目金额200%</v>
      </c>
      <c r="F80" s="3026"/>
      <c r="G80" s="3026"/>
      <c r="H80" s="215"/>
      <c r="I80" s="2472"/>
      <c r="J80" s="2470"/>
      <c r="K80" s="2470"/>
      <c r="L80" s="2470"/>
      <c r="M80" s="2470"/>
      <c r="N80" s="2470"/>
      <c r="O80" s="2470"/>
      <c r="P80" s="2470"/>
      <c r="Q80" s="2470"/>
      <c r="R80" s="2470"/>
      <c r="S80" s="2470"/>
      <c r="T80" s="2470"/>
      <c r="U80" s="2470"/>
      <c r="V80" s="2470"/>
      <c r="W80" s="2470"/>
      <c r="X80" s="2470"/>
      <c r="Y80" s="2470"/>
      <c r="Z80" s="2470"/>
      <c r="AA80" s="2471"/>
      <c r="AB80" s="2471"/>
      <c r="AC80" s="2471"/>
      <c r="AD80" s="2471"/>
      <c r="AE80" s="2471"/>
      <c r="AF80" s="2471"/>
      <c r="AG80" s="2471"/>
      <c r="AH80" s="2471"/>
      <c r="AI80" s="2471"/>
    </row>
    <row r="81" spans="1:35" s="2469" customFormat="1" ht="24.75" thickBot="1">
      <c r="A81" s="2478" t="s">
        <v>781</v>
      </c>
      <c r="B81" s="208" t="s">
        <v>2244</v>
      </c>
      <c r="C81" s="227">
        <f ca="1">ROUND(IF(C79&lt;=0,0,IF(C80&gt;=200%,C79*60%-C73*35%,IF(C80&gt;=100%,C79*50%-C73*15%,IF(C80&gt;=50%,C79*40%-C73*5%,IF(C80&lt;50%,C79*30%,0))))),0)</f>
        <v>25992</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472"/>
      <c r="J81" s="2470"/>
      <c r="K81" s="2470"/>
      <c r="L81" s="2470"/>
      <c r="M81" s="2470"/>
      <c r="N81" s="2470"/>
      <c r="O81" s="2470"/>
      <c r="P81" s="2470"/>
      <c r="Q81" s="2470"/>
      <c r="R81" s="2470"/>
      <c r="S81" s="2470"/>
      <c r="T81" s="2470"/>
      <c r="U81" s="2470"/>
      <c r="V81" s="2470"/>
      <c r="W81" s="2470"/>
      <c r="X81" s="2470"/>
      <c r="Y81" s="2470"/>
      <c r="Z81" s="2470"/>
      <c r="AA81" s="2471"/>
      <c r="AB81" s="2471"/>
      <c r="AC81" s="2471"/>
      <c r="AD81" s="2471"/>
      <c r="AE81" s="2471"/>
      <c r="AF81" s="2471"/>
      <c r="AG81" s="2471"/>
      <c r="AH81" s="2471"/>
      <c r="AI81" s="2471"/>
    </row>
    <row r="82" spans="1:35" s="2469" customFormat="1" ht="7.5" customHeight="1">
      <c r="A82" s="732"/>
      <c r="B82" s="733"/>
      <c r="C82" s="7"/>
      <c r="D82" s="7"/>
      <c r="E82" s="733"/>
      <c r="F82" s="733"/>
      <c r="G82" s="733"/>
      <c r="H82" s="734"/>
      <c r="I82" s="2476"/>
      <c r="J82" s="2470"/>
      <c r="K82" s="2470"/>
      <c r="L82" s="2470"/>
      <c r="M82" s="2470"/>
      <c r="N82" s="2470"/>
      <c r="O82" s="2470"/>
      <c r="P82" s="2470"/>
      <c r="Q82" s="2470"/>
      <c r="R82" s="2470"/>
      <c r="S82" s="2470"/>
      <c r="T82" s="2470"/>
      <c r="U82" s="2470"/>
      <c r="V82" s="2470"/>
      <c r="W82" s="2470"/>
      <c r="X82" s="2470"/>
      <c r="Y82" s="2470"/>
      <c r="Z82" s="2470"/>
      <c r="AA82" s="2471"/>
      <c r="AB82" s="2471"/>
      <c r="AC82" s="2471"/>
      <c r="AD82" s="2471"/>
      <c r="AE82" s="2471"/>
      <c r="AF82" s="2471"/>
      <c r="AG82" s="2471"/>
      <c r="AH82" s="2471"/>
      <c r="AI82" s="2471"/>
    </row>
    <row r="83" spans="1:35" s="2469" customFormat="1" ht="15" thickBot="1">
      <c r="A83" s="3248" t="s">
        <v>2245</v>
      </c>
      <c r="B83" s="3249"/>
      <c r="C83" s="3249"/>
      <c r="D83" s="3249"/>
      <c r="E83" s="3249"/>
      <c r="F83" s="3249"/>
      <c r="G83" s="3249"/>
      <c r="H83" s="3249"/>
      <c r="I83" s="2474"/>
      <c r="J83" s="2470"/>
      <c r="K83" s="2470"/>
      <c r="L83" s="2470"/>
      <c r="M83" s="2470"/>
      <c r="N83" s="2470"/>
      <c r="O83" s="2470"/>
      <c r="P83" s="2470"/>
      <c r="Q83" s="2470"/>
      <c r="R83" s="2470"/>
      <c r="S83" s="2470"/>
      <c r="T83" s="2470"/>
      <c r="U83" s="2470"/>
      <c r="V83" s="2470"/>
      <c r="W83" s="2470"/>
      <c r="X83" s="2470"/>
      <c r="Y83" s="2470"/>
      <c r="Z83" s="2470"/>
      <c r="AA83" s="2471"/>
      <c r="AB83" s="2471"/>
      <c r="AC83" s="2471"/>
      <c r="AD83" s="2471"/>
      <c r="AE83" s="2471"/>
      <c r="AF83" s="2471"/>
      <c r="AG83" s="2471"/>
      <c r="AH83" s="2471"/>
      <c r="AI83" s="2471"/>
    </row>
    <row r="84" spans="1:35" s="2469" customFormat="1" ht="14.25">
      <c r="A84" s="3227" t="s">
        <v>2208</v>
      </c>
      <c r="B84" s="3228"/>
      <c r="C84" s="3025"/>
      <c r="D84" s="3025" t="s">
        <v>2209</v>
      </c>
      <c r="E84" s="212" t="s">
        <v>2210</v>
      </c>
      <c r="F84" s="213"/>
      <c r="G84" s="213"/>
      <c r="H84" s="232"/>
      <c r="I84" s="2474"/>
      <c r="J84" s="2470"/>
      <c r="K84" s="2470"/>
      <c r="L84" s="2470"/>
      <c r="M84" s="2470"/>
      <c r="N84" s="2470"/>
      <c r="O84" s="2470"/>
      <c r="P84" s="2470"/>
      <c r="Q84" s="2470"/>
      <c r="R84" s="2470"/>
      <c r="S84" s="2470"/>
      <c r="T84" s="2470"/>
      <c r="U84" s="2470"/>
      <c r="V84" s="2470"/>
      <c r="W84" s="2470"/>
      <c r="X84" s="2470"/>
      <c r="Y84" s="2470"/>
      <c r="Z84" s="2470"/>
      <c r="AA84" s="2471"/>
      <c r="AB84" s="2471"/>
      <c r="AC84" s="2471"/>
      <c r="AD84" s="2471"/>
      <c r="AE84" s="2471"/>
      <c r="AF84" s="2471"/>
      <c r="AG84" s="2471"/>
      <c r="AH84" s="2471"/>
      <c r="AI84" s="2471"/>
    </row>
    <row r="85" spans="1:35" s="2469" customFormat="1" ht="14.25">
      <c r="A85" s="202" t="s">
        <v>775</v>
      </c>
      <c r="B85" s="203" t="s">
        <v>2228</v>
      </c>
      <c r="C85" s="206">
        <f ca="1">ROUND(D45/(1+'数据-取费表'!C42),0)</f>
        <v>43734</v>
      </c>
      <c r="D85" s="199" t="s">
        <v>32</v>
      </c>
      <c r="E85" s="3027"/>
      <c r="F85" s="3026"/>
      <c r="G85" s="3026"/>
      <c r="H85" s="233"/>
      <c r="I85" s="2474"/>
      <c r="J85" s="2470"/>
      <c r="K85" s="2470"/>
      <c r="L85" s="2470"/>
      <c r="M85" s="2470"/>
      <c r="N85" s="2470"/>
      <c r="O85" s="2470"/>
      <c r="P85" s="2470"/>
      <c r="Q85" s="2470"/>
      <c r="R85" s="2470"/>
      <c r="S85" s="2470"/>
      <c r="T85" s="2470"/>
      <c r="U85" s="2470"/>
      <c r="V85" s="2470"/>
      <c r="W85" s="2470"/>
      <c r="X85" s="2470"/>
      <c r="Y85" s="2470"/>
      <c r="Z85" s="2470"/>
      <c r="AA85" s="2471"/>
      <c r="AB85" s="2471"/>
      <c r="AC85" s="2471"/>
      <c r="AD85" s="2471"/>
      <c r="AE85" s="2471"/>
      <c r="AF85" s="2471"/>
      <c r="AG85" s="2471"/>
      <c r="AH85" s="2471"/>
      <c r="AI85" s="2471"/>
    </row>
    <row r="86" spans="1:35" s="2469" customFormat="1" ht="14.25">
      <c r="A86" s="202" t="s">
        <v>772</v>
      </c>
      <c r="B86" s="172" t="s">
        <v>2229</v>
      </c>
      <c r="C86" s="206">
        <f ca="1">IF(H88="仅含出让金",C87+C90+C91+C92+C93+C94,C87+C91+C92+C93+C94)</f>
        <v>262</v>
      </c>
      <c r="D86" s="234"/>
      <c r="E86" s="3027"/>
      <c r="F86" s="3026"/>
      <c r="G86" s="3026"/>
      <c r="H86" s="233"/>
      <c r="I86" s="2474"/>
      <c r="J86" s="2470"/>
      <c r="K86" s="2470"/>
      <c r="L86" s="2470"/>
      <c r="M86" s="2470"/>
      <c r="N86" s="2470"/>
      <c r="O86" s="2470"/>
      <c r="P86" s="2470"/>
      <c r="Q86" s="2470"/>
      <c r="R86" s="2470"/>
      <c r="S86" s="2470"/>
      <c r="T86" s="2470"/>
      <c r="U86" s="2470"/>
      <c r="V86" s="2470"/>
      <c r="W86" s="2470"/>
      <c r="X86" s="2470"/>
      <c r="Y86" s="2470"/>
      <c r="Z86" s="2470"/>
      <c r="AA86" s="2471"/>
      <c r="AB86" s="2471"/>
      <c r="AC86" s="2471"/>
      <c r="AD86" s="2471"/>
      <c r="AE86" s="2471"/>
      <c r="AF86" s="2471"/>
      <c r="AG86" s="2471"/>
      <c r="AH86" s="2471"/>
      <c r="AI86" s="2471"/>
    </row>
    <row r="87" spans="1:35" s="2469" customFormat="1" ht="14.25">
      <c r="A87" s="216" t="s">
        <v>770</v>
      </c>
      <c r="B87" s="197" t="s">
        <v>2246</v>
      </c>
      <c r="C87" s="224">
        <f>C88+C89</f>
        <v>0</v>
      </c>
      <c r="D87" s="225"/>
      <c r="E87" s="3022"/>
      <c r="F87" s="3023"/>
      <c r="G87" s="3023"/>
      <c r="H87" s="3024"/>
      <c r="I87" s="2474"/>
      <c r="J87" s="2470"/>
      <c r="K87" s="2470"/>
      <c r="L87" s="2470"/>
      <c r="M87" s="2470"/>
      <c r="N87" s="2470"/>
      <c r="O87" s="2470"/>
      <c r="P87" s="2470"/>
      <c r="Q87" s="2470"/>
      <c r="R87" s="2470"/>
      <c r="S87" s="2470"/>
      <c r="T87" s="2470"/>
      <c r="U87" s="2470"/>
      <c r="V87" s="2470"/>
      <c r="W87" s="2470"/>
      <c r="X87" s="2470"/>
      <c r="Y87" s="2470"/>
      <c r="Z87" s="2470"/>
      <c r="AA87" s="2471"/>
      <c r="AB87" s="2471"/>
      <c r="AC87" s="2471"/>
      <c r="AD87" s="2471"/>
      <c r="AE87" s="2471"/>
      <c r="AF87" s="2471"/>
      <c r="AG87" s="2471"/>
      <c r="AH87" s="2471"/>
      <c r="AI87" s="2471"/>
    </row>
    <row r="88" spans="1:35" s="2469" customFormat="1" ht="14.25">
      <c r="A88" s="216" t="s">
        <v>776</v>
      </c>
      <c r="B88" s="197" t="s">
        <v>2247</v>
      </c>
      <c r="C88" s="235"/>
      <c r="D88" s="225"/>
      <c r="E88" s="236" t="s">
        <v>2248</v>
      </c>
      <c r="F88" s="3023"/>
      <c r="G88" s="237" t="s">
        <v>2249</v>
      </c>
      <c r="H88" s="2479"/>
      <c r="I88" s="2474"/>
      <c r="J88" s="2470"/>
      <c r="K88" s="2470"/>
      <c r="L88" s="2470"/>
      <c r="M88" s="2470"/>
      <c r="N88" s="2470"/>
      <c r="O88" s="2470"/>
      <c r="P88" s="2470"/>
      <c r="Q88" s="2470"/>
      <c r="R88" s="2470"/>
      <c r="S88" s="2470"/>
      <c r="T88" s="2470"/>
      <c r="U88" s="2470"/>
      <c r="V88" s="2470"/>
      <c r="W88" s="2470"/>
      <c r="X88" s="2470"/>
      <c r="Y88" s="2470"/>
      <c r="Z88" s="2470"/>
      <c r="AA88" s="2471"/>
      <c r="AB88" s="2471"/>
      <c r="AC88" s="2471"/>
      <c r="AD88" s="2471"/>
      <c r="AE88" s="2471"/>
      <c r="AF88" s="2471"/>
      <c r="AG88" s="2471"/>
      <c r="AH88" s="2471"/>
      <c r="AI88" s="2471"/>
    </row>
    <row r="89" spans="1:35" s="2469" customFormat="1" ht="14.25">
      <c r="A89" s="216" t="s">
        <v>777</v>
      </c>
      <c r="B89" s="197" t="s">
        <v>2237</v>
      </c>
      <c r="C89" s="224">
        <f>ROUND(C88*D89,0)</f>
        <v>0</v>
      </c>
      <c r="D89" s="225">
        <f>'数据-取费表'!B48+'数据-取费表'!B49</f>
        <v>3.0499999999999999E-2</v>
      </c>
      <c r="E89" s="236" t="s">
        <v>2250</v>
      </c>
      <c r="F89" s="3023"/>
      <c r="G89" s="3023"/>
      <c r="H89" s="3024"/>
      <c r="I89" s="2474"/>
      <c r="J89" s="2470"/>
      <c r="K89" s="2470"/>
      <c r="L89" s="2470"/>
      <c r="M89" s="2470"/>
      <c r="N89" s="2470"/>
      <c r="O89" s="2470"/>
      <c r="P89" s="2470"/>
      <c r="Q89" s="2470"/>
      <c r="R89" s="2470"/>
      <c r="S89" s="2470"/>
      <c r="T89" s="2470"/>
      <c r="U89" s="2470"/>
      <c r="V89" s="2470"/>
      <c r="W89" s="2470"/>
      <c r="X89" s="2470"/>
      <c r="Y89" s="2470"/>
      <c r="Z89" s="2470"/>
      <c r="AA89" s="2471"/>
      <c r="AB89" s="2471"/>
      <c r="AC89" s="2471"/>
      <c r="AD89" s="2471"/>
      <c r="AE89" s="2471"/>
      <c r="AF89" s="2471"/>
      <c r="AG89" s="2471"/>
      <c r="AH89" s="2471"/>
      <c r="AI89" s="2471"/>
    </row>
    <row r="90" spans="1:35" s="2469" customFormat="1" ht="14.25">
      <c r="A90" s="216" t="s">
        <v>771</v>
      </c>
      <c r="B90" s="197" t="s">
        <v>2251</v>
      </c>
      <c r="C90" s="235"/>
      <c r="D90" s="225"/>
      <c r="E90" s="236" t="str">
        <f>IF(H88="-","土地取得成本中已包含该笔费用"," ")</f>
        <v xml:space="preserve"> </v>
      </c>
      <c r="F90" s="3023"/>
      <c r="G90" s="3023"/>
      <c r="H90" s="3024"/>
      <c r="I90" s="2474"/>
      <c r="J90" s="2470"/>
      <c r="K90" s="2470"/>
      <c r="L90" s="2470"/>
      <c r="M90" s="2470"/>
      <c r="N90" s="2470"/>
      <c r="O90" s="2470"/>
      <c r="P90" s="2470"/>
      <c r="Q90" s="2470"/>
      <c r="R90" s="2470"/>
      <c r="S90" s="2470"/>
      <c r="T90" s="2470"/>
      <c r="U90" s="2470"/>
      <c r="V90" s="2470"/>
      <c r="W90" s="2470"/>
      <c r="X90" s="2470"/>
      <c r="Y90" s="2470"/>
      <c r="Z90" s="2470"/>
      <c r="AA90" s="2471"/>
      <c r="AB90" s="2471"/>
      <c r="AC90" s="2471"/>
      <c r="AD90" s="2471"/>
      <c r="AE90" s="2471"/>
      <c r="AF90" s="2471"/>
      <c r="AG90" s="2471"/>
      <c r="AH90" s="2471"/>
      <c r="AI90" s="2471"/>
    </row>
    <row r="91" spans="1:35" s="2469" customFormat="1" ht="27.75" customHeight="1">
      <c r="A91" s="216" t="s">
        <v>2252</v>
      </c>
      <c r="B91" s="197" t="s">
        <v>2253</v>
      </c>
      <c r="C91" s="224">
        <f>IF(H91="——",'成本法（车库）'!C33,I91)</f>
        <v>0</v>
      </c>
      <c r="D91" s="225"/>
      <c r="E91" s="3208" t="s">
        <v>2254</v>
      </c>
      <c r="F91" s="3209"/>
      <c r="G91" s="3209"/>
      <c r="H91" s="2480" t="s">
        <v>2255</v>
      </c>
      <c r="I91" s="2481"/>
      <c r="J91" s="2470"/>
      <c r="K91" s="2470"/>
      <c r="L91" s="2470"/>
      <c r="M91" s="2470"/>
      <c r="N91" s="2470"/>
      <c r="O91" s="2470"/>
      <c r="P91" s="2470"/>
      <c r="Q91" s="2470"/>
      <c r="R91" s="2470"/>
      <c r="S91" s="2470"/>
      <c r="T91" s="2470"/>
      <c r="U91" s="2470"/>
      <c r="V91" s="2470"/>
      <c r="W91" s="2470"/>
      <c r="X91" s="2470"/>
      <c r="Y91" s="2470"/>
      <c r="Z91" s="2470"/>
      <c r="AA91" s="2471"/>
      <c r="AB91" s="2471"/>
      <c r="AC91" s="2471"/>
      <c r="AD91" s="2471"/>
      <c r="AE91" s="2471"/>
      <c r="AF91" s="2471"/>
      <c r="AG91" s="2471"/>
      <c r="AH91" s="2471"/>
      <c r="AI91" s="2471"/>
    </row>
    <row r="92" spans="1:35" s="2469" customFormat="1" ht="25.5" customHeight="1">
      <c r="A92" s="216" t="s">
        <v>2256</v>
      </c>
      <c r="B92" s="197" t="s">
        <v>2257</v>
      </c>
      <c r="C92" s="224">
        <f>ROUND((C87+C90+C91)*D92,0)</f>
        <v>0</v>
      </c>
      <c r="D92" s="225">
        <v>0.1</v>
      </c>
      <c r="E92" s="3208" t="s">
        <v>2258</v>
      </c>
      <c r="F92" s="3209"/>
      <c r="G92" s="3209"/>
      <c r="H92" s="3218"/>
      <c r="I92" s="2474"/>
      <c r="J92" s="2470"/>
      <c r="K92" s="2470"/>
      <c r="L92" s="2470"/>
      <c r="M92" s="2470"/>
      <c r="N92" s="2470"/>
      <c r="O92" s="2470"/>
      <c r="P92" s="2470"/>
      <c r="Q92" s="2470"/>
      <c r="R92" s="2470"/>
      <c r="S92" s="2470"/>
      <c r="T92" s="2470"/>
      <c r="U92" s="2470"/>
      <c r="V92" s="2470"/>
      <c r="W92" s="2470"/>
      <c r="X92" s="2470"/>
      <c r="Y92" s="2470"/>
      <c r="Z92" s="2470"/>
      <c r="AA92" s="2471"/>
      <c r="AB92" s="2471"/>
      <c r="AC92" s="2471"/>
      <c r="AD92" s="2471"/>
      <c r="AE92" s="2471"/>
      <c r="AF92" s="2471"/>
      <c r="AG92" s="2471"/>
      <c r="AH92" s="2471"/>
      <c r="AI92" s="2471"/>
    </row>
    <row r="93" spans="1:35" s="2469" customFormat="1" ht="25.5" customHeight="1">
      <c r="A93" s="216" t="s">
        <v>2259</v>
      </c>
      <c r="B93" s="197" t="s">
        <v>2240</v>
      </c>
      <c r="C93" s="224">
        <f ca="1">ROUND(D45*D93/(1+'数据-取费表'!C42),0)</f>
        <v>262</v>
      </c>
      <c r="D93" s="225">
        <f>'数据-取费表'!B43</f>
        <v>6.000000000000001E-3</v>
      </c>
      <c r="E93" s="3208" t="s">
        <v>2241</v>
      </c>
      <c r="F93" s="3209"/>
      <c r="G93" s="3209"/>
      <c r="H93" s="3218"/>
      <c r="I93" s="2474"/>
      <c r="J93" s="2470"/>
      <c r="K93" s="2470"/>
      <c r="L93" s="2470"/>
      <c r="M93" s="2470"/>
      <c r="N93" s="2470"/>
      <c r="O93" s="2470"/>
      <c r="P93" s="2470"/>
      <c r="Q93" s="2470"/>
      <c r="R93" s="2470"/>
      <c r="S93" s="2470"/>
      <c r="T93" s="2470"/>
      <c r="U93" s="2470"/>
      <c r="V93" s="2470"/>
      <c r="W93" s="2470"/>
      <c r="X93" s="2470"/>
      <c r="Y93" s="2470"/>
      <c r="Z93" s="2470"/>
      <c r="AA93" s="2471"/>
      <c r="AB93" s="2471"/>
      <c r="AC93" s="2471"/>
      <c r="AD93" s="2471"/>
      <c r="AE93" s="2471"/>
      <c r="AF93" s="2471"/>
      <c r="AG93" s="2471"/>
      <c r="AH93" s="2471"/>
      <c r="AI93" s="2471"/>
    </row>
    <row r="94" spans="1:35" s="2469" customFormat="1" ht="36.75" customHeight="1">
      <c r="A94" s="216" t="s">
        <v>2260</v>
      </c>
      <c r="B94" s="197" t="s">
        <v>2261</v>
      </c>
      <c r="C94" s="235">
        <f>ROUND((C87+C90+C91)*D94,0)</f>
        <v>0</v>
      </c>
      <c r="D94" s="225">
        <v>0.2</v>
      </c>
      <c r="E94" s="3219" t="s">
        <v>2262</v>
      </c>
      <c r="F94" s="3220"/>
      <c r="G94" s="3220"/>
      <c r="H94" s="3221"/>
      <c r="I94" s="2474"/>
      <c r="J94" s="2470"/>
      <c r="K94" s="2470"/>
      <c r="L94" s="2470"/>
      <c r="M94" s="2470"/>
      <c r="N94" s="2470"/>
      <c r="O94" s="2470"/>
      <c r="P94" s="2470"/>
      <c r="Q94" s="2470"/>
      <c r="R94" s="2470"/>
      <c r="S94" s="2470"/>
      <c r="T94" s="2470"/>
      <c r="U94" s="2470"/>
      <c r="V94" s="2470"/>
      <c r="W94" s="2470"/>
      <c r="X94" s="2470"/>
      <c r="Y94" s="2470"/>
      <c r="Z94" s="2470"/>
      <c r="AA94" s="2471"/>
      <c r="AB94" s="2471"/>
      <c r="AC94" s="2471"/>
      <c r="AD94" s="2471"/>
      <c r="AE94" s="2471"/>
      <c r="AF94" s="2471"/>
      <c r="AG94" s="2471"/>
      <c r="AH94" s="2471"/>
      <c r="AI94" s="2471"/>
    </row>
    <row r="95" spans="1:35" s="2469" customFormat="1" ht="14.25">
      <c r="A95" s="2477" t="s">
        <v>773</v>
      </c>
      <c r="B95" s="203" t="s">
        <v>2242</v>
      </c>
      <c r="C95" s="206">
        <f ca="1">ROUND(C85-C86,0)</f>
        <v>43472</v>
      </c>
      <c r="D95" s="199" t="s">
        <v>32</v>
      </c>
      <c r="E95" s="3027"/>
      <c r="F95" s="3026"/>
      <c r="G95" s="3026"/>
      <c r="H95" s="233"/>
      <c r="I95" s="2474"/>
      <c r="J95" s="2470"/>
      <c r="K95" s="2470"/>
      <c r="L95" s="2470"/>
      <c r="M95" s="2470"/>
      <c r="N95" s="2470"/>
      <c r="O95" s="2470"/>
      <c r="P95" s="2470"/>
      <c r="Q95" s="2470"/>
      <c r="R95" s="2470"/>
      <c r="S95" s="2470"/>
      <c r="T95" s="2470"/>
      <c r="U95" s="2470"/>
      <c r="V95" s="2470"/>
      <c r="W95" s="2470"/>
      <c r="X95" s="2470"/>
      <c r="Y95" s="2470"/>
      <c r="Z95" s="2470"/>
      <c r="AA95" s="2471"/>
      <c r="AB95" s="2471"/>
      <c r="AC95" s="2471"/>
      <c r="AD95" s="2471"/>
      <c r="AE95" s="2471"/>
      <c r="AF95" s="2471"/>
      <c r="AG95" s="2471"/>
      <c r="AH95" s="2471"/>
      <c r="AI95" s="2471"/>
    </row>
    <row r="96" spans="1:35" s="2469" customFormat="1" ht="24">
      <c r="A96" s="2477" t="s">
        <v>780</v>
      </c>
      <c r="B96" s="203" t="s">
        <v>2243</v>
      </c>
      <c r="C96" s="226">
        <f ca="1">IF(C95&lt;=0,0,C95/C86)</f>
        <v>165.92366412213741</v>
      </c>
      <c r="D96" s="199" t="s">
        <v>32</v>
      </c>
      <c r="E96" s="3018" t="str">
        <f ca="1">IF(C96&gt;=200%,"增值额超过扣除项目金额200%",IF(C96&gt;=100%,"增值额超过扣除项目金额100%，未超过200%",IF(C96&gt;=50%,"增值额超过扣除项目金额50%，未超过100%",IF(C96&lt;50%,"增值额未超过扣除项目金额50%"))))</f>
        <v>增值额超过扣除项目金额200%</v>
      </c>
      <c r="F96" s="3026"/>
      <c r="G96" s="3026"/>
      <c r="H96" s="233"/>
      <c r="I96" s="2474"/>
      <c r="J96" s="2470"/>
      <c r="K96" s="2470"/>
      <c r="L96" s="2470"/>
      <c r="M96" s="2470"/>
      <c r="N96" s="2470"/>
      <c r="O96" s="2470"/>
      <c r="P96" s="2470"/>
      <c r="Q96" s="2470"/>
      <c r="R96" s="2470"/>
      <c r="S96" s="2470"/>
      <c r="T96" s="2470"/>
      <c r="U96" s="2470"/>
      <c r="V96" s="2470"/>
      <c r="W96" s="2470"/>
      <c r="X96" s="2470"/>
      <c r="Y96" s="2470"/>
      <c r="Z96" s="2470"/>
      <c r="AA96" s="2471"/>
      <c r="AB96" s="2471"/>
      <c r="AC96" s="2471"/>
      <c r="AD96" s="2471"/>
      <c r="AE96" s="2471"/>
      <c r="AF96" s="2471"/>
      <c r="AG96" s="2471"/>
      <c r="AH96" s="2471"/>
      <c r="AI96" s="2471"/>
    </row>
    <row r="97" spans="1:35" s="2469" customFormat="1" ht="24.75" thickBot="1">
      <c r="A97" s="2478" t="s">
        <v>781</v>
      </c>
      <c r="B97" s="208" t="s">
        <v>2244</v>
      </c>
      <c r="C97" s="227">
        <f ca="1">ROUND(IF(C95&lt;=0,0,IF(C96&gt;=200%,C95*60%-C86*35%,IF(C96&gt;=100%,C95*50%-C86*15%,IF(C96&gt;=50%,C95*40%-C86*5%,IF(C96&lt;50%,C95*30%,0))))),0)</f>
        <v>25992</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474"/>
      <c r="J97" s="2470"/>
      <c r="K97" s="2470"/>
      <c r="L97" s="2470"/>
      <c r="M97" s="2470"/>
      <c r="N97" s="2470"/>
      <c r="O97" s="2470"/>
      <c r="P97" s="2470"/>
      <c r="Q97" s="2470"/>
      <c r="R97" s="2470"/>
      <c r="S97" s="2470"/>
      <c r="T97" s="2470"/>
      <c r="U97" s="2470"/>
      <c r="V97" s="2470"/>
      <c r="W97" s="2470"/>
      <c r="X97" s="2470"/>
      <c r="Y97" s="2470"/>
      <c r="Z97" s="2470"/>
      <c r="AA97" s="2471"/>
      <c r="AB97" s="2471"/>
      <c r="AC97" s="2471"/>
      <c r="AD97" s="2471"/>
      <c r="AE97" s="2471"/>
      <c r="AF97" s="2471"/>
      <c r="AG97" s="2471"/>
      <c r="AH97" s="2471"/>
      <c r="AI97" s="2471"/>
    </row>
    <row r="98" spans="1:35" ht="21.75" customHeight="1">
      <c r="A98" s="2458"/>
      <c r="B98" s="2380"/>
      <c r="C98" s="2380"/>
      <c r="D98" s="2380"/>
      <c r="E98" s="2168"/>
      <c r="F98" s="2168"/>
      <c r="G98" s="2168"/>
      <c r="H98" s="2167"/>
      <c r="I98" s="137"/>
    </row>
    <row r="99" spans="1:35" ht="21.75" customHeight="1" thickBot="1">
      <c r="A99" s="2436" t="s">
        <v>2263</v>
      </c>
      <c r="B99" s="2380"/>
      <c r="C99" s="2380"/>
      <c r="D99" s="2380"/>
      <c r="E99" s="2168"/>
      <c r="F99" s="2168"/>
      <c r="G99" s="2168"/>
      <c r="H99" s="2167"/>
      <c r="I99" s="137"/>
    </row>
    <row r="100" spans="1:35" ht="18.75" customHeight="1">
      <c r="A100" s="3193" t="s">
        <v>2264</v>
      </c>
      <c r="B100" s="3194"/>
      <c r="C100" s="3194"/>
      <c r="D100" s="3210"/>
      <c r="E100" s="3194" t="s">
        <v>2265</v>
      </c>
      <c r="F100" s="3194"/>
      <c r="G100" s="3194"/>
      <c r="H100" s="3210"/>
      <c r="I100" s="137"/>
    </row>
    <row r="101" spans="1:35" ht="18.75" customHeight="1">
      <c r="A101" s="3272" t="s">
        <v>2266</v>
      </c>
      <c r="B101" s="3273"/>
      <c r="C101" s="735" t="str">
        <f>C4</f>
        <v>成本法（车库）</v>
      </c>
      <c r="D101" s="736" t="str">
        <f>D4</f>
        <v>收益法（地下车库）</v>
      </c>
      <c r="E101" s="3286" t="s">
        <v>2267</v>
      </c>
      <c r="F101" s="3240"/>
      <c r="G101" s="2482" t="s">
        <v>2268</v>
      </c>
      <c r="H101" s="1047">
        <f ca="1">H118</f>
        <v>45921</v>
      </c>
      <c r="I101" s="137"/>
    </row>
    <row r="102" spans="1:35" ht="18.75" customHeight="1">
      <c r="A102" s="3242" t="s">
        <v>2269</v>
      </c>
      <c r="B102" s="2482" t="s">
        <v>2268</v>
      </c>
      <c r="C102" s="735">
        <f ca="1">C19</f>
        <v>43322</v>
      </c>
      <c r="D102" s="736">
        <f ca="1">D19</f>
        <v>48520</v>
      </c>
      <c r="E102" s="3286"/>
      <c r="F102" s="3240"/>
      <c r="G102" s="2482" t="s">
        <v>2270</v>
      </c>
      <c r="H102" s="370">
        <f ca="1">I118</f>
        <v>19692</v>
      </c>
      <c r="I102" s="137"/>
    </row>
    <row r="103" spans="1:35" ht="42.75" customHeight="1">
      <c r="A103" s="3242"/>
      <c r="B103" s="2482" t="s">
        <v>2270</v>
      </c>
      <c r="C103" s="737">
        <f ca="1">C20</f>
        <v>18577</v>
      </c>
      <c r="D103" s="738">
        <f ca="1">D20</f>
        <v>20806</v>
      </c>
      <c r="E103" s="3281" t="s">
        <v>2271</v>
      </c>
      <c r="F103" s="3282"/>
      <c r="G103" s="2483" t="s">
        <v>2272</v>
      </c>
      <c r="H103" s="1047">
        <f>IF(D36="正常操作",H104+H105+H106,H105+H106)</f>
        <v>0</v>
      </c>
      <c r="I103" s="137"/>
    </row>
    <row r="104" spans="1:35" ht="18.75" customHeight="1">
      <c r="A104" s="3242" t="s">
        <v>2273</v>
      </c>
      <c r="B104" s="2484" t="s">
        <v>2268</v>
      </c>
      <c r="C104" s="739">
        <f ca="1">H118</f>
        <v>45921</v>
      </c>
      <c r="D104" s="740"/>
      <c r="E104" s="2268" t="s">
        <v>2274</v>
      </c>
      <c r="F104" s="2260"/>
      <c r="G104" s="2483" t="s">
        <v>2272</v>
      </c>
      <c r="H104" s="1048">
        <f>IF(D36="同一抵押权人同一抵押物续贷",C36&amp;"（未扣减，详见特别提示）",C36)</f>
        <v>0</v>
      </c>
      <c r="I104" s="137"/>
    </row>
    <row r="105" spans="1:35" ht="18.75" customHeight="1" thickBot="1">
      <c r="A105" s="3243"/>
      <c r="B105" s="2485" t="s">
        <v>2270</v>
      </c>
      <c r="C105" s="741">
        <f ca="1">I118</f>
        <v>19692</v>
      </c>
      <c r="D105" s="742"/>
      <c r="E105" s="2268" t="s">
        <v>2275</v>
      </c>
      <c r="F105" s="2260"/>
      <c r="G105" s="2483" t="s">
        <v>2272</v>
      </c>
      <c r="H105" s="1048">
        <f>C37</f>
        <v>0</v>
      </c>
      <c r="I105" s="137"/>
    </row>
    <row r="106" spans="1:35" ht="18.75" customHeight="1">
      <c r="A106" s="2380" t="s">
        <v>2276</v>
      </c>
      <c r="B106" s="2380"/>
      <c r="C106" s="2380"/>
      <c r="D106" s="2380"/>
      <c r="E106" s="2486" t="s">
        <v>2277</v>
      </c>
      <c r="F106" s="2260"/>
      <c r="G106" s="2483" t="s">
        <v>2272</v>
      </c>
      <c r="H106" s="1048">
        <f>C38</f>
        <v>0</v>
      </c>
      <c r="I106" s="137"/>
    </row>
    <row r="107" spans="1:35" ht="18.75" customHeight="1">
      <c r="A107" s="137"/>
      <c r="B107" s="137"/>
      <c r="C107" s="137"/>
      <c r="D107" s="137"/>
      <c r="E107" s="3239" t="str">
        <f>IF(项目基本情况!E8="已注销","——","3.房地产抵押价值")</f>
        <v>3.房地产抵押价值</v>
      </c>
      <c r="F107" s="3240"/>
      <c r="G107" s="2482" t="s">
        <v>2268</v>
      </c>
      <c r="H107" s="1047">
        <f ca="1">IF(E107="——","——",H101-H103)</f>
        <v>45921</v>
      </c>
      <c r="I107" s="137"/>
    </row>
    <row r="108" spans="1:35" ht="18.75" customHeight="1">
      <c r="A108" s="137"/>
      <c r="B108" s="137"/>
      <c r="C108" s="137"/>
      <c r="D108" s="137"/>
      <c r="E108" s="3239"/>
      <c r="F108" s="3240"/>
      <c r="G108" s="2482" t="s">
        <v>2270</v>
      </c>
      <c r="H108" s="370">
        <f ca="1">ROUND(H107*10000/'数据-汇总表'!E3,0)</f>
        <v>3189</v>
      </c>
      <c r="I108" s="137"/>
    </row>
    <row r="109" spans="1:35" ht="18.75" customHeight="1">
      <c r="A109" s="137"/>
      <c r="B109" s="137"/>
      <c r="C109" s="137"/>
      <c r="D109" s="137"/>
      <c r="E109" s="3239" t="str">
        <f>IF(项目基本情况!E8="已注销及未注销","4.抵押担保权已注销时的房地产抵押价值",IF(项目基本情况!E8="已注销","3.抵押担保权已注销时的房地产抵押价值","——"))</f>
        <v>——</v>
      </c>
      <c r="F109" s="3240"/>
      <c r="G109" s="2482" t="s">
        <v>2268</v>
      </c>
      <c r="H109" s="347" t="str">
        <f>IF(E109="——","——",H101-H105-H106)</f>
        <v>——</v>
      </c>
      <c r="I109" s="137"/>
    </row>
    <row r="110" spans="1:35" ht="18.75" customHeight="1">
      <c r="A110" s="137"/>
      <c r="B110" s="137"/>
      <c r="C110" s="137"/>
      <c r="D110" s="137"/>
      <c r="E110" s="3239"/>
      <c r="F110" s="3240"/>
      <c r="G110" s="2482" t="s">
        <v>2270</v>
      </c>
      <c r="H110" s="370" t="str">
        <f>IF(H109="——","——",ROUND(H109*10000/'数据-汇总表'!E3,0))</f>
        <v>——</v>
      </c>
      <c r="I110" s="137"/>
    </row>
    <row r="111" spans="1:35" ht="18.75" customHeight="1">
      <c r="A111" s="137"/>
      <c r="B111" s="137"/>
      <c r="C111" s="137"/>
      <c r="D111" s="137"/>
      <c r="E111" s="3274" t="str">
        <f>IF(项目基本情况!E9="抵押净值",IF(OR(项目基本情况!E8="已注销",项目基本情况!E8="房地产抵押价值"),"4.抵押净值","5.抵押净值"),"——")</f>
        <v>——</v>
      </c>
      <c r="F111" s="3275"/>
      <c r="G111" s="2482" t="s">
        <v>2268</v>
      </c>
      <c r="H111" s="1047" t="str">
        <f>IF(E111="——","——",N59)</f>
        <v>——</v>
      </c>
      <c r="I111" s="137"/>
    </row>
    <row r="112" spans="1:35" ht="18.75" customHeight="1" thickBot="1">
      <c r="A112" s="137"/>
      <c r="B112" s="137"/>
      <c r="C112" s="137"/>
      <c r="D112" s="137"/>
      <c r="E112" s="3276"/>
      <c r="F112" s="3277"/>
      <c r="G112" s="2487" t="s">
        <v>2270</v>
      </c>
      <c r="H112" s="789" t="str">
        <f>IF(E111="——","——",N61)</f>
        <v>——</v>
      </c>
      <c r="I112" s="137"/>
    </row>
    <row r="113" spans="1:11" ht="18.75" customHeight="1">
      <c r="A113" s="137"/>
      <c r="B113" s="137"/>
      <c r="C113" s="137"/>
      <c r="D113" s="137"/>
      <c r="E113" s="3244" t="s">
        <v>2276</v>
      </c>
      <c r="F113" s="3244"/>
      <c r="G113" s="3244"/>
      <c r="H113" s="3244"/>
      <c r="I113" s="137"/>
    </row>
    <row r="114" spans="1:11" ht="3.75" customHeight="1">
      <c r="A114" s="2380"/>
      <c r="B114" s="2380"/>
      <c r="C114" s="2380"/>
      <c r="D114" s="2380"/>
      <c r="E114" s="2458"/>
      <c r="F114" s="2458"/>
      <c r="G114" s="2458"/>
      <c r="H114" s="2458"/>
      <c r="I114" s="2380"/>
    </row>
    <row r="115" spans="1:11" ht="18.75" customHeight="1">
      <c r="A115" s="3257" t="s">
        <v>2278</v>
      </c>
      <c r="B115" s="3258"/>
      <c r="C115" s="3258"/>
      <c r="D115" s="3258"/>
      <c r="E115" s="3258"/>
      <c r="F115" s="3258"/>
      <c r="G115" s="3258"/>
      <c r="H115" s="3258"/>
      <c r="I115" s="3259"/>
    </row>
    <row r="116" spans="1:11" ht="27" customHeight="1">
      <c r="A116" s="3150" t="s">
        <v>2279</v>
      </c>
      <c r="B116" s="3245" t="s">
        <v>2280</v>
      </c>
      <c r="C116" s="3245" t="s">
        <v>2281</v>
      </c>
      <c r="D116" s="3261" t="s">
        <v>2282</v>
      </c>
      <c r="E116" s="3262"/>
      <c r="F116" s="3253" t="s">
        <v>2283</v>
      </c>
      <c r="G116" s="3253"/>
      <c r="H116" s="3150" t="s">
        <v>2284</v>
      </c>
      <c r="I116" s="3150"/>
    </row>
    <row r="117" spans="1:11" ht="18.75" customHeight="1">
      <c r="A117" s="3150"/>
      <c r="B117" s="3246"/>
      <c r="C117" s="3246"/>
      <c r="D117" s="3015" t="s">
        <v>2285</v>
      </c>
      <c r="E117" s="3015" t="s">
        <v>2286</v>
      </c>
      <c r="F117" s="3015" t="s">
        <v>2285</v>
      </c>
      <c r="G117" s="3015" t="s">
        <v>2287</v>
      </c>
      <c r="H117" s="3015" t="s">
        <v>2285</v>
      </c>
      <c r="I117" s="3015" t="s">
        <v>2287</v>
      </c>
    </row>
    <row r="118" spans="1:11" ht="24.75" customHeight="1">
      <c r="A118" s="2488" t="str">
        <f>项目基本情况!S2</f>
        <v>北京市财源国际大厦A、B座房地产</v>
      </c>
      <c r="B118" s="3015">
        <f>M18</f>
        <v>23320.11</v>
      </c>
      <c r="C118" s="3015">
        <f>M19</f>
        <v>1520.35</v>
      </c>
      <c r="D118" s="3015">
        <f ca="1">ROUND(IF(D32="总价",C34,E118*B118/10000),0)</f>
        <v>35635</v>
      </c>
      <c r="E118" s="3015">
        <f ca="1">ROUND(IF(C33="自定义",IF(D32="楼面单价",C34,D118*10000/B118),I118-G118),0)</f>
        <v>15281</v>
      </c>
      <c r="F118" s="3015">
        <f ca="1">ROUND(IF(D32="总价",C35,G118*B118/10000),0)</f>
        <v>10286</v>
      </c>
      <c r="G118" s="3015">
        <f ca="1">ROUND(IF(D32="楼面单价",C35,F118*10000/B118),0)</f>
        <v>4411</v>
      </c>
      <c r="H118" s="3015">
        <f ca="1">ROUND(IF(D32="总价",C32,I118*B118/10000),0)</f>
        <v>45921</v>
      </c>
      <c r="I118" s="3015">
        <f ca="1">ROUND(IF(D32="楼面单价",C32,H118*10000/B118),0)</f>
        <v>19692</v>
      </c>
    </row>
    <row r="119" spans="1:11" ht="18.75" customHeight="1">
      <c r="A119" s="3150" t="s">
        <v>2288</v>
      </c>
      <c r="B119" s="3150"/>
      <c r="C119" s="3150"/>
      <c r="D119" s="3250" t="str">
        <f ca="1">NUMBERSTRING(INT(D118*10000),2)&amp;"元整"</f>
        <v>叁亿伍仟陆佰叁拾伍万元整</v>
      </c>
      <c r="E119" s="3252"/>
      <c r="F119" s="3250" t="str">
        <f ca="1">NUMBERSTRING(INT(F118*10000),2)&amp;"元整"</f>
        <v>壹亿零贰佰捌拾陆万元整</v>
      </c>
      <c r="G119" s="3252"/>
      <c r="H119" s="3250" t="str">
        <f ca="1">NUMBERSTRING(INT(H118*10000),2)&amp;"元整"</f>
        <v>肆亿伍仟玖佰贰拾壹万元整</v>
      </c>
      <c r="I119" s="3252"/>
    </row>
    <row r="120" spans="1:11" ht="18.75" customHeight="1">
      <c r="A120" s="3278" t="str">
        <f>IF(项目基本情况!B9="房地产市场价值","",MID(E103,3,LEN(E103)-2))</f>
        <v>估价师知悉的法定优先受偿款</v>
      </c>
      <c r="B120" s="3279"/>
      <c r="C120" s="3280"/>
      <c r="D120" s="3278">
        <f>H103</f>
        <v>0</v>
      </c>
      <c r="E120" s="3279"/>
      <c r="F120" s="3279"/>
      <c r="G120" s="3279"/>
      <c r="H120" s="3279"/>
      <c r="I120" s="3280"/>
      <c r="K120" s="2385" t="str">
        <f>IF(D120=0,"故，本次评估不存在"&amp;A120,"故，本次评估"&amp;A120&amp;"为人民币"&amp;D120&amp;"万元整。")</f>
        <v>故，本次评估不存在估价师知悉的法定优先受偿款</v>
      </c>
    </row>
    <row r="121" spans="1:11" ht="18.75" customHeight="1">
      <c r="A121" s="3254" t="s">
        <v>2288</v>
      </c>
      <c r="B121" s="3255"/>
      <c r="C121" s="3256"/>
      <c r="D121" s="3250" t="str">
        <f>IF(D120=0,"零元整",NUMBERSTRING(INT(D120*10000),2)&amp;"元整")</f>
        <v>零元整</v>
      </c>
      <c r="E121" s="3251"/>
      <c r="F121" s="3251"/>
      <c r="G121" s="3251"/>
      <c r="H121" s="3251"/>
      <c r="I121" s="3252"/>
    </row>
    <row r="122" spans="1:11" ht="18.75" customHeight="1">
      <c r="A122" s="3241" t="str">
        <f>IF(项目基本情况!B9="房地产市场价值","",MID(E107,3,LEN(E107)-2))</f>
        <v>房地产抵押价值</v>
      </c>
      <c r="B122" s="3241"/>
      <c r="C122" s="3241"/>
      <c r="D122" s="3278">
        <f ca="1">H107</f>
        <v>45921</v>
      </c>
      <c r="E122" s="3279"/>
      <c r="F122" s="3279"/>
      <c r="G122" s="3279"/>
      <c r="H122" s="3279"/>
      <c r="I122" s="3280"/>
    </row>
    <row r="123" spans="1:11" ht="18.75" customHeight="1">
      <c r="A123" s="3150" t="s">
        <v>2288</v>
      </c>
      <c r="B123" s="3150"/>
      <c r="C123" s="3150"/>
      <c r="D123" s="3250" t="str">
        <f ca="1">NUMBERSTRING(INT(D122*10000),2)&amp;"元整"</f>
        <v>肆亿伍仟玖佰贰拾壹万元整</v>
      </c>
      <c r="E123" s="3251"/>
      <c r="F123" s="3251"/>
      <c r="G123" s="3251"/>
      <c r="H123" s="3251"/>
      <c r="I123" s="3252"/>
    </row>
    <row r="124" spans="1:11" ht="18.75" customHeight="1">
      <c r="A124" s="3241" t="str">
        <f>IF(项目基本情况!B9="房地产市场价值","",MID(E109,3,LEN(E109)-2))</f>
        <v/>
      </c>
      <c r="B124" s="3241"/>
      <c r="C124" s="3241"/>
      <c r="D124" s="3278" t="str">
        <f>H109</f>
        <v>——</v>
      </c>
      <c r="E124" s="3279"/>
      <c r="F124" s="3279"/>
      <c r="G124" s="3279"/>
      <c r="H124" s="3279"/>
      <c r="I124" s="3280"/>
    </row>
    <row r="125" spans="1:11" ht="18.75" customHeight="1">
      <c r="A125" s="3150" t="s">
        <v>2288</v>
      </c>
      <c r="B125" s="3150"/>
      <c r="C125" s="3150"/>
      <c r="D125" s="3250" t="e">
        <f>NUMBERSTRING(INT(D124*10000),2)&amp;"元整"</f>
        <v>#VALUE!</v>
      </c>
      <c r="E125" s="3251"/>
      <c r="F125" s="3251"/>
      <c r="G125" s="3251"/>
      <c r="H125" s="3251"/>
      <c r="I125" s="3252"/>
    </row>
    <row r="126" spans="1:11" ht="18.75" customHeight="1">
      <c r="A126" s="3241" t="str">
        <f>IF(项目基本情况!B9="房地产市场价值","",MID(E111,3,LEN(E111)-2))</f>
        <v/>
      </c>
      <c r="B126" s="3241"/>
      <c r="C126" s="3241"/>
      <c r="D126" s="3278" t="str">
        <f>H111</f>
        <v>——</v>
      </c>
      <c r="E126" s="3279"/>
      <c r="F126" s="3279"/>
      <c r="G126" s="3279"/>
      <c r="H126" s="3279"/>
      <c r="I126" s="3280"/>
    </row>
    <row r="127" spans="1:11" ht="18.75" customHeight="1">
      <c r="A127" s="3150" t="s">
        <v>2288</v>
      </c>
      <c r="B127" s="3150"/>
      <c r="C127" s="3150"/>
      <c r="D127" s="3250" t="e">
        <f>NUMBERSTRING(INT(D126*10000),2)&amp;"元整"</f>
        <v>#VALUE!</v>
      </c>
      <c r="E127" s="3251"/>
      <c r="F127" s="3251"/>
      <c r="G127" s="3251"/>
      <c r="H127" s="3251"/>
      <c r="I127" s="3252"/>
    </row>
    <row r="128" spans="1:11" ht="21.75" customHeight="1">
      <c r="A128" s="3260" t="s">
        <v>2289</v>
      </c>
      <c r="B128" s="3260"/>
      <c r="C128" s="3260"/>
      <c r="D128" s="3260"/>
      <c r="E128" s="3260"/>
      <c r="F128" s="3260"/>
      <c r="G128" s="3260"/>
      <c r="H128" s="3260"/>
      <c r="I128" s="3260"/>
    </row>
    <row r="129" spans="1:35" ht="21.75" customHeight="1">
      <c r="A129" s="2489" t="s">
        <v>2290</v>
      </c>
      <c r="B129" s="2490"/>
      <c r="C129" s="2491" t="s">
        <v>2291</v>
      </c>
      <c r="D129" s="2492"/>
      <c r="E129" s="2492"/>
      <c r="F129" s="2492"/>
      <c r="G129" s="2492"/>
      <c r="H129" s="2493"/>
      <c r="I129" s="2494"/>
    </row>
    <row r="130" spans="1:35" ht="21.75" customHeight="1">
      <c r="A130" s="2495">
        <v>1</v>
      </c>
      <c r="B130" s="2496"/>
      <c r="C130" s="2496"/>
      <c r="D130" s="2497"/>
      <c r="E130" s="2497"/>
      <c r="F130" s="2497"/>
      <c r="G130" s="2497"/>
      <c r="H130" s="2498"/>
      <c r="I130" s="2499"/>
    </row>
    <row r="131" spans="1:35" ht="21.75" customHeight="1">
      <c r="A131" s="2495">
        <v>2</v>
      </c>
      <c r="B131" s="2496"/>
      <c r="C131" s="2496"/>
      <c r="D131" s="2497"/>
      <c r="E131" s="2497"/>
      <c r="F131" s="2497"/>
      <c r="G131" s="2497"/>
      <c r="H131" s="2498"/>
      <c r="I131" s="2499"/>
    </row>
    <row r="132" spans="1:35" ht="21.75" customHeight="1">
      <c r="A132" s="2495">
        <v>3</v>
      </c>
      <c r="B132" s="2496"/>
      <c r="C132" s="2496"/>
      <c r="D132" s="2497"/>
      <c r="E132" s="2497"/>
      <c r="F132" s="2497"/>
      <c r="G132" s="2497"/>
      <c r="H132" s="2498"/>
      <c r="I132" s="2499"/>
    </row>
    <row r="133" spans="1:35" ht="21.75" customHeight="1">
      <c r="A133" s="2500"/>
      <c r="B133" s="2501"/>
      <c r="C133" s="2501"/>
      <c r="D133" s="2502"/>
      <c r="E133" s="2502"/>
      <c r="F133" s="2502"/>
      <c r="G133" s="2502"/>
      <c r="H133" s="2503"/>
      <c r="I133" s="2504"/>
    </row>
    <row r="134" spans="1:35" ht="21.75" customHeight="1">
      <c r="A134" s="2496"/>
      <c r="B134" s="2496"/>
      <c r="C134" s="2496"/>
      <c r="D134" s="2497"/>
      <c r="E134" s="2497"/>
      <c r="F134" s="2497"/>
      <c r="G134" s="2497"/>
      <c r="H134" s="2498"/>
      <c r="I134" s="794"/>
    </row>
    <row r="135" spans="1:35" ht="21.75" customHeight="1">
      <c r="A135" s="794"/>
      <c r="B135" s="794"/>
      <c r="C135" s="794"/>
      <c r="D135" s="794"/>
      <c r="E135" s="794"/>
      <c r="F135" s="2505" t="s">
        <v>2292</v>
      </c>
      <c r="G135" s="2506"/>
      <c r="H135" s="2506"/>
      <c r="I135" s="2507" t="s">
        <v>2293</v>
      </c>
    </row>
    <row r="136" spans="1:35" ht="21.75" customHeight="1">
      <c r="A136" s="794"/>
      <c r="B136" s="2508" t="s">
        <v>2294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06"/>
      <c r="C138" s="2506"/>
      <c r="D138" s="2506"/>
      <c r="E138" s="2506"/>
      <c r="F138" s="2506"/>
      <c r="G138" s="2506"/>
      <c r="H138" s="2506"/>
      <c r="I138" s="2507" t="s">
        <v>2295</v>
      </c>
    </row>
    <row r="139" spans="1:35" ht="21.75" customHeight="1">
      <c r="A139" s="794"/>
      <c r="B139" s="2508" t="s">
        <v>2296</v>
      </c>
      <c r="C139" s="794"/>
      <c r="D139" s="794"/>
      <c r="E139" s="794"/>
      <c r="F139" s="794"/>
      <c r="G139" s="794"/>
      <c r="H139" s="794"/>
      <c r="I139" s="794"/>
    </row>
    <row r="140" spans="1:35" ht="21.75" customHeight="1">
      <c r="A140" s="794"/>
      <c r="B140" s="2508"/>
      <c r="C140" s="794"/>
      <c r="D140" s="794"/>
      <c r="E140" s="794"/>
      <c r="F140" s="794"/>
      <c r="G140" s="794"/>
      <c r="H140" s="794"/>
      <c r="I140" s="794"/>
    </row>
    <row r="141" spans="1:35" ht="21.75" customHeight="1">
      <c r="A141" s="794"/>
      <c r="B141" s="2506"/>
      <c r="C141" s="2506"/>
      <c r="D141" s="2506"/>
      <c r="E141" s="2506"/>
      <c r="F141" s="2506"/>
      <c r="G141" s="2506"/>
      <c r="H141" s="2506"/>
      <c r="I141" s="2507" t="s">
        <v>2295</v>
      </c>
    </row>
    <row r="142" spans="1:35" ht="21.75" customHeight="1">
      <c r="A142" s="794"/>
      <c r="B142" s="2508"/>
      <c r="C142" s="2509"/>
      <c r="D142" s="2510"/>
      <c r="E142" s="2510"/>
      <c r="F142" s="2342"/>
      <c r="G142" s="794"/>
      <c r="H142" s="794"/>
      <c r="I142" s="794"/>
    </row>
    <row r="143" spans="1:35" s="138" customFormat="1" ht="21.75" customHeight="1">
      <c r="A143" s="794"/>
      <c r="B143" s="2508"/>
      <c r="C143" s="2509"/>
      <c r="D143" s="2510"/>
      <c r="E143" s="2510"/>
      <c r="F143" s="2342"/>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38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38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38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38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38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38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38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38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38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38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38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38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38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38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38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38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38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38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38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38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38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38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38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38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38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38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38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38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38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38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38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38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38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38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38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38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38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38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38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38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38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38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38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38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38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38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38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38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38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38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38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38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38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38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38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38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38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38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38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38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38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38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38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38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38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38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38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38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38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38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38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38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38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38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38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38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38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38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38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38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38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38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38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38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38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38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38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38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38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38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38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38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38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38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38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38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38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38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38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38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38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38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38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38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2" type="noConversion"/>
  <conditionalFormatting sqref="C5:C7">
    <cfRule type="cellIs" dxfId="110" priority="10" stopIfTrue="1" operator="equal">
      <formula>25</formula>
    </cfRule>
  </conditionalFormatting>
  <conditionalFormatting sqref="C8:C9">
    <cfRule type="cellIs" dxfId="109" priority="9" stopIfTrue="1" operator="equal">
      <formula>15</formula>
    </cfRule>
  </conditionalFormatting>
  <conditionalFormatting sqref="C14:C16">
    <cfRule type="cellIs" dxfId="108" priority="8" stopIfTrue="1" operator="equal">
      <formula>30</formula>
    </cfRule>
  </conditionalFormatting>
  <conditionalFormatting sqref="D5:D7">
    <cfRule type="cellIs" dxfId="107" priority="7" stopIfTrue="1" operator="equal">
      <formula>25</formula>
    </cfRule>
  </conditionalFormatting>
  <conditionalFormatting sqref="D8:D9">
    <cfRule type="cellIs" dxfId="106" priority="6" stopIfTrue="1" operator="equal">
      <formula>15</formula>
    </cfRule>
  </conditionalFormatting>
  <conditionalFormatting sqref="C10:D13">
    <cfRule type="cellIs" dxfId="105" priority="5" stopIfTrue="1" operator="equal">
      <formula>15</formula>
    </cfRule>
  </conditionalFormatting>
  <conditionalFormatting sqref="D14:D16">
    <cfRule type="cellIs" dxfId="104" priority="4" stopIfTrue="1" operator="equal">
      <formula>30</formula>
    </cfRule>
  </conditionalFormatting>
  <conditionalFormatting sqref="C90">
    <cfRule type="expression" dxfId="103" priority="3" stopIfTrue="1">
      <formula>$H$88&lt;&gt;"仅含出让金"</formula>
    </cfRule>
  </conditionalFormatting>
  <conditionalFormatting sqref="C91">
    <cfRule type="expression" dxfId="102" priority="2" stopIfTrue="1">
      <formula>$H$91="由企业提供"</formula>
    </cfRule>
  </conditionalFormatting>
  <conditionalFormatting sqref="E36">
    <cfRule type="expression" dxfId="101"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H32" sqref="H32"/>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25" t="s">
        <v>2974</v>
      </c>
    </row>
    <row r="2" spans="1:5" ht="15.75">
      <c r="A2" s="2874" t="s">
        <v>2967</v>
      </c>
      <c r="B2" s="2875">
        <f ca="1">SUMIF(B6:B13,"&lt;&gt;#ref!",B6:B13)</f>
        <v>1665970</v>
      </c>
      <c r="C2" s="2874" t="s">
        <v>2968</v>
      </c>
      <c r="D2" s="2874" t="s">
        <v>2969</v>
      </c>
      <c r="E2" s="2875">
        <f ca="1">SUMIF(E6:E13,"&lt;&gt;#ref!",E6:E13)</f>
        <v>0</v>
      </c>
    </row>
    <row r="3" spans="1:5" ht="15.75">
      <c r="A3" s="2874" t="s">
        <v>2970</v>
      </c>
      <c r="B3" s="2875" t="e">
        <f ca="1">ROUND(B2*10000/E2,0)</f>
        <v>#DIV/0!</v>
      </c>
      <c r="C3" s="2874" t="s">
        <v>2975</v>
      </c>
      <c r="D3" s="2876"/>
      <c r="E3" s="2876"/>
    </row>
    <row r="4" spans="1:5" ht="15.75">
      <c r="A4" s="2877"/>
      <c r="B4" s="2876"/>
      <c r="C4" s="2876"/>
      <c r="D4" s="2876"/>
      <c r="E4" s="2876"/>
    </row>
    <row r="5" spans="1:5" ht="28.5">
      <c r="A5" s="2878" t="s">
        <v>2971</v>
      </c>
      <c r="B5" s="2874" t="s">
        <v>2972</v>
      </c>
      <c r="C5" s="2875"/>
      <c r="D5" s="2876"/>
      <c r="E5" s="2874" t="s">
        <v>2973</v>
      </c>
    </row>
    <row r="6" spans="1:5" ht="15.75">
      <c r="A6" s="2879" t="s">
        <v>3254</v>
      </c>
      <c r="B6" s="2875">
        <f ca="1">SUMIF(INDIRECT("'"&amp;A6&amp;"'"&amp;"!A:A"),"总价",INDIRECT("'"&amp;A6&amp;"'"&amp;"!B:B"))</f>
        <v>95859</v>
      </c>
      <c r="C6" s="2874" t="s">
        <v>2968</v>
      </c>
      <c r="D6" s="2876"/>
      <c r="E6" s="2539">
        <f ca="1">SUMIF(INDIRECT("'"&amp;A6&amp;"'"&amp;"!C:C"),"建筑面积",INDIRECT("'"&amp;A6&amp;"'"&amp;"!D:D"))</f>
        <v>0</v>
      </c>
    </row>
    <row r="7" spans="1:5" ht="15.75">
      <c r="A7" s="2879" t="s">
        <v>3256</v>
      </c>
      <c r="B7" s="2875">
        <f ca="1">SUMIF(INDIRECT("'"&amp;A7&amp;"'"&amp;"!A:A"),"总价",INDIRECT("'"&amp;A7&amp;"'"&amp;"!B:B"))</f>
        <v>1521591</v>
      </c>
      <c r="C7" s="2874" t="s">
        <v>2968</v>
      </c>
      <c r="D7" s="2876"/>
      <c r="E7" s="2539">
        <f t="shared" ref="E7:E13" ca="1" si="0">SUMIF(INDIRECT("'"&amp;A7&amp;"'"&amp;"!C:C"),"建筑面积",INDIRECT("'"&amp;A7&amp;"'"&amp;"!D:D"))</f>
        <v>0</v>
      </c>
    </row>
    <row r="8" spans="1:5" ht="15.75">
      <c r="A8" s="2879" t="s">
        <v>3258</v>
      </c>
      <c r="B8" s="2875">
        <f t="shared" ref="B8:B13" ca="1" si="1">SUMIF(INDIRECT("'"&amp;A8&amp;"'"&amp;"!A:A"),"总价",INDIRECT("'"&amp;A8&amp;"'"&amp;"!B:B"))</f>
        <v>48520</v>
      </c>
      <c r="C8" s="2874" t="s">
        <v>2968</v>
      </c>
      <c r="D8" s="2876"/>
      <c r="E8" s="2539">
        <f t="shared" ca="1" si="0"/>
        <v>0</v>
      </c>
    </row>
    <row r="9" spans="1:5" ht="15.75">
      <c r="A9" s="2879"/>
      <c r="B9" s="2875" t="e">
        <f t="shared" ca="1" si="1"/>
        <v>#REF!</v>
      </c>
      <c r="C9" s="2874" t="s">
        <v>2968</v>
      </c>
      <c r="D9" s="2876"/>
      <c r="E9" s="2539" t="e">
        <f t="shared" ca="1" si="0"/>
        <v>#REF!</v>
      </c>
    </row>
    <row r="10" spans="1:5" ht="15.75">
      <c r="A10" s="2879"/>
      <c r="B10" s="2875" t="e">
        <f t="shared" ca="1" si="1"/>
        <v>#REF!</v>
      </c>
      <c r="C10" s="2874" t="s">
        <v>2968</v>
      </c>
      <c r="D10" s="2876"/>
      <c r="E10" s="2539" t="e">
        <f t="shared" ca="1" si="0"/>
        <v>#REF!</v>
      </c>
    </row>
    <row r="11" spans="1:5" ht="15.75">
      <c r="A11" s="2879"/>
      <c r="B11" s="2875" t="e">
        <f t="shared" ca="1" si="1"/>
        <v>#REF!</v>
      </c>
      <c r="C11" s="2874" t="s">
        <v>2968</v>
      </c>
      <c r="D11" s="2876"/>
      <c r="E11" s="2539" t="e">
        <f t="shared" ca="1" si="0"/>
        <v>#REF!</v>
      </c>
    </row>
    <row r="12" spans="1:5" ht="15.75">
      <c r="A12" s="2879"/>
      <c r="B12" s="2875" t="e">
        <f t="shared" ca="1" si="1"/>
        <v>#REF!</v>
      </c>
      <c r="C12" s="2874" t="s">
        <v>2968</v>
      </c>
      <c r="D12" s="2876"/>
      <c r="E12" s="2539" t="e">
        <f t="shared" ca="1" si="0"/>
        <v>#REF!</v>
      </c>
    </row>
    <row r="13" spans="1:5" ht="15.75">
      <c r="A13" s="2879"/>
      <c r="B13" s="2875" t="e">
        <f t="shared" ca="1" si="1"/>
        <v>#REF!</v>
      </c>
      <c r="C13" s="2874" t="s">
        <v>2968</v>
      </c>
      <c r="D13" s="2876"/>
      <c r="E13" s="2539" t="e">
        <f t="shared" ca="1" si="0"/>
        <v>#REF!</v>
      </c>
    </row>
  </sheetData>
  <sheetProtection password="C66D" sheet="1" objects="1" scenarios="1" formatCells="0"/>
  <phoneticPr fontId="142"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31" sqref="C31"/>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2297</v>
      </c>
      <c r="B1" s="1939" t="s">
        <v>3049</v>
      </c>
      <c r="C1" s="241"/>
      <c r="D1" s="241"/>
      <c r="E1" s="241"/>
      <c r="F1" s="241"/>
      <c r="G1" s="1381">
        <f>MATCH(B1,'数据-取费表'!A6:A16,0)+5</f>
        <v>8</v>
      </c>
    </row>
    <row r="2" spans="1:9" s="243" customFormat="1" ht="18" customHeight="1">
      <c r="A2" s="244" t="s">
        <v>2298</v>
      </c>
      <c r="B2" s="245">
        <f ca="1">IF(D2="——",C52,C52-E2)</f>
        <v>43322</v>
      </c>
      <c r="C2" s="242" t="s">
        <v>2299</v>
      </c>
      <c r="D2" s="2511" t="s">
        <v>70</v>
      </c>
      <c r="E2" s="1442" t="e">
        <f ca="1">SUMIF(INDIRECT("'"&amp;G2&amp;"'"&amp;"!A:A"),"承租人权益价值",INDIRECT("'"&amp;G2&amp;"'"&amp;"!c:c"))</f>
        <v>#REF!</v>
      </c>
      <c r="F2" s="2512" t="s">
        <v>2299</v>
      </c>
      <c r="G2" s="2513"/>
    </row>
    <row r="3" spans="1:9" s="243" customFormat="1" ht="18" customHeight="1" thickBot="1">
      <c r="A3" s="246" t="s">
        <v>2300</v>
      </c>
      <c r="B3" s="247">
        <f ca="1">ROUND(B2*10000/(IF(B1="",'数据-汇总表'!E3,INDIRECT("'数据-取费表'!k"&amp;$G$1))),0)</f>
        <v>18577</v>
      </c>
      <c r="C3" s="242" t="s">
        <v>2301</v>
      </c>
      <c r="D3" s="242"/>
      <c r="E3" s="242"/>
      <c r="F3" s="242"/>
      <c r="G3" s="242"/>
    </row>
    <row r="4" spans="1:9" s="251" customFormat="1" ht="15.75">
      <c r="A4" s="248" t="s">
        <v>2302</v>
      </c>
      <c r="B4" s="249"/>
      <c r="C4" s="249"/>
      <c r="D4" s="249"/>
      <c r="E4" s="249"/>
      <c r="F4" s="249"/>
      <c r="G4" s="250"/>
    </row>
    <row r="5" spans="1:9" s="257" customFormat="1" ht="13.5" customHeight="1">
      <c r="A5" s="298" t="s">
        <v>2303</v>
      </c>
      <c r="B5" s="253" t="s">
        <v>2304</v>
      </c>
      <c r="C5" s="254">
        <f ca="1">C6+C7+C8</f>
        <v>23697</v>
      </c>
      <c r="D5" s="254" t="s">
        <v>2305</v>
      </c>
      <c r="E5" s="255" t="s">
        <v>2306</v>
      </c>
      <c r="F5" s="255" t="s">
        <v>2307</v>
      </c>
      <c r="G5" s="256"/>
    </row>
    <row r="6" spans="1:9" s="257" customFormat="1" ht="13.5" customHeight="1">
      <c r="A6" s="951" t="s">
        <v>2308</v>
      </c>
      <c r="B6" s="258" t="s">
        <v>2309</v>
      </c>
      <c r="C6" s="259">
        <f ca="1">'基准地价修正（车库）'!E39</f>
        <v>22534</v>
      </c>
      <c r="D6" s="260"/>
      <c r="E6" s="261"/>
      <c r="F6" s="261"/>
      <c r="G6" s="262"/>
    </row>
    <row r="7" spans="1:9" s="257" customFormat="1" ht="13.5" customHeight="1">
      <c r="A7" s="951" t="s">
        <v>2310</v>
      </c>
      <c r="B7" s="258" t="s">
        <v>2311</v>
      </c>
      <c r="C7" s="263">
        <f ca="1">ROUND(C6*F7,0)</f>
        <v>687</v>
      </c>
      <c r="D7" s="263"/>
      <c r="E7" s="261"/>
      <c r="F7" s="264">
        <f>'数据-取费表'!B48+'数据-取费表'!B49</f>
        <v>3.0499999999999999E-2</v>
      </c>
      <c r="G7" s="262"/>
    </row>
    <row r="8" spans="1:9" s="266" customFormat="1">
      <c r="A8" s="951" t="s">
        <v>2312</v>
      </c>
      <c r="B8" s="258" t="s">
        <v>2313</v>
      </c>
      <c r="C8" s="263">
        <f ca="1">IF(G8="已包含在土地购买价格中","0",IF(B1="",'数据-取费表'!B29,IF(G9="全部缴纳",C9+C10,H9)))</f>
        <v>476</v>
      </c>
      <c r="D8" s="265"/>
      <c r="E8" s="263"/>
      <c r="F8" s="264"/>
      <c r="G8" s="2514" t="s">
        <v>3248</v>
      </c>
    </row>
    <row r="9" spans="1:9" s="257" customFormat="1" ht="13.5" customHeight="1">
      <c r="A9" s="952" t="s">
        <v>800</v>
      </c>
      <c r="B9" s="267" t="s">
        <v>2314</v>
      </c>
      <c r="C9" s="268">
        <f ca="1">ROUND(D9*E9/10000,0)</f>
        <v>0</v>
      </c>
      <c r="D9" s="1034">
        <f ca="1">IF(B1="",'数据-汇总表'!E5,IF(INDIRECT("'数据-取费表'!c"&amp;$G$1)="住宅",INDIRECT("'数据-取费表'!k"&amp;$G$1),0))</f>
        <v>0</v>
      </c>
      <c r="E9" s="268">
        <f>'数据-取费表'!B27</f>
        <v>160</v>
      </c>
      <c r="F9" s="264"/>
      <c r="G9" s="2515" t="s">
        <v>3249</v>
      </c>
      <c r="H9" s="1392"/>
      <c r="I9" s="2516" t="s">
        <v>2315</v>
      </c>
    </row>
    <row r="10" spans="1:9" s="257" customFormat="1" ht="13.5" customHeight="1">
      <c r="A10" s="952" t="s">
        <v>801</v>
      </c>
      <c r="B10" s="267" t="s">
        <v>2316</v>
      </c>
      <c r="C10" s="268">
        <f ca="1">ROUND(D10*E10/10000,0)</f>
        <v>476</v>
      </c>
      <c r="D10" s="1034">
        <f ca="1">IF(B1="",'数据-汇总表'!E6,IF(INDIRECT("'数据-取费表'!c"&amp;$G$1)="住宅",INDIRECT("'数据-取费表'!s"&amp;$G$1),INDIRECT("'数据-取费表'!k"&amp;$G$1)+INDIRECT("'数据-取费表'!s"&amp;$G$1)))</f>
        <v>23807.88</v>
      </c>
      <c r="E10" s="268">
        <f>'数据-取费表'!B28</f>
        <v>200</v>
      </c>
      <c r="F10" s="264"/>
      <c r="G10" s="269"/>
    </row>
    <row r="11" spans="1:9" s="257" customFormat="1" ht="13.5" hidden="1" customHeight="1">
      <c r="A11" s="270" t="s">
        <v>7</v>
      </c>
      <c r="B11" s="258" t="s">
        <v>2317</v>
      </c>
      <c r="C11" s="254"/>
      <c r="D11" s="1036"/>
      <c r="E11" s="261"/>
      <c r="F11" s="261"/>
      <c r="G11" s="262"/>
    </row>
    <row r="12" spans="1:9" s="257" customFormat="1" ht="13.5" hidden="1" customHeight="1">
      <c r="A12" s="270" t="s">
        <v>8</v>
      </c>
      <c r="B12" s="258" t="s">
        <v>2318</v>
      </c>
      <c r="C12" s="254">
        <v>0</v>
      </c>
      <c r="D12" s="1036"/>
      <c r="E12" s="271"/>
      <c r="F12" s="264">
        <v>3.0499999999999999E-2</v>
      </c>
      <c r="G12" s="262"/>
    </row>
    <row r="13" spans="1:9" s="257" customFormat="1" ht="13.5" hidden="1" customHeight="1">
      <c r="A13" s="270" t="s">
        <v>9</v>
      </c>
      <c r="B13" s="258" t="s">
        <v>2319</v>
      </c>
      <c r="C13" s="254"/>
      <c r="D13" s="1036"/>
      <c r="E13" s="261"/>
      <c r="F13" s="261"/>
      <c r="G13" s="262"/>
    </row>
    <row r="14" spans="1:9" s="257" customFormat="1" ht="13.5" hidden="1" customHeight="1">
      <c r="A14" s="270" t="s">
        <v>10</v>
      </c>
      <c r="B14" s="258" t="s">
        <v>2320</v>
      </c>
      <c r="C14" s="254"/>
      <c r="D14" s="1036"/>
      <c r="E14" s="261"/>
      <c r="F14" s="261"/>
      <c r="G14" s="262" t="s">
        <v>2321</v>
      </c>
    </row>
    <row r="15" spans="1:9" s="257" customFormat="1" ht="13.5" hidden="1" customHeight="1">
      <c r="A15" s="270" t="s">
        <v>11</v>
      </c>
      <c r="B15" s="258" t="s">
        <v>2322</v>
      </c>
      <c r="C15" s="263"/>
      <c r="D15" s="1036"/>
      <c r="E15" s="261"/>
      <c r="F15" s="261"/>
      <c r="G15" s="262" t="s">
        <v>2323</v>
      </c>
    </row>
    <row r="16" spans="1:9" s="257" customFormat="1" ht="13.5" hidden="1" customHeight="1">
      <c r="A16" s="270" t="s">
        <v>12</v>
      </c>
      <c r="B16" s="258" t="s">
        <v>2320</v>
      </c>
      <c r="C16" s="263"/>
      <c r="D16" s="1036"/>
      <c r="E16" s="261"/>
      <c r="F16" s="261"/>
      <c r="G16" s="262"/>
    </row>
    <row r="17" spans="1:7" s="257" customFormat="1" ht="13.5" hidden="1" customHeight="1">
      <c r="A17" s="270" t="s">
        <v>13</v>
      </c>
      <c r="B17" s="258" t="s">
        <v>2324</v>
      </c>
      <c r="C17" s="272"/>
      <c r="D17" s="1037"/>
      <c r="E17" s="272"/>
      <c r="F17" s="272"/>
      <c r="G17" s="262" t="s">
        <v>2323</v>
      </c>
    </row>
    <row r="18" spans="1:7" s="257" customFormat="1" ht="13.5" hidden="1" customHeight="1">
      <c r="A18" s="270" t="s">
        <v>14</v>
      </c>
      <c r="B18" s="258" t="s">
        <v>2325</v>
      </c>
      <c r="C18" s="263">
        <v>0</v>
      </c>
      <c r="D18" s="1036"/>
      <c r="E18" s="261"/>
      <c r="F18" s="264">
        <v>3.0499999999999999E-2</v>
      </c>
      <c r="G18" s="262" t="s">
        <v>2326</v>
      </c>
    </row>
    <row r="19" spans="1:7" s="266" customFormat="1" ht="13.5" customHeight="1">
      <c r="A19" s="298" t="s">
        <v>2327</v>
      </c>
      <c r="B19" s="253" t="s">
        <v>2328</v>
      </c>
      <c r="C19" s="254">
        <f ca="1">IF(G19="已包含在土地取得成本中","0",ROUND(D19*E19/10000,0))</f>
        <v>476</v>
      </c>
      <c r="D19" s="1038">
        <f ca="1">D9+D10</f>
        <v>23807.88</v>
      </c>
      <c r="E19" s="254">
        <f>'数据-取费表'!B31</f>
        <v>200</v>
      </c>
      <c r="F19" s="274"/>
      <c r="G19" s="2514"/>
    </row>
    <row r="20" spans="1:7" s="257" customFormat="1" ht="13.5" customHeight="1">
      <c r="A20" s="298" t="s">
        <v>2329</v>
      </c>
      <c r="B20" s="253" t="s">
        <v>2330</v>
      </c>
      <c r="C20" s="275">
        <f ca="1">ROUND((C5+C19)*F20,0)</f>
        <v>725</v>
      </c>
      <c r="D20" s="275"/>
      <c r="E20" s="275"/>
      <c r="F20" s="276">
        <f>'数据-取费表'!B37</f>
        <v>0.03</v>
      </c>
      <c r="G20" s="277" t="s">
        <v>2331</v>
      </c>
    </row>
    <row r="21" spans="1:7" s="257" customFormat="1" ht="13.5" customHeight="1">
      <c r="A21" s="298" t="s">
        <v>2332</v>
      </c>
      <c r="B21" s="253" t="s">
        <v>2333</v>
      </c>
      <c r="C21" s="278">
        <f>F21</f>
        <v>0.02</v>
      </c>
      <c r="D21" s="279" t="s">
        <v>2334</v>
      </c>
      <c r="E21" s="275"/>
      <c r="F21" s="276">
        <f>'数据-取费表'!B38</f>
        <v>0.02</v>
      </c>
      <c r="G21" s="277" t="s">
        <v>2335</v>
      </c>
    </row>
    <row r="22" spans="1:7" s="257" customFormat="1" ht="13.5" customHeight="1">
      <c r="A22" s="298" t="s">
        <v>2336</v>
      </c>
      <c r="B22" s="253" t="s">
        <v>2337</v>
      </c>
      <c r="C22" s="1356">
        <f ca="1">ROUND(SUM(C23:C25),0)</f>
        <v>3663</v>
      </c>
      <c r="D22" s="278">
        <f ca="1">C26</f>
        <v>1.4E-3</v>
      </c>
      <c r="E22" s="279" t="s">
        <v>2334</v>
      </c>
      <c r="F22" s="280">
        <f ca="1">'数据-取费表'!B40</f>
        <v>4.7500000000000001E-2</v>
      </c>
      <c r="G22" s="277" t="str">
        <f>IF('数据-取费表'!B22&lt;=1,"单利计息","复利计息")</f>
        <v>复利计息</v>
      </c>
    </row>
    <row r="23" spans="1:7" s="257" customFormat="1" ht="13.5" customHeight="1">
      <c r="A23" s="953" t="s">
        <v>2338</v>
      </c>
      <c r="B23" s="258" t="s">
        <v>2339</v>
      </c>
      <c r="C23" s="1357">
        <f ca="1">ROUND(IF('数据-取费表'!B22&lt;=1,C5*F22*'数据-取费表'!B23,C5*(POWER((1+F22),'数据-取费表'!B23)-1)),0)</f>
        <v>3540</v>
      </c>
      <c r="D23" s="281"/>
      <c r="E23" s="281"/>
      <c r="F23" s="282"/>
      <c r="G23" s="283" t="s">
        <v>2340</v>
      </c>
    </row>
    <row r="24" spans="1:7" s="257" customFormat="1" ht="13.5" customHeight="1">
      <c r="A24" s="953" t="s">
        <v>2341</v>
      </c>
      <c r="B24" s="258" t="s">
        <v>2342</v>
      </c>
      <c r="C24" s="1357">
        <f ca="1">ROUND(IF('数据-取费表'!B22&lt;=1,C19*F22*('数据-取费表'!B19/2+'数据-取费表'!B21),C19*(POWER((1+F22),('数据-取费表'!B19/2+'数据-取费表'!B21))-1)),0)</f>
        <v>71</v>
      </c>
      <c r="D24" s="281"/>
      <c r="E24" s="281"/>
      <c r="F24" s="282"/>
      <c r="G24" s="283" t="s">
        <v>2343</v>
      </c>
    </row>
    <row r="25" spans="1:7" s="257" customFormat="1" ht="24">
      <c r="A25" s="953" t="s">
        <v>2344</v>
      </c>
      <c r="B25" s="258" t="s">
        <v>2345</v>
      </c>
      <c r="C25" s="1357">
        <f ca="1">ROUND(IF('数据-取费表'!B22&lt;=1,C20*F22*'数据-取费表'!B23/2,C20*(POWER((1+F22),'数据-取费表'!B23/2)-1)),0)</f>
        <v>52</v>
      </c>
      <c r="D25" s="281"/>
      <c r="E25" s="284"/>
      <c r="F25" s="282"/>
      <c r="G25" s="285" t="s">
        <v>2346</v>
      </c>
    </row>
    <row r="26" spans="1:7" s="257" customFormat="1">
      <c r="A26" s="953" t="s">
        <v>795</v>
      </c>
      <c r="B26" s="258" t="s">
        <v>2347</v>
      </c>
      <c r="C26" s="281">
        <f ca="1">ROUND(IF('数据-取费表'!B22&lt;=1,F21*F22*'数据-取费表'!B23/2,F21*(POWER((1+F22),'数据-取费表'!B23/2)-1)),4)</f>
        <v>1.4E-3</v>
      </c>
      <c r="D26" s="281"/>
      <c r="E26" s="284"/>
      <c r="F26" s="282"/>
      <c r="G26" s="286"/>
    </row>
    <row r="27" spans="1:7" s="257" customFormat="1" ht="24.75">
      <c r="A27" s="298" t="s">
        <v>2348</v>
      </c>
      <c r="B27" s="287" t="s">
        <v>2349</v>
      </c>
      <c r="C27" s="288">
        <f ca="1">C28</f>
        <v>2490</v>
      </c>
      <c r="D27" s="278">
        <f ca="1">C29</f>
        <v>2E-3</v>
      </c>
      <c r="E27" s="279" t="s">
        <v>2350</v>
      </c>
      <c r="F27" s="289">
        <f ca="1">IF(B1="",'数据-取费表'!Q16,INDIRECT("'数据-取费表'!q"&amp;$G$1))</f>
        <v>0.1</v>
      </c>
      <c r="G27" s="290" t="s">
        <v>2351</v>
      </c>
    </row>
    <row r="28" spans="1:7" s="257" customFormat="1" ht="13.5" customHeight="1">
      <c r="A28" s="953" t="s">
        <v>791</v>
      </c>
      <c r="B28" s="291" t="s">
        <v>2352</v>
      </c>
      <c r="C28" s="292">
        <f ca="1">ROUND((C5+C19+C20)*F27*'数据-取费表'!B21/'数据-取费表'!B20,0)</f>
        <v>2490</v>
      </c>
      <c r="D28" s="278"/>
      <c r="E28" s="279"/>
      <c r="F28" s="289"/>
      <c r="G28" s="290"/>
    </row>
    <row r="29" spans="1:7" s="257" customFormat="1" ht="13.5" customHeight="1">
      <c r="A29" s="953" t="s">
        <v>792</v>
      </c>
      <c r="B29" s="291" t="s">
        <v>2353</v>
      </c>
      <c r="C29" s="281">
        <f ca="1">ROUND(C21*F27*'数据-取费表'!B21/'数据-取费表'!B20,4)</f>
        <v>2E-3</v>
      </c>
      <c r="D29" s="278"/>
      <c r="E29" s="279"/>
      <c r="F29" s="289"/>
      <c r="G29" s="290"/>
    </row>
    <row r="30" spans="1:7" s="257" customFormat="1" ht="13.5" customHeight="1">
      <c r="A30" s="298" t="s">
        <v>2354</v>
      </c>
      <c r="B30" s="253" t="s">
        <v>2355</v>
      </c>
      <c r="C30" s="278">
        <f>ROUND(F30/(1+'数据-取费表'!C42),4)</f>
        <v>5.33E-2</v>
      </c>
      <c r="D30" s="279" t="s">
        <v>2350</v>
      </c>
      <c r="E30" s="284"/>
      <c r="F30" s="280">
        <f>'数据-取费表'!B41</f>
        <v>5.6000000000000001E-2</v>
      </c>
      <c r="G30" s="277" t="s">
        <v>2356</v>
      </c>
    </row>
    <row r="31" spans="1:7" ht="16.5" customHeight="1">
      <c r="A31" s="252">
        <v>1</v>
      </c>
      <c r="B31" s="253" t="s">
        <v>2357</v>
      </c>
      <c r="C31" s="254">
        <f ca="1">ROUND((C5+C19+C20+C22+C27)/(1-C21-D22-D27-C30),0)</f>
        <v>33630</v>
      </c>
      <c r="D31" s="273"/>
      <c r="E31" s="254"/>
      <c r="F31" s="293"/>
      <c r="G31" s="277" t="s">
        <v>2358</v>
      </c>
    </row>
    <row r="32" spans="1:7" s="251" customFormat="1" ht="15.75">
      <c r="A32" s="295" t="s">
        <v>2359</v>
      </c>
      <c r="B32" s="296"/>
      <c r="C32" s="296"/>
      <c r="D32" s="296"/>
      <c r="E32" s="296"/>
      <c r="F32" s="296"/>
      <c r="G32" s="297"/>
    </row>
    <row r="33" spans="1:7" s="257" customFormat="1" ht="13.5" customHeight="1">
      <c r="A33" s="298" t="s">
        <v>782</v>
      </c>
      <c r="B33" s="253" t="s">
        <v>2360</v>
      </c>
      <c r="C33" s="299">
        <f ca="1">SUM(C34:C38)</f>
        <v>8057</v>
      </c>
      <c r="D33" s="275"/>
      <c r="E33" s="255"/>
      <c r="F33" s="284"/>
      <c r="G33" s="277"/>
    </row>
    <row r="34" spans="1:7" s="301" customFormat="1" ht="13.5" customHeight="1">
      <c r="A34" s="953" t="s">
        <v>791</v>
      </c>
      <c r="B34" s="258" t="s">
        <v>2361</v>
      </c>
      <c r="C34" s="263">
        <f ca="1">IF(B1="",IF(F34=100%,'数据-取费表'!M16,'数据-取费表'!O16),IF(F34=100%,INDIRECT("'数据-取费表'!m"&amp;$G$1)+INDIRECT("'数据-取费表'!t"&amp;$G$1),INDIRECT("'数据-取费表'!o"&amp;$G$1)+INDIRECT("'数据-取费表'!aq"&amp;$G$1)))</f>
        <v>7118</v>
      </c>
      <c r="D34" s="260"/>
      <c r="E34" s="263"/>
      <c r="F34" s="300">
        <f ca="1">IF('数据-取费表'!B24=0,1,IF(B1="",'数据-取费表'!N16,INDIRECT("'数据-取费表'!n"&amp;$G$1)))</f>
        <v>1</v>
      </c>
      <c r="G34" s="262" t="s">
        <v>2362</v>
      </c>
    </row>
    <row r="35" spans="1:7" ht="13.5" customHeight="1">
      <c r="A35" s="953" t="s">
        <v>796</v>
      </c>
      <c r="B35" s="258" t="s">
        <v>2363</v>
      </c>
      <c r="C35" s="263">
        <f ca="1">ROUND(C34*F35,0)</f>
        <v>356</v>
      </c>
      <c r="D35" s="263"/>
      <c r="E35" s="263"/>
      <c r="F35" s="302">
        <f>'数据-取费表'!B33</f>
        <v>0.05</v>
      </c>
      <c r="G35" s="262" t="s">
        <v>2364</v>
      </c>
    </row>
    <row r="36" spans="1:7" ht="24">
      <c r="A36" s="953" t="s">
        <v>797</v>
      </c>
      <c r="B36" s="258" t="s">
        <v>2365</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2366</v>
      </c>
    </row>
    <row r="37" spans="1:7" s="301" customFormat="1" ht="13.5" customHeight="1">
      <c r="A37" s="953" t="s">
        <v>798</v>
      </c>
      <c r="B37" s="258" t="s">
        <v>2367</v>
      </c>
      <c r="C37" s="292">
        <f ca="1">ROUND(E37*D37*F34/10000,0)</f>
        <v>476</v>
      </c>
      <c r="D37" s="260">
        <f ca="1">D19</f>
        <v>23807.88</v>
      </c>
      <c r="E37" s="292">
        <f>'数据-取费表'!B35</f>
        <v>200</v>
      </c>
      <c r="F37" s="302"/>
      <c r="G37" s="304" t="s">
        <v>2368</v>
      </c>
    </row>
    <row r="38" spans="1:7" ht="13.5" customHeight="1">
      <c r="A38" s="953" t="s">
        <v>799</v>
      </c>
      <c r="B38" s="258" t="s">
        <v>2369</v>
      </c>
      <c r="C38" s="263">
        <f ca="1">ROUND(C34*F38,0)</f>
        <v>107</v>
      </c>
      <c r="D38" s="263"/>
      <c r="E38" s="263"/>
      <c r="F38" s="302">
        <f>'数据-取费表'!B36</f>
        <v>1.4999999999999999E-2</v>
      </c>
      <c r="G38" s="262" t="s">
        <v>2364</v>
      </c>
    </row>
    <row r="39" spans="1:7" s="257" customFormat="1" ht="13.5" customHeight="1">
      <c r="A39" s="298" t="s">
        <v>2370</v>
      </c>
      <c r="B39" s="253" t="s">
        <v>2371</v>
      </c>
      <c r="C39" s="275">
        <f ca="1">ROUND(C33*F20,0)</f>
        <v>242</v>
      </c>
      <c r="D39" s="275"/>
      <c r="E39" s="275"/>
      <c r="F39" s="276"/>
      <c r="G39" s="277" t="s">
        <v>2372</v>
      </c>
    </row>
    <row r="40" spans="1:7" s="257" customFormat="1" ht="13.5" customHeight="1">
      <c r="A40" s="298" t="s">
        <v>2373</v>
      </c>
      <c r="B40" s="253" t="s">
        <v>2374</v>
      </c>
      <c r="C40" s="1730">
        <f>F21</f>
        <v>0.02</v>
      </c>
      <c r="D40" s="279" t="s">
        <v>2375</v>
      </c>
      <c r="E40" s="275"/>
      <c r="F40" s="276"/>
      <c r="G40" s="277" t="s">
        <v>2376</v>
      </c>
    </row>
    <row r="41" spans="1:7" s="257" customFormat="1" ht="13.5" customHeight="1">
      <c r="A41" s="298" t="s">
        <v>2377</v>
      </c>
      <c r="B41" s="253" t="s">
        <v>2378</v>
      </c>
      <c r="C41" s="275">
        <f ca="1">ROUND(SUM(C42:C43),0)</f>
        <v>598</v>
      </c>
      <c r="D41" s="278">
        <f ca="1">C44</f>
        <v>1.4E-3</v>
      </c>
      <c r="E41" s="279" t="s">
        <v>2375</v>
      </c>
      <c r="F41" s="280"/>
      <c r="G41" s="277" t="str">
        <f>IF('数据-取费表'!B22&lt;=1,"单利计息","复利计息")</f>
        <v>复利计息</v>
      </c>
    </row>
    <row r="42" spans="1:7" ht="13.5" customHeight="1">
      <c r="A42" s="953" t="s">
        <v>791</v>
      </c>
      <c r="B42" s="258" t="s">
        <v>2379</v>
      </c>
      <c r="C42" s="281">
        <f ca="1">ROUND(IF('数据-取费表'!B22&lt;=1,C33*F22*'数据-取费表'!B21/2,C33*(POWER((1+F22),'数据-取费表'!B21/2)-1)),0)</f>
        <v>581</v>
      </c>
      <c r="D42" s="281"/>
      <c r="E42" s="281"/>
      <c r="F42" s="282"/>
      <c r="G42" s="3348" t="s">
        <v>2380</v>
      </c>
    </row>
    <row r="43" spans="1:7" ht="13.5" customHeight="1">
      <c r="A43" s="953" t="s">
        <v>792</v>
      </c>
      <c r="B43" s="258" t="s">
        <v>2381</v>
      </c>
      <c r="C43" s="281">
        <f ca="1">ROUND(IF('数据-取费表'!B22&lt;=1,C39*F22*'数据-取费表'!B21/2,C39*(POWER((1+F22),'数据-取费表'!B21/2)-1)),0)</f>
        <v>17</v>
      </c>
      <c r="D43" s="281"/>
      <c r="E43" s="281"/>
      <c r="F43" s="282"/>
      <c r="G43" s="3349"/>
    </row>
    <row r="44" spans="1:7" ht="13.5" customHeight="1">
      <c r="A44" s="953" t="s">
        <v>793</v>
      </c>
      <c r="B44" s="258" t="s">
        <v>2382</v>
      </c>
      <c r="C44" s="281">
        <f ca="1">ROUND(IF('数据-取费表'!B22&lt;=1,C40*F22*'数据-取费表'!B21/2,C40*(POWER((1+F22),'数据-取费表'!B21/2)-1)),4)</f>
        <v>1.4E-3</v>
      </c>
      <c r="D44" s="281"/>
      <c r="E44" s="281"/>
      <c r="F44" s="282"/>
      <c r="G44" s="3350"/>
    </row>
    <row r="45" spans="1:7" s="257" customFormat="1" ht="13.5" customHeight="1">
      <c r="A45" s="298" t="s">
        <v>2383</v>
      </c>
      <c r="B45" s="287" t="s">
        <v>2349</v>
      </c>
      <c r="C45" s="288">
        <f ca="1">C46</f>
        <v>830</v>
      </c>
      <c r="D45" s="278">
        <f ca="1">C47</f>
        <v>2E-3</v>
      </c>
      <c r="E45" s="279" t="s">
        <v>2375</v>
      </c>
      <c r="F45" s="289"/>
      <c r="G45" s="290" t="s">
        <v>2384</v>
      </c>
    </row>
    <row r="46" spans="1:7" s="257" customFormat="1" ht="13.5" customHeight="1">
      <c r="A46" s="953" t="s">
        <v>791</v>
      </c>
      <c r="B46" s="291" t="s">
        <v>2385</v>
      </c>
      <c r="C46" s="292">
        <f ca="1">ROUND((C33+C39)*F27,0)</f>
        <v>830</v>
      </c>
      <c r="D46" s="306"/>
      <c r="E46" s="279"/>
      <c r="F46" s="289"/>
      <c r="G46" s="290"/>
    </row>
    <row r="47" spans="1:7" s="257" customFormat="1" ht="13.5" customHeight="1">
      <c r="A47" s="953" t="s">
        <v>792</v>
      </c>
      <c r="B47" s="291" t="s">
        <v>2386</v>
      </c>
      <c r="C47" s="281">
        <f ca="1">ROUND(C40*F27,4)</f>
        <v>2E-3</v>
      </c>
      <c r="D47" s="306"/>
      <c r="E47" s="279"/>
      <c r="F47" s="289"/>
      <c r="G47" s="290"/>
    </row>
    <row r="48" spans="1:7" s="257" customFormat="1" ht="13.5" customHeight="1">
      <c r="A48" s="298" t="s">
        <v>2348</v>
      </c>
      <c r="B48" s="253" t="s">
        <v>2387</v>
      </c>
      <c r="C48" s="1730">
        <f>ROUND(F30/(1+'数据-取费表'!C42),4)</f>
        <v>5.33E-2</v>
      </c>
      <c r="D48" s="279" t="s">
        <v>2375</v>
      </c>
      <c r="E48" s="275"/>
      <c r="F48" s="280"/>
      <c r="G48" s="277" t="s">
        <v>2388</v>
      </c>
    </row>
    <row r="49" spans="1:7" ht="16.5" customHeight="1">
      <c r="A49" s="298" t="s">
        <v>2354</v>
      </c>
      <c r="B49" s="253" t="s">
        <v>2389</v>
      </c>
      <c r="C49" s="275">
        <f ca="1">ROUND((C33+C39+C41+C45)/(1-C40-D41-D45-C48),0)</f>
        <v>10535</v>
      </c>
      <c r="D49" s="275"/>
      <c r="E49" s="275"/>
      <c r="F49" s="307"/>
      <c r="G49" s="277" t="s">
        <v>2390</v>
      </c>
    </row>
    <row r="50" spans="1:7" s="301" customFormat="1" ht="24">
      <c r="A50" s="298" t="s">
        <v>2391</v>
      </c>
      <c r="B50" s="253" t="s">
        <v>2392</v>
      </c>
      <c r="C50" s="275"/>
      <c r="D50" s="275"/>
      <c r="E50" s="275"/>
      <c r="F50" s="307">
        <f>IF('数据-取费表'!B24=0,'数据-取费表'!N16,1)</f>
        <v>0.92</v>
      </c>
      <c r="G50" s="290" t="s">
        <v>2393</v>
      </c>
    </row>
    <row r="51" spans="1:7" ht="16.5" customHeight="1">
      <c r="A51" s="298" t="s">
        <v>2394</v>
      </c>
      <c r="B51" s="253" t="s">
        <v>2395</v>
      </c>
      <c r="C51" s="275">
        <f ca="1">ROUND(C49*F50,0)</f>
        <v>9692</v>
      </c>
      <c r="D51" s="275"/>
      <c r="E51" s="275"/>
      <c r="F51" s="307"/>
      <c r="G51" s="277" t="s">
        <v>2396</v>
      </c>
    </row>
    <row r="52" spans="1:7" s="251" customFormat="1" ht="16.5" thickBot="1">
      <c r="A52" s="308" t="s">
        <v>2397</v>
      </c>
      <c r="B52" s="309"/>
      <c r="C52" s="310">
        <f ca="1">C31+C51</f>
        <v>43322</v>
      </c>
      <c r="D52" s="309"/>
      <c r="E52" s="309"/>
      <c r="F52" s="309"/>
      <c r="G52" s="311"/>
    </row>
    <row r="55" spans="1:7" ht="15">
      <c r="B55" s="313" t="s">
        <v>2398</v>
      </c>
      <c r="C55" s="314"/>
    </row>
    <row r="56" spans="1:7">
      <c r="B56" s="316" t="s">
        <v>1513</v>
      </c>
      <c r="C56" s="318">
        <f ca="1">1-C57</f>
        <v>0.77600000000000002</v>
      </c>
    </row>
    <row r="57" spans="1:7">
      <c r="B57" s="316" t="s">
        <v>1514</v>
      </c>
      <c r="C57" s="317">
        <f ca="1">ROUND(C51/C52,3)</f>
        <v>0.224</v>
      </c>
    </row>
  </sheetData>
  <sheetProtection password="C66D"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G43" sqref="G43"/>
    </sheetView>
  </sheetViews>
  <sheetFormatPr defaultColWidth="12" defaultRowHeight="12.75"/>
  <cols>
    <col min="1" max="1" width="9.75" style="2760" customWidth="1"/>
    <col min="2" max="2" width="19.25" style="2866" customWidth="1"/>
    <col min="3" max="4" width="12" style="2684"/>
    <col min="5" max="5" width="14.625" style="2684" customWidth="1"/>
    <col min="6" max="8" width="12" style="2684"/>
    <col min="9" max="9" width="12.25" style="2684" bestFit="1" customWidth="1"/>
    <col min="10" max="10" width="12" style="2684"/>
    <col min="11" max="11" width="8.125" style="2752" customWidth="1"/>
    <col min="12" max="12" width="12" style="2684"/>
    <col min="13" max="13" width="8.5" style="2684" customWidth="1"/>
    <col min="14" max="14" width="9.75" style="2684" customWidth="1"/>
    <col min="15" max="25" width="12" style="2684"/>
    <col min="26" max="26" width="9.375" style="2760" customWidth="1"/>
    <col min="27" max="32" width="9.375" style="1374" customWidth="1"/>
    <col min="33" max="36" width="9.375" style="2760" customWidth="1"/>
    <col min="37" max="38" width="9.375" style="2684" customWidth="1"/>
    <col min="39" max="16384" width="12" style="2684"/>
  </cols>
  <sheetData>
    <row r="1" spans="1:36" ht="28.5">
      <c r="A1" s="239" t="s">
        <v>2775</v>
      </c>
      <c r="B1" s="240"/>
      <c r="C1" s="244" t="s">
        <v>2776</v>
      </c>
      <c r="D1" s="387">
        <f>SUM(D29:D30,D33:D39)</f>
        <v>23320.11</v>
      </c>
      <c r="E1" s="2681"/>
      <c r="F1" s="2681"/>
      <c r="G1" s="2681"/>
      <c r="H1" s="2681"/>
      <c r="I1" s="2681"/>
      <c r="J1" s="2681"/>
      <c r="K1" s="1372"/>
      <c r="L1" s="2682" t="s">
        <v>2777</v>
      </c>
      <c r="M1" s="1082">
        <f>SUMPRODUCT((区片价!B5:B9=I2)*(区片价!C3:F3=E2)*(区片价!C5:F9))</f>
        <v>29780</v>
      </c>
      <c r="N1" s="1085">
        <f>SUMPRODUCT((因素修正幅度!B5:B9=I2)*(因素修正幅度!C3:F3=E2)*(因素修正幅度!C5:F9))</f>
        <v>9.8000000000000004E-2</v>
      </c>
      <c r="O1" s="2683"/>
      <c r="P1" s="2683"/>
      <c r="Q1" s="1372"/>
      <c r="R1" s="1604" t="s">
        <v>2778</v>
      </c>
      <c r="S1" s="1604" t="s">
        <v>2779</v>
      </c>
      <c r="T1" s="1604" t="s">
        <v>2780</v>
      </c>
      <c r="U1" s="1604" t="s">
        <v>2781</v>
      </c>
      <c r="V1" s="1604" t="s">
        <v>2782</v>
      </c>
      <c r="W1" s="1608"/>
      <c r="X1" s="1608"/>
      <c r="Y1" s="1608"/>
      <c r="Z1" s="1608"/>
      <c r="AA1" s="1608"/>
      <c r="AB1" s="1608"/>
      <c r="AC1" s="1609"/>
      <c r="AD1" s="1610"/>
      <c r="AE1" s="1610"/>
      <c r="AF1" s="1610"/>
      <c r="AG1" s="1610"/>
      <c r="AH1" s="1610"/>
      <c r="AI1" s="1610"/>
      <c r="AJ1" s="1611"/>
    </row>
    <row r="2" spans="1:36" ht="15.75">
      <c r="A2" s="244" t="s">
        <v>2783</v>
      </c>
      <c r="B2" s="247">
        <f ca="1">C26</f>
        <v>22534</v>
      </c>
      <c r="C2" s="2685" t="s">
        <v>2784</v>
      </c>
      <c r="D2" s="2686" t="s">
        <v>2785</v>
      </c>
      <c r="E2" s="2687" t="s">
        <v>27</v>
      </c>
      <c r="F2" s="2686" t="s">
        <v>2786</v>
      </c>
      <c r="G2" s="2688" t="str">
        <f>IF(E2="商业",项目基本情况!B37,IF(E2="办公",项目基本情况!C37,IF(E2="住宅",项目基本情况!D37,项目基本情况!E37)))</f>
        <v>一级</v>
      </c>
      <c r="H2" s="2686" t="s">
        <v>2787</v>
      </c>
      <c r="I2" s="2688" t="str">
        <f>IF(E2="商业",项目基本情况!B38,IF(E2="办公",项目基本情况!C38,IF(E2="住宅",项目基本情况!D38,项目基本情况!E38)))</f>
        <v>Ⅰ—04</v>
      </c>
      <c r="J2" s="2689"/>
      <c r="K2" s="1372"/>
      <c r="L2" s="2690" t="s">
        <v>2788</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1.9361999999999999</v>
      </c>
      <c r="T2" s="1604">
        <f ca="1">ROUND($C$5*$C$18*$C$19*$C$20*S2*$C$24,0)</f>
        <v>74836</v>
      </c>
      <c r="U2" s="1605"/>
      <c r="V2" s="1604">
        <f ca="1">ROUND(T2*U2/10000,0)</f>
        <v>0</v>
      </c>
      <c r="W2" s="1608"/>
      <c r="X2" s="1608"/>
      <c r="Y2" s="1608"/>
      <c r="Z2" s="1608"/>
      <c r="AA2" s="1608"/>
      <c r="AB2" s="1608"/>
      <c r="AC2" s="1609"/>
      <c r="AD2" s="1610"/>
      <c r="AE2" s="1610"/>
      <c r="AF2" s="1610"/>
      <c r="AG2" s="1610"/>
      <c r="AH2" s="1610"/>
      <c r="AI2" s="1610"/>
      <c r="AJ2" s="1611"/>
    </row>
    <row r="3" spans="1:36" ht="25.5">
      <c r="A3" s="246" t="s">
        <v>2789</v>
      </c>
      <c r="B3" s="247">
        <f ca="1">ROUND(B2*10000/D1,0)</f>
        <v>9663</v>
      </c>
      <c r="C3" s="2685" t="s">
        <v>2790</v>
      </c>
      <c r="D3" s="2686" t="s">
        <v>2791</v>
      </c>
      <c r="E3" s="2691" t="s">
        <v>3370</v>
      </c>
      <c r="F3" s="2692" t="s">
        <v>2792</v>
      </c>
      <c r="G3" s="915">
        <f>IF(F3="宗地容积率",'数据-汇总表'!I4,IF(F3="估价对象容积率",'数据-汇总表'!I6,'数据-汇总表'!I7))</f>
        <v>11.91</v>
      </c>
      <c r="H3" s="197" t="s">
        <v>2793</v>
      </c>
      <c r="I3" s="946"/>
      <c r="J3" s="2689" t="s">
        <v>2794</v>
      </c>
      <c r="K3" s="1372"/>
      <c r="L3" s="2690" t="s">
        <v>2795</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1.4198</v>
      </c>
      <c r="T3" s="1604">
        <f t="shared" ref="T3:T16" ca="1" si="0">ROUND($C$5*$C$18*$C$19*$C$20*S3*$C$24,0)</f>
        <v>54877</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369"/>
      <c r="B4" s="3370"/>
      <c r="C4" s="3370"/>
      <c r="D4" s="3371"/>
      <c r="E4" s="3371"/>
      <c r="F4" s="3371"/>
      <c r="G4" s="3371"/>
      <c r="H4" s="3371"/>
      <c r="I4" s="3371"/>
      <c r="J4" s="3372"/>
      <c r="K4" s="1372"/>
      <c r="L4" s="2690" t="s">
        <v>2796</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1.1594</v>
      </c>
      <c r="T4" s="1604">
        <f t="shared" ca="1" si="0"/>
        <v>44812</v>
      </c>
      <c r="U4" s="1605"/>
      <c r="V4" s="1604">
        <f t="shared" ca="1" si="1"/>
        <v>0</v>
      </c>
      <c r="W4" s="1608"/>
      <c r="X4" s="1608"/>
      <c r="Y4" s="1608"/>
      <c r="Z4" s="1608"/>
      <c r="AA4" s="1608"/>
      <c r="AB4" s="1608"/>
      <c r="AC4" s="1609"/>
      <c r="AD4" s="1610"/>
      <c r="AE4" s="1610"/>
      <c r="AF4" s="1610"/>
      <c r="AG4" s="1610"/>
      <c r="AH4" s="1610"/>
      <c r="AI4" s="1610"/>
      <c r="AJ4" s="1611"/>
    </row>
    <row r="5" spans="1:36" s="2702" customFormat="1" ht="15.75" thickBot="1">
      <c r="A5" s="2693" t="s">
        <v>807</v>
      </c>
      <c r="B5" s="2694" t="s">
        <v>2797</v>
      </c>
      <c r="C5" s="916">
        <f>ROUND(IF(E2="商业",IF(F16="增加",C6*C7+C16,C6*C7-C16),IF(E2="住宅",IF(F16="增加",C6*C12+C16,C6*C12-C16),IF(F16="增加",C6+C16,C6-C16))),0)</f>
        <v>29763</v>
      </c>
      <c r="D5" s="1789">
        <f>ROUND(IF(E2="商业",IF(F16="增加",C6+C16,C6-C16)),0)</f>
        <v>0</v>
      </c>
      <c r="E5" s="2695"/>
      <c r="F5" s="2695"/>
      <c r="G5" s="2696"/>
      <c r="H5" s="2696"/>
      <c r="I5" s="2696"/>
      <c r="J5" s="2697"/>
      <c r="K5" s="2698"/>
      <c r="L5" s="2690" t="s">
        <v>2798</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0.96220000000000006</v>
      </c>
      <c r="T5" s="1604">
        <f t="shared" ca="1" si="0"/>
        <v>37190</v>
      </c>
      <c r="U5" s="1605"/>
      <c r="V5" s="1604">
        <f t="shared" ca="1" si="1"/>
        <v>0</v>
      </c>
      <c r="W5" s="1608"/>
      <c r="X5" s="1608"/>
      <c r="Y5" s="1608"/>
      <c r="Z5" s="1608"/>
      <c r="AA5" s="1608"/>
      <c r="AB5" s="1608"/>
      <c r="AC5" s="2699"/>
      <c r="AD5" s="2700"/>
      <c r="AE5" s="2700"/>
      <c r="AF5" s="2700"/>
      <c r="AG5" s="2700"/>
      <c r="AH5" s="2700"/>
      <c r="AI5" s="2700"/>
      <c r="AJ5" s="2701"/>
    </row>
    <row r="6" spans="1:36" ht="15.75" thickBot="1">
      <c r="A6" s="2703" t="s">
        <v>2799</v>
      </c>
      <c r="B6" s="2704" t="s">
        <v>2800</v>
      </c>
      <c r="C6" s="917">
        <f>SUMIF(L1:L12,G2,M1:M12)</f>
        <v>29780</v>
      </c>
      <c r="D6" s="2705" t="s">
        <v>2801</v>
      </c>
      <c r="E6" s="2706"/>
      <c r="F6" s="2706"/>
      <c r="G6" s="2707"/>
      <c r="H6" s="2707"/>
      <c r="I6" s="2707"/>
      <c r="J6" s="2708"/>
      <c r="K6" s="1844"/>
      <c r="L6" s="2690" t="s">
        <v>2802</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0.8417</v>
      </c>
      <c r="T6" s="1604">
        <f t="shared" ca="1" si="0"/>
        <v>32532</v>
      </c>
      <c r="U6" s="1605"/>
      <c r="V6" s="1604">
        <f t="shared" ca="1" si="1"/>
        <v>0</v>
      </c>
      <c r="W6" s="1608"/>
      <c r="X6" s="1608"/>
      <c r="Y6" s="1608"/>
      <c r="Z6" s="1608"/>
      <c r="AA6" s="1608"/>
      <c r="AB6" s="1608"/>
      <c r="AC6" s="2699"/>
      <c r="AD6" s="2700"/>
      <c r="AE6" s="2700"/>
      <c r="AF6" s="2700"/>
      <c r="AG6" s="2700"/>
      <c r="AH6" s="2700"/>
      <c r="AI6" s="2700"/>
      <c r="AJ6" s="2701"/>
    </row>
    <row r="7" spans="1:36" ht="24" hidden="1">
      <c r="A7" s="3373" t="str">
        <f>IF(E2="商业",IF(C8="不临58条商业街","",2),"")</f>
        <v/>
      </c>
      <c r="B7" s="2709" t="s">
        <v>2803</v>
      </c>
      <c r="C7" s="918">
        <f>IF(C8="不临58条商业街",1,ROUND(1+(1.6*E8+1.2*E9+0.8*E10+0.4*E11)*C9,4))</f>
        <v>1.06</v>
      </c>
      <c r="D7" s="2710" t="s">
        <v>2804</v>
      </c>
      <c r="E7" s="947">
        <v>100</v>
      </c>
      <c r="F7" s="2711"/>
      <c r="G7" s="2712"/>
      <c r="H7" s="2712"/>
      <c r="I7" s="2712"/>
      <c r="J7" s="2713"/>
      <c r="K7" s="1844"/>
      <c r="L7" s="2690" t="s">
        <v>2805</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0.76080000000000003</v>
      </c>
      <c r="T7" s="1604">
        <f t="shared" ca="1" si="0"/>
        <v>29406</v>
      </c>
      <c r="U7" s="1605"/>
      <c r="V7" s="1604">
        <f t="shared" ca="1" si="1"/>
        <v>0</v>
      </c>
      <c r="W7" s="1818" t="s">
        <v>2806</v>
      </c>
      <c r="X7" s="1606" t="str">
        <f>G2</f>
        <v>一级</v>
      </c>
      <c r="Y7" s="1606" t="s">
        <v>2807</v>
      </c>
      <c r="Z7" s="1607">
        <f>G3</f>
        <v>11.91</v>
      </c>
      <c r="AA7" s="1608"/>
      <c r="AB7" s="1608"/>
      <c r="AC7" s="1609"/>
      <c r="AD7" s="1610"/>
      <c r="AE7" s="1610"/>
      <c r="AF7" s="1610"/>
      <c r="AG7" s="1610"/>
      <c r="AH7" s="1610"/>
      <c r="AI7" s="1610"/>
      <c r="AJ7" s="1611"/>
    </row>
    <row r="8" spans="1:36" ht="15" hidden="1">
      <c r="A8" s="3374"/>
      <c r="B8" s="197" t="s">
        <v>2808</v>
      </c>
      <c r="C8" s="2714" t="s">
        <v>3366</v>
      </c>
      <c r="D8" s="919" t="s">
        <v>139</v>
      </c>
      <c r="E8" s="920">
        <f>ROUND(C11/E7,4)</f>
        <v>7.4999999999999997E-2</v>
      </c>
      <c r="F8" s="2715" t="s">
        <v>2809</v>
      </c>
      <c r="G8" s="2716"/>
      <c r="H8" s="2716"/>
      <c r="I8" s="2716"/>
      <c r="J8" s="2717"/>
      <c r="K8" s="1372"/>
      <c r="L8" s="2690" t="s">
        <v>2810</v>
      </c>
      <c r="M8" s="1083">
        <f>SUMPRODUCT((区片价!B206:B244=I2)*(区片价!C3:F3=E2)*(区片价!C206:F244))</f>
        <v>0</v>
      </c>
      <c r="N8" s="1085">
        <f>SUMPRODUCT((因素修正幅度!B206:B244=I2)*(因素修正幅度!C3:F3=E2)*(因素修正幅度!C206:F244))</f>
        <v>0</v>
      </c>
      <c r="O8" s="1372"/>
      <c r="P8" s="1372"/>
      <c r="Q8" s="1372"/>
      <c r="R8" s="1604">
        <v>7</v>
      </c>
      <c r="S8" s="1605"/>
      <c r="T8" s="1604">
        <f t="shared" ca="1" si="0"/>
        <v>0</v>
      </c>
      <c r="U8" s="1605"/>
      <c r="V8" s="1604">
        <f t="shared" ca="1" si="1"/>
        <v>0</v>
      </c>
      <c r="W8" s="3375" t="s">
        <v>2811</v>
      </c>
      <c r="X8" s="3376"/>
      <c r="Y8" s="1612" t="s">
        <v>2812</v>
      </c>
      <c r="Z8" s="1612" t="s">
        <v>2813</v>
      </c>
      <c r="AA8" s="1612" t="s">
        <v>2814</v>
      </c>
      <c r="AB8" s="1612" t="s">
        <v>2815</v>
      </c>
      <c r="AC8" s="1612" t="s">
        <v>2816</v>
      </c>
      <c r="AD8" s="1612" t="s">
        <v>2817</v>
      </c>
      <c r="AE8" s="1612" t="s">
        <v>2818</v>
      </c>
      <c r="AF8" s="1612" t="s">
        <v>2819</v>
      </c>
      <c r="AG8" s="1612" t="s">
        <v>2820</v>
      </c>
      <c r="AH8" s="1612" t="s">
        <v>2821</v>
      </c>
      <c r="AI8" s="1612" t="s">
        <v>2822</v>
      </c>
      <c r="AJ8" s="1612" t="s">
        <v>2823</v>
      </c>
    </row>
    <row r="9" spans="1:36" ht="15" hidden="1">
      <c r="A9" s="3374"/>
      <c r="B9" s="197" t="s">
        <v>2824</v>
      </c>
      <c r="C9" s="921">
        <f>SUMIF(修正!C59:C119,C8,修正!E59:E119)</f>
        <v>0.2</v>
      </c>
      <c r="D9" s="199" t="s">
        <v>140</v>
      </c>
      <c r="E9" s="199">
        <f>ROUND(C11/E7,4)</f>
        <v>7.4999999999999997E-2</v>
      </c>
      <c r="F9" s="2715" t="s">
        <v>2825</v>
      </c>
      <c r="G9" s="2716"/>
      <c r="H9" s="2716"/>
      <c r="I9" s="2716"/>
      <c r="J9" s="2717"/>
      <c r="K9" s="1372"/>
      <c r="L9" s="2690" t="s">
        <v>2826</v>
      </c>
      <c r="M9" s="1083">
        <f>SUMPRODUCT((区片价!B245:B289=I2)*(区片价!C3:F3=E2)*(区片价!C245:F289))</f>
        <v>0</v>
      </c>
      <c r="N9" s="1085">
        <f>SUMPRODUCT((因素修正幅度!B245:B289=I2)*(因素修正幅度!C3:F3=E2)*(因素修正幅度!C245:F289))</f>
        <v>0</v>
      </c>
      <c r="O9" s="1372"/>
      <c r="P9" s="1372"/>
      <c r="Q9" s="1372"/>
      <c r="R9" s="1604">
        <v>8</v>
      </c>
      <c r="S9" s="1605"/>
      <c r="T9" s="1604">
        <f t="shared" ca="1" si="0"/>
        <v>0</v>
      </c>
      <c r="U9" s="1605"/>
      <c r="V9" s="1604">
        <f t="shared" ca="1" si="1"/>
        <v>0</v>
      </c>
      <c r="W9" s="3377" t="s">
        <v>2827</v>
      </c>
      <c r="X9" s="1613" t="s">
        <v>2828</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hidden="1">
      <c r="A10" s="3374"/>
      <c r="B10" s="197" t="s">
        <v>2829</v>
      </c>
      <c r="C10" s="199">
        <f>SUMIF(修正!C59:C119,C8,修正!F59:F119)</f>
        <v>30</v>
      </c>
      <c r="D10" s="199" t="s">
        <v>141</v>
      </c>
      <c r="E10" s="199">
        <f>ROUND(C11/E7,4)</f>
        <v>7.4999999999999997E-2</v>
      </c>
      <c r="F10" s="2715" t="s">
        <v>2830</v>
      </c>
      <c r="G10" s="2716"/>
      <c r="H10" s="2716"/>
      <c r="I10" s="2716"/>
      <c r="J10" s="2717"/>
      <c r="K10" s="1372"/>
      <c r="L10" s="2690" t="s">
        <v>2831</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377"/>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hidden="1" thickBot="1">
      <c r="A11" s="3374"/>
      <c r="B11" s="2718" t="s">
        <v>2832</v>
      </c>
      <c r="C11" s="922">
        <f>C10/4</f>
        <v>7.5</v>
      </c>
      <c r="D11" s="922" t="s">
        <v>142</v>
      </c>
      <c r="E11" s="922">
        <f>ROUND(C11/E7,4)</f>
        <v>7.4999999999999997E-2</v>
      </c>
      <c r="F11" s="2719" t="s">
        <v>2833</v>
      </c>
      <c r="G11" s="2720"/>
      <c r="H11" s="2720"/>
      <c r="I11" s="2720"/>
      <c r="J11" s="2721"/>
      <c r="K11" s="1372"/>
      <c r="L11" s="2690" t="s">
        <v>2834</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377" t="s">
        <v>2835</v>
      </c>
      <c r="X11" s="1616" t="s">
        <v>2836</v>
      </c>
      <c r="Y11" s="1617">
        <f>$G$3</f>
        <v>11.91</v>
      </c>
      <c r="Z11" s="1617">
        <f t="shared" ref="Z11:AJ11" si="3">$G$3</f>
        <v>11.91</v>
      </c>
      <c r="AA11" s="1617">
        <f t="shared" si="3"/>
        <v>11.91</v>
      </c>
      <c r="AB11" s="1617">
        <f t="shared" si="3"/>
        <v>11.91</v>
      </c>
      <c r="AC11" s="1617">
        <f t="shared" si="3"/>
        <v>11.91</v>
      </c>
      <c r="AD11" s="1617">
        <f t="shared" si="3"/>
        <v>11.91</v>
      </c>
      <c r="AE11" s="1617">
        <f t="shared" si="3"/>
        <v>11.91</v>
      </c>
      <c r="AF11" s="1617">
        <f t="shared" si="3"/>
        <v>11.91</v>
      </c>
      <c r="AG11" s="1617">
        <f t="shared" si="3"/>
        <v>11.91</v>
      </c>
      <c r="AH11" s="1617">
        <f t="shared" si="3"/>
        <v>11.91</v>
      </c>
      <c r="AI11" s="1617">
        <f t="shared" si="3"/>
        <v>11.91</v>
      </c>
      <c r="AJ11" s="1617">
        <f t="shared" si="3"/>
        <v>11.91</v>
      </c>
    </row>
    <row r="12" spans="1:36" ht="25.5" hidden="1" thickBot="1">
      <c r="A12" s="3373" t="s">
        <v>2837</v>
      </c>
      <c r="B12" s="2722" t="s">
        <v>2838</v>
      </c>
      <c r="C12" s="918">
        <f>ROUND(C15*D15*E15*F15*G15*H15*I15*J15,4)</f>
        <v>1</v>
      </c>
      <c r="D12" s="2723" t="s">
        <v>2839</v>
      </c>
      <c r="E12" s="2724"/>
      <c r="F12" s="2724"/>
      <c r="G12" s="2725"/>
      <c r="H12" s="2725"/>
      <c r="I12" s="2725"/>
      <c r="J12" s="2726"/>
      <c r="K12" s="1372"/>
      <c r="L12" s="2727" t="s">
        <v>2840</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377"/>
      <c r="X12" s="1618" t="s">
        <v>2841</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hidden="1">
      <c r="A13" s="3378"/>
      <c r="B13" s="2728" t="s">
        <v>2842</v>
      </c>
      <c r="C13" s="2729" t="s">
        <v>2843</v>
      </c>
      <c r="D13" s="1810" t="s">
        <v>2844</v>
      </c>
      <c r="E13" s="1810" t="s">
        <v>2845</v>
      </c>
      <c r="F13" s="30" t="s">
        <v>2846</v>
      </c>
      <c r="G13" s="2730" t="s">
        <v>2847</v>
      </c>
      <c r="H13" s="2730" t="s">
        <v>2847</v>
      </c>
      <c r="I13" s="2730" t="s">
        <v>2847</v>
      </c>
      <c r="J13" s="2731" t="s">
        <v>2847</v>
      </c>
      <c r="K13" s="1372"/>
      <c r="L13" s="1372"/>
      <c r="M13" s="1372"/>
      <c r="N13" s="1372"/>
      <c r="O13" s="1372"/>
      <c r="P13" s="1372"/>
      <c r="Q13" s="1372"/>
      <c r="R13" s="1604">
        <v>12</v>
      </c>
      <c r="S13" s="1605"/>
      <c r="T13" s="1604">
        <f t="shared" ca="1" si="0"/>
        <v>0</v>
      </c>
      <c r="U13" s="1605"/>
      <c r="V13" s="1604">
        <f t="shared" ca="1" si="1"/>
        <v>0</v>
      </c>
      <c r="W13" s="3377"/>
      <c r="X13" s="1618"/>
      <c r="Y13" s="1615">
        <f>(-0.163*(Y12^2)-0.59*Y12+7617)*(10^(-4))/Y11</f>
        <v>6.395465994962217E-2</v>
      </c>
      <c r="Z13" s="1615">
        <f t="shared" ref="Z13:AJ13" si="5">(-0.163*(Z12^2)-0.59*Z12+7617)*(10^(-4))/Z11</f>
        <v>6.395465994962217E-2</v>
      </c>
      <c r="AA13" s="1615">
        <f t="shared" si="5"/>
        <v>6.395465994962217E-2</v>
      </c>
      <c r="AB13" s="1615">
        <f t="shared" si="5"/>
        <v>6.395465994962217E-2</v>
      </c>
      <c r="AC13" s="1615">
        <f t="shared" si="5"/>
        <v>6.395465994962217E-2</v>
      </c>
      <c r="AD13" s="1615">
        <f t="shared" si="5"/>
        <v>6.395465994962217E-2</v>
      </c>
      <c r="AE13" s="1615">
        <f t="shared" si="5"/>
        <v>6.395465994962217E-2</v>
      </c>
      <c r="AF13" s="1615">
        <f t="shared" si="5"/>
        <v>6.395465994962217E-2</v>
      </c>
      <c r="AG13" s="1615">
        <f t="shared" si="5"/>
        <v>6.395465994962217E-2</v>
      </c>
      <c r="AH13" s="1615">
        <f t="shared" si="5"/>
        <v>6.395465994962217E-2</v>
      </c>
      <c r="AI13" s="1615">
        <f t="shared" si="5"/>
        <v>6.395465994962217E-2</v>
      </c>
      <c r="AJ13" s="1615">
        <f t="shared" si="5"/>
        <v>6.395465994962217E-2</v>
      </c>
    </row>
    <row r="14" spans="1:36" ht="15" hidden="1">
      <c r="A14" s="3378"/>
      <c r="B14" s="2732"/>
      <c r="C14" s="2733"/>
      <c r="D14" s="2734"/>
      <c r="E14" s="2734"/>
      <c r="F14" s="2735"/>
      <c r="G14" s="2736" t="s">
        <v>2848</v>
      </c>
      <c r="H14" s="2737"/>
      <c r="I14" s="2738"/>
      <c r="J14" s="2739"/>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hidden="1" thickBot="1">
      <c r="A15" s="3379"/>
      <c r="B15" s="2740" t="s">
        <v>2849</v>
      </c>
      <c r="C15" s="228">
        <f>IF(C14="有",1.1,1)</f>
        <v>1</v>
      </c>
      <c r="D15" s="228">
        <f>IF(D14="有",1.1,1)</f>
        <v>1</v>
      </c>
      <c r="E15" s="228">
        <f>IF(E14="有",1.1,1)</f>
        <v>1</v>
      </c>
      <c r="F15" s="228">
        <f>IF(F14="500米范围内",1.2,IF(F14="500-1000米",1.1,1))</f>
        <v>1</v>
      </c>
      <c r="G15" s="948">
        <v>1</v>
      </c>
      <c r="H15" s="948">
        <v>1</v>
      </c>
      <c r="I15" s="948">
        <v>1</v>
      </c>
      <c r="J15" s="949">
        <v>1</v>
      </c>
      <c r="K15" s="1372"/>
      <c r="L15" s="2741" t="s">
        <v>2785</v>
      </c>
      <c r="M15" s="919" t="s">
        <v>2850</v>
      </c>
      <c r="N15" s="919" t="s">
        <v>2851</v>
      </c>
      <c r="O15" s="919" t="s">
        <v>2852</v>
      </c>
      <c r="P15" s="2742" t="s">
        <v>2853</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373" t="s">
        <v>2854</v>
      </c>
      <c r="B16" s="2709" t="s">
        <v>2855</v>
      </c>
      <c r="C16" s="1803">
        <f>ROUND(SUM(G17:J17)/C17,0)</f>
        <v>17</v>
      </c>
      <c r="D16" s="2743" t="s">
        <v>2856</v>
      </c>
      <c r="E16" s="2744" t="s">
        <v>3367</v>
      </c>
      <c r="F16" s="2745" t="s">
        <v>3368</v>
      </c>
      <c r="G16" s="2746" t="s">
        <v>3322</v>
      </c>
      <c r="H16" s="2746"/>
      <c r="I16" s="2746"/>
      <c r="J16" s="2747"/>
      <c r="K16" s="1372"/>
      <c r="L16" s="2748" t="s">
        <v>2857</v>
      </c>
      <c r="M16" s="921">
        <v>0.25</v>
      </c>
      <c r="N16" s="921">
        <v>0.2</v>
      </c>
      <c r="O16" s="921">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374"/>
      <c r="B17" s="2749" t="s">
        <v>2858</v>
      </c>
      <c r="C17" s="923">
        <f>SUMPRODUCT((修正!A2:A5=E2)*(修正!B1:M1=G2)*(修正!B2:M5))</f>
        <v>3.5</v>
      </c>
      <c r="D17" s="2750" t="s">
        <v>2859</v>
      </c>
      <c r="E17" s="922" t="str">
        <f>IF(OR(G2="八级",G2="九级",G2="十级",G2="十一级",G2="十二级"),"五通一平","七通一平")</f>
        <v>七通一平</v>
      </c>
      <c r="F17" s="923" t="s">
        <v>2860</v>
      </c>
      <c r="G17" s="923">
        <f>SUMPRODUCT((七通一平=G16)*(修正!B1:M1=G2)*(修正!B6:M14))</f>
        <v>60</v>
      </c>
      <c r="H17" s="923">
        <f>SUMPRODUCT((七通一平=H16)*(修正!B1:M1=G2)*(修正!B6:M14))</f>
        <v>0</v>
      </c>
      <c r="I17" s="923">
        <f>SUMPRODUCT((七通一平=I16)*(修正!B1:M1=G2)*(修正!B6:M14))</f>
        <v>0</v>
      </c>
      <c r="J17" s="924">
        <f>SUMPRODUCT((七通一平=J16)*(修正!B1:M1=G2)*(修正!B6:M14))</f>
        <v>0</v>
      </c>
      <c r="K17" s="1372"/>
      <c r="L17" s="2751" t="s">
        <v>2861</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52"/>
      <c r="AF17" s="2752"/>
      <c r="AG17" s="2684"/>
      <c r="AH17" s="2684"/>
      <c r="AI17" s="2684"/>
      <c r="AJ17" s="2684"/>
    </row>
    <row r="18" spans="1:37" s="2702" customFormat="1" ht="15.75" thickBot="1">
      <c r="A18" s="2753" t="s">
        <v>808</v>
      </c>
      <c r="B18" s="2754" t="s">
        <v>2862</v>
      </c>
      <c r="C18" s="925">
        <f>SUMIF(修正!C18:C39,E3,修正!E18:E39)</f>
        <v>1</v>
      </c>
      <c r="D18" s="2755"/>
      <c r="E18" s="2756"/>
      <c r="F18" s="2757"/>
      <c r="G18" s="2758"/>
      <c r="H18" s="2758"/>
      <c r="I18" s="2758"/>
      <c r="J18" s="2759"/>
      <c r="K18" s="1379"/>
      <c r="O18" s="1377"/>
      <c r="P18" s="1377"/>
      <c r="Q18" s="1378"/>
      <c r="R18" s="1378"/>
      <c r="S18" s="1378"/>
      <c r="T18" s="1373"/>
      <c r="U18" s="1373"/>
      <c r="V18" s="1373"/>
      <c r="W18" s="1372"/>
      <c r="X18" s="1372"/>
      <c r="Y18" s="1372"/>
      <c r="Z18" s="1379"/>
      <c r="AA18" s="1380"/>
      <c r="AB18" s="1380"/>
      <c r="AC18" s="1380"/>
      <c r="AD18" s="1380"/>
      <c r="AE18" s="1374"/>
      <c r="AF18" s="1374"/>
      <c r="AG18" s="2760"/>
      <c r="AH18" s="2760"/>
      <c r="AI18" s="2760"/>
    </row>
    <row r="19" spans="1:37" s="2702" customFormat="1" ht="27.75" thickBot="1">
      <c r="A19" s="2753" t="s">
        <v>809</v>
      </c>
      <c r="B19" s="2754" t="s">
        <v>2863</v>
      </c>
      <c r="C19" s="926">
        <f>ROUND(IF(H19="按公示增长率计算",SUMPRODUCT((地价!A3:A24=YEAR(G19)&amp;"-"&amp;ROUNDUP(MONTH(G19)/3,0))*(地价!X2:AB2=E2)*(地价!X3:AB24)),IF(H19="地价指数",M20/M19,(1+I19)^O19)),4)</f>
        <v>1.3217000000000001</v>
      </c>
      <c r="D19" s="2761" t="s">
        <v>2864</v>
      </c>
      <c r="E19" s="927">
        <v>41640</v>
      </c>
      <c r="F19" s="2761" t="s">
        <v>2865</v>
      </c>
      <c r="G19" s="928">
        <f>'数据-取费表'!B2</f>
        <v>43395</v>
      </c>
      <c r="H19" s="2762" t="s">
        <v>2866</v>
      </c>
      <c r="I19" s="929" t="str">
        <f>IF(H19="季度增幅（自定义）",SUMIF(N21:N24,E2,O21:O24),"")</f>
        <v/>
      </c>
      <c r="J19" s="2759"/>
      <c r="K19" s="1379"/>
      <c r="L19" s="2763" t="s">
        <v>2867</v>
      </c>
      <c r="M19" s="1736">
        <f>ROUND(SUMIF(地价!B2:F2,E2,地价!B24:F24),0)</f>
        <v>258</v>
      </c>
      <c r="N19" s="2764" t="s">
        <v>2868</v>
      </c>
      <c r="O19" s="930">
        <f>ROUNDDOWN(DATEDIF(E19,G19,"M")/3,0)</f>
        <v>19</v>
      </c>
      <c r="P19" s="1376"/>
      <c r="Q19" s="1378"/>
      <c r="R19" s="1378"/>
      <c r="S19" s="1378"/>
      <c r="T19" s="1373"/>
      <c r="U19" s="1373"/>
      <c r="V19" s="1373"/>
      <c r="W19" s="1372"/>
      <c r="X19" s="1372"/>
      <c r="Y19" s="1372"/>
      <c r="Z19" s="1379"/>
      <c r="AA19" s="1380"/>
      <c r="AB19" s="1380"/>
      <c r="AC19" s="1380"/>
      <c r="AD19" s="1380"/>
      <c r="AE19" s="1380"/>
      <c r="AF19" s="2765"/>
      <c r="AG19" s="2766"/>
      <c r="AH19" s="2760"/>
      <c r="AI19" s="2767"/>
      <c r="AJ19" s="2767"/>
      <c r="AK19" s="2767"/>
    </row>
    <row r="20" spans="1:37" s="2702" customFormat="1" ht="27.75" thickBot="1">
      <c r="A20" s="2768" t="s">
        <v>810</v>
      </c>
      <c r="B20" s="2769" t="s">
        <v>2869</v>
      </c>
      <c r="C20" s="931">
        <f ca="1">ROUND(POWER(1+G20,J20-I20)*(POWER(1+G20,I20)-1)/(POWER(1+G20,J20)-1),4)</f>
        <v>0.90100000000000002</v>
      </c>
      <c r="D20" s="2770" t="s">
        <v>2870</v>
      </c>
      <c r="E20" s="1770">
        <f ca="1">存贷款利率!D4/100</f>
        <v>4.3499999999999997E-2</v>
      </c>
      <c r="F20" s="2770" t="s">
        <v>2861</v>
      </c>
      <c r="G20" s="936">
        <f ca="1">SUMIF(M15:P15,E2,M17:P17)</f>
        <v>5.1999999999999998E-2</v>
      </c>
      <c r="H20" s="2770" t="s">
        <v>2871</v>
      </c>
      <c r="I20" s="937">
        <f>SUMIF('数据-取费表'!C6:C15,E2,'数据-取费表'!F6:F15)/COUNTIF('数据-取费表'!C6:C15,E2)</f>
        <v>34.9</v>
      </c>
      <c r="J20" s="938">
        <f>IF(E2="住宅",70,IF(E2="商业",40,50))</f>
        <v>50</v>
      </c>
      <c r="K20" s="1379"/>
      <c r="L20" s="2771" t="s">
        <v>2872</v>
      </c>
      <c r="M20" s="1737">
        <f>ROUND(SUMPRODUCT((地价!A4:A24=YEAR(G19)&amp;"-"&amp;ROUNDUP(MONTH(G19)/3,0))*(地价!B2:F2=E2)*(地价!B4:F24)),0)</f>
        <v>341</v>
      </c>
      <c r="N20" s="2772" t="s">
        <v>2873</v>
      </c>
      <c r="O20" s="2773" t="s">
        <v>2874</v>
      </c>
      <c r="P20" s="2774" t="s">
        <v>2875</v>
      </c>
      <c r="R20" s="1378"/>
      <c r="S20" s="1378"/>
      <c r="T20" s="1373"/>
      <c r="U20" s="1373"/>
      <c r="V20" s="1373"/>
      <c r="W20" s="1372"/>
      <c r="X20" s="1372"/>
      <c r="Y20" s="1372"/>
      <c r="Z20" s="1379"/>
      <c r="AA20" s="1380"/>
      <c r="AB20" s="1380"/>
      <c r="AC20" s="1380"/>
      <c r="AD20" s="1380"/>
      <c r="AE20" s="1380"/>
      <c r="AF20" s="1380"/>
    </row>
    <row r="21" spans="1:37" s="2702" customFormat="1" ht="15">
      <c r="A21" s="2775" t="s">
        <v>811</v>
      </c>
      <c r="B21" s="2776" t="s">
        <v>3369</v>
      </c>
      <c r="C21" s="939">
        <f>IF(B21="容积率修正",IF(G3&lt;=10,D22,J22),C23)</f>
        <v>0.80610000000000004</v>
      </c>
      <c r="D21" s="2777"/>
      <c r="E21" s="2777"/>
      <c r="F21" s="2777"/>
      <c r="G21" s="2777"/>
      <c r="H21" s="2777"/>
      <c r="I21" s="2777"/>
      <c r="J21" s="2778"/>
      <c r="K21" s="1379"/>
      <c r="N21" s="2779" t="s">
        <v>2876</v>
      </c>
      <c r="O21" s="1563"/>
      <c r="P21" s="1564">
        <f>SUMPRODUCT((地价!A3:A24=YEAR(G19)&amp;"-"&amp;ROUNDUP(MONTH(G19)/3,0))*(地价!AD2:AH2=N21)*(地价!AD3:AH24))</f>
        <v>1.5299999999999999E-2</v>
      </c>
      <c r="R21" s="1378"/>
      <c r="S21" s="1378"/>
      <c r="T21" s="1373"/>
      <c r="U21" s="1373"/>
      <c r="V21" s="1373"/>
      <c r="W21" s="1372"/>
      <c r="X21" s="1372"/>
      <c r="Y21" s="1372"/>
      <c r="Z21" s="1379"/>
      <c r="AA21" s="1380"/>
      <c r="AB21" s="1380"/>
      <c r="AC21" s="1380"/>
      <c r="AD21" s="1380"/>
      <c r="AE21" s="1380"/>
      <c r="AF21" s="1380"/>
    </row>
    <row r="22" spans="1:37" s="2702" customFormat="1" ht="14.25">
      <c r="A22" s="2628" t="s">
        <v>2877</v>
      </c>
      <c r="B22" s="2780" t="s">
        <v>2878</v>
      </c>
      <c r="C22" s="1812" t="s">
        <v>2879</v>
      </c>
      <c r="D22" s="1812" t="str">
        <f>IF(E22=G22,F22,IF(G3&lt;=10,ROUND(F22+(H22-F22)*(G3-E22)/(G22-E22),4),"——"))</f>
        <v>——</v>
      </c>
      <c r="E22" s="915">
        <f>ROUNDDOWN(G3,1)</f>
        <v>11.9</v>
      </c>
      <c r="F22" s="1812"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5">
        <f>ROUNDUP(G3,1)</f>
        <v>12</v>
      </c>
      <c r="H22" s="1812"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12" t="s">
        <v>155</v>
      </c>
      <c r="J22" s="940">
        <f>IF(G3&gt;10,D113,"——")</f>
        <v>0.80610000000000004</v>
      </c>
      <c r="K22" s="1379"/>
      <c r="N22" s="2779" t="s">
        <v>2880</v>
      </c>
      <c r="O22" s="1563"/>
      <c r="P22" s="1564">
        <f>SUMPRODUCT((地价!A3:A24=YEAR(G19)&amp;"-"&amp;ROUNDUP(MONTH(G19)/3,0))*(地价!AD2:AH2=N22)*(地价!AD3:AH24))</f>
        <v>1.5299999999999999E-2</v>
      </c>
      <c r="R22" s="1378"/>
      <c r="S22" s="1378"/>
      <c r="T22" s="1373"/>
      <c r="U22" s="1373"/>
      <c r="V22" s="1373"/>
      <c r="W22" s="1372"/>
      <c r="X22" s="1372"/>
      <c r="Y22" s="1372"/>
      <c r="Z22" s="1379"/>
      <c r="AA22" s="1380"/>
      <c r="AB22" s="1380"/>
      <c r="AC22" s="1380"/>
      <c r="AD22" s="1380"/>
      <c r="AE22" s="1380"/>
      <c r="AF22" s="1380"/>
    </row>
    <row r="23" spans="1:37" ht="27.75" thickBot="1">
      <c r="A23" s="2628" t="s">
        <v>2881</v>
      </c>
      <c r="B23" s="2781" t="s">
        <v>2882</v>
      </c>
      <c r="C23" s="1015">
        <f>ROUND(IF(G3&gt;1,IF(I3&lt;7,SUMPRODUCT((B93:B98=I3)*(C92:N92=G2)*(C93:N98)),SUMIF(C92:N92,G2,C100:N100)),IF(I3&lt;7,SUMPRODUCT((B102:B107=I3)*(C92:N92=G2)*(C102:N107)),SUMIF(C92:N92,G2,C109:N109))),4)</f>
        <v>0</v>
      </c>
      <c r="D23" s="2737"/>
      <c r="E23" s="2737"/>
      <c r="F23" s="2782"/>
      <c r="G23" s="2783"/>
      <c r="H23" s="2784"/>
      <c r="I23" s="2785"/>
      <c r="J23" s="2786"/>
      <c r="K23" s="1372"/>
      <c r="N23" s="2779" t="s">
        <v>2883</v>
      </c>
      <c r="O23" s="1563"/>
      <c r="P23" s="1564">
        <f>SUMPRODUCT((地价!A3:A24=YEAR(G19)&amp;"-"&amp;ROUNDUP(MONTH(G19)/3,0))*(地价!AD2:AH2=N23)*(地价!AD3:AH24))</f>
        <v>2.41E-2</v>
      </c>
      <c r="R23" s="1378"/>
      <c r="S23" s="1378"/>
      <c r="T23" s="1373"/>
      <c r="U23" s="1373"/>
      <c r="V23" s="1373"/>
      <c r="W23" s="1372"/>
      <c r="X23" s="1372"/>
      <c r="Y23" s="1372"/>
      <c r="Z23" s="1379"/>
      <c r="AA23" s="1380"/>
      <c r="AB23" s="1380"/>
      <c r="AC23" s="1380"/>
      <c r="AD23" s="1380"/>
      <c r="AK23" s="2760"/>
    </row>
    <row r="24" spans="1:37" s="2702" customFormat="1" ht="15.75" thickBot="1">
      <c r="A24" s="2768" t="s">
        <v>812</v>
      </c>
      <c r="B24" s="2754" t="s">
        <v>2884</v>
      </c>
      <c r="C24" s="926">
        <f>SUMIF(A45:A88,E2,B45:B88)</f>
        <v>1.0905</v>
      </c>
      <c r="D24" s="2757"/>
      <c r="E24" s="2787"/>
      <c r="F24" s="2787"/>
      <c r="G24" s="2787"/>
      <c r="H24" s="2787"/>
      <c r="I24" s="2787"/>
      <c r="J24" s="2788"/>
      <c r="K24" s="1379"/>
      <c r="N24" s="2789" t="s">
        <v>2885</v>
      </c>
      <c r="O24" s="1565"/>
      <c r="P24" s="1566">
        <f>SUMPRODUCT((地价!A3:A24=YEAR(G19)&amp;"-"&amp;ROUNDUP(MONTH(G19)/3,0))*(地价!AD2:AH2=N24)*(地价!AD3:AH24))</f>
        <v>1.4200000000000001E-2</v>
      </c>
      <c r="R24" s="1378"/>
      <c r="S24" s="1378"/>
      <c r="T24" s="1373"/>
      <c r="U24" s="1373"/>
      <c r="V24" s="1373"/>
      <c r="W24" s="1372"/>
      <c r="X24" s="1372"/>
      <c r="Y24" s="1372"/>
      <c r="Z24" s="1379"/>
      <c r="AA24" s="1380"/>
      <c r="AB24" s="1380"/>
      <c r="AC24" s="1380"/>
      <c r="AD24" s="1380"/>
      <c r="AE24" s="1380"/>
      <c r="AF24" s="1380"/>
    </row>
    <row r="25" spans="1:37" ht="15.75" thickBot="1">
      <c r="A25" s="2768" t="s">
        <v>813</v>
      </c>
      <c r="B25" s="2790" t="s">
        <v>2886</v>
      </c>
      <c r="C25" s="932"/>
      <c r="D25" s="2712"/>
      <c r="E25" s="2712"/>
      <c r="F25" s="2791"/>
      <c r="G25" s="2712"/>
      <c r="H25" s="2712"/>
      <c r="I25" s="2712"/>
      <c r="J25" s="2713"/>
      <c r="K25" s="1372"/>
      <c r="N25" s="2792" t="s">
        <v>2887</v>
      </c>
      <c r="O25" s="1567"/>
      <c r="P25" s="1566">
        <f>SUMPRODUCT((地价!A3:A24=YEAR(G19)&amp;"-"&amp;ROUNDUP(MONTH(G19)/3,0))*(地价!AD2:AH2=N25)*(地价!AD3:AH24))</f>
        <v>2.1899999999999999E-2</v>
      </c>
      <c r="R25" s="1378"/>
      <c r="S25" s="1378"/>
      <c r="T25" s="1373"/>
      <c r="U25" s="1373"/>
      <c r="V25" s="1373"/>
      <c r="W25" s="1372"/>
      <c r="X25" s="1372"/>
      <c r="Y25" s="1372"/>
      <c r="Z25" s="1379"/>
      <c r="AA25" s="1380"/>
      <c r="AB25" s="1380"/>
      <c r="AC25" s="1380"/>
      <c r="AD25" s="1380"/>
    </row>
    <row r="26" spans="1:37" ht="15">
      <c r="A26" s="2793"/>
      <c r="B26" s="2780" t="s">
        <v>2888</v>
      </c>
      <c r="C26" s="205">
        <f ca="1">E29+SUM(E33:E39)</f>
        <v>22534</v>
      </c>
      <c r="D26" s="2794"/>
      <c r="E26" s="2737"/>
      <c r="F26" s="2795"/>
      <c r="G26" s="2737"/>
      <c r="H26" s="2737"/>
      <c r="I26" s="2737"/>
      <c r="J26" s="2796"/>
      <c r="K26" s="1372"/>
      <c r="R26" s="1378"/>
      <c r="S26" s="1378"/>
      <c r="T26" s="1373"/>
      <c r="U26" s="1373"/>
      <c r="V26" s="1373"/>
      <c r="W26" s="1372"/>
      <c r="X26" s="1372"/>
      <c r="Y26" s="1372"/>
      <c r="Z26" s="1379"/>
      <c r="AA26" s="1380"/>
      <c r="AB26" s="1380"/>
      <c r="AC26" s="1380"/>
      <c r="AD26" s="1380"/>
    </row>
    <row r="27" spans="1:37" ht="15.75" thickBot="1">
      <c r="A27" s="2793"/>
      <c r="B27" s="2797" t="s">
        <v>2889</v>
      </c>
      <c r="C27" s="933">
        <f ca="1">E30+SUM(I33:I39)</f>
        <v>5634</v>
      </c>
      <c r="D27" s="2798"/>
      <c r="E27" s="2799"/>
      <c r="F27" s="2800"/>
      <c r="G27" s="2799"/>
      <c r="H27" s="2799"/>
      <c r="I27" s="2799"/>
      <c r="J27" s="2801"/>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02"/>
      <c r="B28" s="2803" t="s">
        <v>2890</v>
      </c>
      <c r="C28" s="2804" t="s">
        <v>2891</v>
      </c>
      <c r="D28" s="2804" t="s">
        <v>2892</v>
      </c>
      <c r="E28" s="2805" t="s">
        <v>2893</v>
      </c>
      <c r="F28" s="2806"/>
      <c r="G28" s="2725"/>
      <c r="H28" s="2725"/>
      <c r="I28" s="2725"/>
      <c r="J28" s="2726"/>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07"/>
      <c r="B29" s="2808" t="s">
        <v>2894</v>
      </c>
      <c r="C29" s="205">
        <f ca="1">ROUND(C5*C18*C19*C20*C21*C24,0)</f>
        <v>31157</v>
      </c>
      <c r="D29" s="2809"/>
      <c r="E29" s="944">
        <f ca="1">ROUND(C29*D29/10000,0)</f>
        <v>0</v>
      </c>
      <c r="F29" s="2810" t="s">
        <v>2895</v>
      </c>
      <c r="G29" s="2811"/>
      <c r="H29" s="2811"/>
      <c r="I29" s="2811"/>
      <c r="J29" s="2812"/>
      <c r="K29" s="1372"/>
      <c r="L29" s="1372"/>
      <c r="M29" s="1372"/>
      <c r="N29" s="1372"/>
      <c r="O29" s="1377"/>
      <c r="P29" s="1377"/>
      <c r="Q29" s="1378"/>
      <c r="R29" s="1378"/>
      <c r="S29" s="1378"/>
      <c r="T29" s="1373"/>
      <c r="U29" s="1373"/>
      <c r="V29" s="1373"/>
      <c r="W29" s="1372"/>
      <c r="X29" s="1372"/>
      <c r="Y29" s="1372"/>
      <c r="Z29" s="1379"/>
      <c r="AA29" s="1380"/>
      <c r="AB29" s="1380"/>
      <c r="AC29" s="1380"/>
      <c r="AD29" s="1380"/>
      <c r="AE29" s="2752"/>
      <c r="AF29" s="2752"/>
      <c r="AG29" s="2684"/>
      <c r="AH29" s="2684"/>
      <c r="AI29" s="2684"/>
      <c r="AJ29" s="2684"/>
    </row>
    <row r="30" spans="1:37" ht="25.5" thickBot="1">
      <c r="A30" s="2813"/>
      <c r="B30" s="2814" t="s">
        <v>2896</v>
      </c>
      <c r="C30" s="228">
        <f ca="1">ROUND(IF(E2="工业",C29*M39,C29*M38),0)</f>
        <v>7789</v>
      </c>
      <c r="D30" s="2815"/>
      <c r="E30" s="944">
        <f ca="1">ROUND(C30*D30/10000,0)</f>
        <v>0</v>
      </c>
      <c r="F30" s="2816" t="s">
        <v>2897</v>
      </c>
      <c r="G30" s="2817"/>
      <c r="H30" s="2817"/>
      <c r="I30" s="2817"/>
      <c r="J30" s="2818"/>
      <c r="K30" s="1372"/>
      <c r="L30" s="1372"/>
      <c r="M30" s="1372"/>
      <c r="N30" s="1372"/>
      <c r="O30" s="1377"/>
      <c r="P30" s="1377"/>
      <c r="Q30" s="1378"/>
      <c r="R30" s="1378"/>
      <c r="S30" s="1378"/>
      <c r="T30" s="1373"/>
      <c r="U30" s="1373"/>
      <c r="V30" s="1373"/>
      <c r="W30" s="1372"/>
      <c r="X30" s="1372"/>
      <c r="Y30" s="1372"/>
      <c r="Z30" s="1379"/>
      <c r="AA30" s="1380"/>
      <c r="AB30" s="1380"/>
      <c r="AC30" s="1380"/>
      <c r="AD30" s="1380"/>
      <c r="AE30" s="2752"/>
      <c r="AF30" s="2752"/>
      <c r="AG30" s="2684"/>
      <c r="AH30" s="2684"/>
      <c r="AI30" s="2684"/>
      <c r="AJ30" s="2684"/>
    </row>
    <row r="31" spans="1:37" ht="14.25">
      <c r="A31" s="2819"/>
      <c r="B31" s="2820" t="s">
        <v>2898</v>
      </c>
      <c r="C31" s="2821" t="s">
        <v>2899</v>
      </c>
      <c r="D31" s="2725"/>
      <c r="E31" s="2821"/>
      <c r="F31" s="2821"/>
      <c r="G31" s="2723" t="s">
        <v>2900</v>
      </c>
      <c r="H31" s="2725"/>
      <c r="I31" s="2822"/>
      <c r="J31" s="2726"/>
      <c r="K31" s="1372"/>
      <c r="L31" s="1372"/>
      <c r="M31" s="1372"/>
      <c r="N31" s="1372"/>
      <c r="O31" s="1377"/>
      <c r="P31" s="1377"/>
      <c r="Q31" s="1378"/>
      <c r="R31" s="1378"/>
      <c r="S31" s="1378"/>
      <c r="T31" s="1373"/>
      <c r="U31" s="1373"/>
      <c r="V31" s="1373"/>
      <c r="W31" s="1372"/>
      <c r="X31" s="1372"/>
      <c r="Y31" s="1372"/>
      <c r="Z31" s="1379"/>
      <c r="AA31" s="1380"/>
      <c r="AB31" s="1380"/>
      <c r="AC31" s="1380"/>
      <c r="AD31" s="1380"/>
      <c r="AE31" s="2752"/>
      <c r="AF31" s="2752"/>
      <c r="AG31" s="2684"/>
      <c r="AH31" s="2684"/>
      <c r="AI31" s="2684"/>
      <c r="AJ31" s="2684"/>
    </row>
    <row r="32" spans="1:37" ht="24">
      <c r="A32" s="2807"/>
      <c r="B32" s="2823"/>
      <c r="C32" s="500" t="s">
        <v>2891</v>
      </c>
      <c r="D32" s="497" t="s">
        <v>2892</v>
      </c>
      <c r="E32" s="497" t="s">
        <v>2893</v>
      </c>
      <c r="F32" s="387" t="s">
        <v>2901</v>
      </c>
      <c r="G32" s="2824" t="s">
        <v>2891</v>
      </c>
      <c r="H32" s="2824" t="s">
        <v>2892</v>
      </c>
      <c r="I32" s="2824" t="s">
        <v>2893</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52"/>
      <c r="AF32" s="2752"/>
      <c r="AG32" s="2684"/>
      <c r="AH32" s="2684"/>
      <c r="AI32" s="2684"/>
      <c r="AJ32" s="2684"/>
    </row>
    <row r="33" spans="1:37" ht="36" customHeight="1">
      <c r="A33" s="3384" t="s">
        <v>2902</v>
      </c>
      <c r="B33" s="2825" t="s">
        <v>2903</v>
      </c>
      <c r="C33" s="205">
        <f ca="1">ROUND(D5*C19*C20*C24*F33,0)</f>
        <v>0</v>
      </c>
      <c r="D33" s="2809"/>
      <c r="E33" s="199">
        <f ca="1">ROUND(C33*D33/10000,0)</f>
        <v>0</v>
      </c>
      <c r="F33" s="199">
        <f>SUMIF(修正!A45:A56,G2,修正!B45:B56)</f>
        <v>0.8</v>
      </c>
      <c r="G33" s="199">
        <f t="shared" ref="G33" ca="1" si="6">ROUND(IF(E2="工业",C33*$M$39,C33*$M$38),0)</f>
        <v>0</v>
      </c>
      <c r="H33" s="199">
        <f>D33</f>
        <v>0</v>
      </c>
      <c r="I33" s="199">
        <f ca="1">ROUND(G33*H33/10000,0)</f>
        <v>0</v>
      </c>
      <c r="J33" s="2826"/>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385"/>
      <c r="B34" s="2729" t="s">
        <v>2904</v>
      </c>
      <c r="C34" s="205">
        <f ca="1">ROUND(D5*C19*C20*C24*F34,0)</f>
        <v>0</v>
      </c>
      <c r="D34" s="2809"/>
      <c r="E34" s="199">
        <f t="shared" ref="E34:E39" ca="1" si="7">ROUND(C34*D34/10000,0)</f>
        <v>0</v>
      </c>
      <c r="F34" s="199">
        <f>SUMIF(修正!A45:A56,G2,修正!C45:C56)</f>
        <v>0.5</v>
      </c>
      <c r="G34" s="199">
        <f ca="1">ROUND(IF(E2="工业",C34*$M$39,C34*$M$38),0)</f>
        <v>0</v>
      </c>
      <c r="H34" s="199">
        <f t="shared" ref="H34:H39" si="8">D34</f>
        <v>0</v>
      </c>
      <c r="I34" s="199">
        <f t="shared" ref="I34:I39" ca="1" si="9">ROUND(G34*H34/10000,0)</f>
        <v>0</v>
      </c>
      <c r="J34" s="2826"/>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385"/>
      <c r="B35" s="2729" t="s">
        <v>2905</v>
      </c>
      <c r="C35" s="205">
        <f ca="1">ROUND(D5*C19*C20*C24*F35,0)</f>
        <v>0</v>
      </c>
      <c r="D35" s="2809"/>
      <c r="E35" s="199">
        <f t="shared" ca="1" si="7"/>
        <v>0</v>
      </c>
      <c r="F35" s="199">
        <f>SUMIF(修正!A45:A56,G2,修正!D45:D56)</f>
        <v>0.36</v>
      </c>
      <c r="G35" s="199">
        <f ca="1">ROUND(IF(E2="工业",C35*$M$39,C35*$M$38),0)</f>
        <v>0</v>
      </c>
      <c r="H35" s="199">
        <f t="shared" si="8"/>
        <v>0</v>
      </c>
      <c r="I35" s="199">
        <f t="shared" ca="1" si="9"/>
        <v>0</v>
      </c>
      <c r="J35" s="2826"/>
      <c r="K35" s="1372"/>
      <c r="L35" s="1372"/>
      <c r="M35" s="1372"/>
      <c r="N35" s="1372"/>
      <c r="O35" s="1372"/>
      <c r="P35" s="1372"/>
      <c r="Q35" s="1372"/>
      <c r="R35" s="1372"/>
      <c r="S35" s="1372"/>
      <c r="T35" s="1372"/>
      <c r="U35" s="1372"/>
      <c r="V35" s="1372"/>
      <c r="W35" s="1372"/>
      <c r="X35" s="1372"/>
      <c r="Y35" s="1372"/>
      <c r="Z35" s="1373"/>
    </row>
    <row r="36" spans="1:37" ht="13.5" thickBot="1">
      <c r="A36" s="3386"/>
      <c r="B36" s="2729" t="s">
        <v>2906</v>
      </c>
      <c r="C36" s="205">
        <f ca="1">ROUND(D5*C19*C20*C24*F36,0)</f>
        <v>0</v>
      </c>
      <c r="D36" s="2809"/>
      <c r="E36" s="199">
        <f t="shared" ca="1" si="7"/>
        <v>0</v>
      </c>
      <c r="F36" s="199">
        <f>SUMIF(修正!A45:A56,G2,修正!E45:E56)</f>
        <v>0.3</v>
      </c>
      <c r="G36" s="199">
        <f ca="1">ROUND(IF(E2="工业",C36*$M$39,C36*$M$38),0)</f>
        <v>0</v>
      </c>
      <c r="H36" s="199">
        <f t="shared" si="8"/>
        <v>0</v>
      </c>
      <c r="I36" s="199">
        <f t="shared" ca="1" si="9"/>
        <v>0</v>
      </c>
      <c r="J36" s="2826"/>
      <c r="K36" s="1372"/>
      <c r="L36" s="2683"/>
      <c r="M36" s="2683"/>
      <c r="N36" s="1372"/>
      <c r="O36" s="1372"/>
      <c r="P36" s="1372"/>
      <c r="Q36" s="1372"/>
      <c r="R36" s="1372"/>
      <c r="S36" s="1372"/>
      <c r="T36" s="1372"/>
      <c r="U36" s="1372"/>
      <c r="V36" s="1372"/>
      <c r="W36" s="1372"/>
      <c r="X36" s="1372"/>
      <c r="Y36" s="1372"/>
      <c r="Z36" s="1373"/>
    </row>
    <row r="37" spans="1:37">
      <c r="A37" s="2827"/>
      <c r="B37" s="2729" t="s">
        <v>2907</v>
      </c>
      <c r="C37" s="199">
        <f ca="1">ROUND(C5*C19*C20*C24*F37,0)</f>
        <v>11595</v>
      </c>
      <c r="D37" s="2809"/>
      <c r="E37" s="199">
        <f t="shared" ca="1" si="7"/>
        <v>0</v>
      </c>
      <c r="F37" s="205">
        <f>SUMIF(修正!A45:A56,G2,修正!F45:F56)</f>
        <v>0.3</v>
      </c>
      <c r="G37" s="199">
        <f ca="1">ROUND(IF(E2="工业",C37*$M$39,C37*$M$38),0)</f>
        <v>2899</v>
      </c>
      <c r="H37" s="199">
        <f t="shared" si="8"/>
        <v>0</v>
      </c>
      <c r="I37" s="199">
        <f t="shared" ca="1" si="9"/>
        <v>0</v>
      </c>
      <c r="J37" s="2826"/>
      <c r="K37" s="1372"/>
      <c r="L37" s="2828" t="s">
        <v>2908</v>
      </c>
      <c r="M37" s="2829"/>
      <c r="N37" s="1372"/>
      <c r="O37" s="1372"/>
      <c r="P37" s="1372"/>
      <c r="Q37" s="1372"/>
      <c r="R37" s="1372"/>
      <c r="S37" s="1372"/>
      <c r="T37" s="1372"/>
      <c r="U37" s="1372"/>
      <c r="V37" s="1372"/>
      <c r="W37" s="1372"/>
      <c r="X37" s="1372"/>
      <c r="Y37" s="1372"/>
      <c r="Z37" s="1373"/>
    </row>
    <row r="38" spans="1:37">
      <c r="A38" s="2827"/>
      <c r="B38" s="2729" t="s">
        <v>2909</v>
      </c>
      <c r="C38" s="199">
        <f ca="1">ROUND(C5*C19*C20*C24*F38,0)</f>
        <v>11595</v>
      </c>
      <c r="D38" s="2809"/>
      <c r="E38" s="199">
        <f t="shared" ca="1" si="7"/>
        <v>0</v>
      </c>
      <c r="F38" s="205">
        <f>SUMIF(修正!A45:A56,G2,修正!G45:G56)</f>
        <v>0.3</v>
      </c>
      <c r="G38" s="199">
        <f ca="1">ROUND(IF(E2="工业",C38*$M$39,C38*$M$38),0)</f>
        <v>2899</v>
      </c>
      <c r="H38" s="199">
        <f t="shared" si="8"/>
        <v>0</v>
      </c>
      <c r="I38" s="199">
        <f t="shared" ca="1" si="9"/>
        <v>0</v>
      </c>
      <c r="J38" s="2826"/>
      <c r="K38" s="1372"/>
      <c r="L38" s="1889" t="s">
        <v>2910</v>
      </c>
      <c r="M38" s="2830">
        <v>0.25</v>
      </c>
      <c r="N38" s="1372"/>
      <c r="O38" s="1372"/>
      <c r="P38" s="1372"/>
      <c r="Q38" s="1372"/>
      <c r="R38" s="1372"/>
      <c r="S38" s="1372"/>
      <c r="T38" s="1372"/>
      <c r="U38" s="1372"/>
      <c r="V38" s="1372"/>
      <c r="W38" s="1372"/>
      <c r="X38" s="1372"/>
      <c r="Y38" s="1372"/>
      <c r="Z38" s="1373"/>
    </row>
    <row r="39" spans="1:37" ht="13.5" thickBot="1">
      <c r="A39" s="2813"/>
      <c r="B39" s="2831" t="s">
        <v>2911</v>
      </c>
      <c r="C39" s="228">
        <f ca="1">ROUND(C5*C19*C20*C24*F39,0)</f>
        <v>9663</v>
      </c>
      <c r="D39" s="2815">
        <f>'数据-汇总表'!G21</f>
        <v>23320.11</v>
      </c>
      <c r="E39" s="228">
        <f t="shared" ca="1" si="7"/>
        <v>22534</v>
      </c>
      <c r="F39" s="934">
        <f>SUMIF(修正!A45:A56,G2,修正!H45:H56)</f>
        <v>0.25</v>
      </c>
      <c r="G39" s="228">
        <f ca="1">ROUND(IF(E2="工业",C39*$M$39,C39*$M$38),0)</f>
        <v>2416</v>
      </c>
      <c r="H39" s="228">
        <f t="shared" si="8"/>
        <v>23320.11</v>
      </c>
      <c r="I39" s="228">
        <f t="shared" ca="1" si="9"/>
        <v>5634</v>
      </c>
      <c r="J39" s="2832"/>
      <c r="K39" s="1372"/>
      <c r="L39" s="2833" t="s">
        <v>2853</v>
      </c>
      <c r="M39" s="2834">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35"/>
      <c r="Z41" s="1373"/>
      <c r="AA41" s="1373"/>
      <c r="AB41" s="1373"/>
      <c r="AC41" s="1373"/>
      <c r="AD41" s="1373"/>
      <c r="AE41" s="1373"/>
      <c r="AF41" s="1373"/>
      <c r="AG41" s="1373"/>
      <c r="AH41" s="1373"/>
      <c r="AI41" s="1373"/>
      <c r="AJ41" s="1373"/>
    </row>
    <row r="42" spans="1:37" s="1372" customFormat="1">
      <c r="A42" s="1373"/>
      <c r="B42" s="2835"/>
      <c r="Z42" s="1373"/>
      <c r="AA42" s="1373"/>
      <c r="AB42" s="1373"/>
      <c r="AC42" s="1373"/>
      <c r="AD42" s="1373"/>
      <c r="AE42" s="1373"/>
      <c r="AF42" s="1373"/>
      <c r="AG42" s="1373"/>
      <c r="AH42" s="1373"/>
      <c r="AI42" s="1373"/>
      <c r="AJ42" s="1373"/>
    </row>
    <row r="43" spans="1:37" s="1372" customFormat="1">
      <c r="A43" s="1373"/>
      <c r="B43" s="2835"/>
      <c r="Z43" s="1373"/>
      <c r="AA43" s="1373"/>
      <c r="AB43" s="1373"/>
      <c r="AC43" s="1373"/>
      <c r="AD43" s="1373"/>
      <c r="AE43" s="1373"/>
      <c r="AF43" s="1373"/>
      <c r="AG43" s="1373"/>
      <c r="AH43" s="1373"/>
      <c r="AI43" s="1373"/>
      <c r="AJ43" s="1373"/>
    </row>
    <row r="44" spans="1:37" s="1372" customFormat="1">
      <c r="A44" s="1373"/>
      <c r="B44" s="2835"/>
      <c r="Z44" s="1373"/>
      <c r="AA44" s="1373"/>
      <c r="AB44" s="1373"/>
      <c r="AC44" s="1373"/>
      <c r="AD44" s="1373"/>
      <c r="AE44" s="1373"/>
      <c r="AF44" s="1373"/>
      <c r="AG44" s="1373"/>
      <c r="AH44" s="1373"/>
      <c r="AI44" s="1373"/>
      <c r="AJ44" s="1373"/>
    </row>
    <row r="45" spans="1:37" s="1372" customFormat="1" ht="15.75" thickBot="1">
      <c r="A45" s="2836" t="s">
        <v>2912</v>
      </c>
      <c r="B45" s="2837"/>
      <c r="C45" s="7"/>
      <c r="D45" s="7"/>
      <c r="E45" s="7"/>
      <c r="F45" s="6"/>
      <c r="G45" s="6"/>
      <c r="H45" s="6"/>
      <c r="I45" s="7"/>
      <c r="J45" s="7"/>
      <c r="K45" s="7"/>
      <c r="L45" s="7"/>
      <c r="M45" s="7"/>
      <c r="N45" s="2752"/>
      <c r="Z45" s="1373"/>
      <c r="AA45" s="1373"/>
      <c r="AB45" s="1373"/>
      <c r="AC45" s="1373"/>
      <c r="AD45" s="1373"/>
      <c r="AE45" s="1373"/>
      <c r="AF45" s="1373"/>
      <c r="AG45" s="1373"/>
      <c r="AH45" s="1373"/>
      <c r="AI45" s="1373"/>
      <c r="AJ45" s="1373"/>
    </row>
    <row r="46" spans="1:37" s="1372" customFormat="1" ht="15">
      <c r="A46" s="2838" t="s">
        <v>2913</v>
      </c>
      <c r="B46" s="2839">
        <f>1+E48</f>
        <v>1</v>
      </c>
      <c r="C46" s="2840"/>
      <c r="D46" s="813"/>
      <c r="E46" s="814"/>
      <c r="F46" s="2841"/>
      <c r="G46" s="6"/>
      <c r="H46" s="7"/>
      <c r="I46" s="7"/>
      <c r="J46" s="7"/>
      <c r="K46" s="7"/>
      <c r="L46" s="7"/>
      <c r="M46" s="7"/>
      <c r="N46" s="2752"/>
      <c r="Z46" s="1373"/>
      <c r="AA46" s="1373"/>
      <c r="AB46" s="1373"/>
      <c r="AC46" s="1373"/>
      <c r="AD46" s="1373"/>
      <c r="AE46" s="1373"/>
      <c r="AF46" s="1373"/>
      <c r="AG46" s="1373"/>
      <c r="AH46" s="1373"/>
      <c r="AI46" s="1373"/>
      <c r="AJ46" s="1373"/>
    </row>
    <row r="47" spans="1:37" s="1372" customFormat="1" ht="24.75">
      <c r="A47" s="2842" t="s">
        <v>2914</v>
      </c>
      <c r="B47" s="1811" t="s">
        <v>2915</v>
      </c>
      <c r="C47" s="1811" t="s">
        <v>2916</v>
      </c>
      <c r="D47" s="1811" t="s">
        <v>2917</v>
      </c>
      <c r="E47" s="818" t="s">
        <v>2918</v>
      </c>
      <c r="F47" s="2843" t="s">
        <v>2919</v>
      </c>
      <c r="G47" s="1811" t="s">
        <v>754</v>
      </c>
      <c r="H47" s="2844" t="s">
        <v>2920</v>
      </c>
      <c r="I47" s="1811" t="s">
        <v>2921</v>
      </c>
      <c r="J47" s="602" t="s">
        <v>2568</v>
      </c>
      <c r="K47" s="602" t="s">
        <v>2569</v>
      </c>
      <c r="L47" s="602" t="s">
        <v>2570</v>
      </c>
      <c r="M47" s="602" t="s">
        <v>2571</v>
      </c>
      <c r="N47" s="602" t="s">
        <v>2572</v>
      </c>
      <c r="AA47" s="1373"/>
      <c r="AB47" s="1373"/>
      <c r="AC47" s="1373"/>
      <c r="AD47" s="1373"/>
      <c r="AE47" s="1373"/>
      <c r="AF47" s="1373"/>
      <c r="AG47" s="1373"/>
      <c r="AH47" s="1373"/>
      <c r="AI47" s="1373"/>
      <c r="AJ47" s="1373"/>
      <c r="AK47" s="1373"/>
    </row>
    <row r="48" spans="1:37" s="1372" customFormat="1" ht="24.75">
      <c r="A48" s="2842" t="s">
        <v>2922</v>
      </c>
      <c r="B48" s="2845" t="str">
        <f>估价对象房地状况!C4</f>
        <v>好</v>
      </c>
      <c r="C48" s="2734"/>
      <c r="D48" s="1288">
        <f t="shared" ref="D48:D56" si="10">SUMIF($J$47:$N$47,C48,J48:N48)</f>
        <v>0</v>
      </c>
      <c r="E48" s="820">
        <f>ROUND(SUM(D48:D56),4)</f>
        <v>0</v>
      </c>
      <c r="F48" s="2465"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42" t="s">
        <v>2923</v>
      </c>
      <c r="B49" s="2846" t="str">
        <f>估价对象房地状况!C18</f>
        <v>好</v>
      </c>
      <c r="C49" s="2734"/>
      <c r="D49" s="1288">
        <f t="shared" si="10"/>
        <v>0</v>
      </c>
      <c r="E49" s="821"/>
      <c r="F49" s="2465"/>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42" t="s">
        <v>2924</v>
      </c>
      <c r="B50" s="2846" t="str">
        <f>估价对象房地状况!C19</f>
        <v>一致</v>
      </c>
      <c r="C50" s="2734"/>
      <c r="D50" s="1288">
        <f t="shared" si="10"/>
        <v>0</v>
      </c>
      <c r="E50" s="821"/>
      <c r="F50" s="2465"/>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42" t="s">
        <v>2925</v>
      </c>
      <c r="B51" s="2847" t="s">
        <v>2926</v>
      </c>
      <c r="C51" s="2734"/>
      <c r="D51" s="1288">
        <f t="shared" si="10"/>
        <v>0</v>
      </c>
      <c r="E51" s="821"/>
      <c r="F51" s="2465"/>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42" t="s">
        <v>2927</v>
      </c>
      <c r="B52" s="2846" t="str">
        <f>估价对象房地状况!C24</f>
        <v>主干道</v>
      </c>
      <c r="C52" s="2734"/>
      <c r="D52" s="1288">
        <f t="shared" si="10"/>
        <v>0</v>
      </c>
      <c r="E52" s="821"/>
      <c r="F52" s="2465"/>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42" t="s">
        <v>2928</v>
      </c>
      <c r="B53" s="2848" t="s">
        <v>2929</v>
      </c>
      <c r="C53" s="2734"/>
      <c r="D53" s="1288">
        <f t="shared" si="10"/>
        <v>0</v>
      </c>
      <c r="E53" s="821"/>
      <c r="F53" s="2465"/>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49" t="s">
        <v>2930</v>
      </c>
      <c r="B54" s="1727" t="str">
        <f>估价对象房地状况!C21</f>
        <v>好</v>
      </c>
      <c r="C54" s="2734"/>
      <c r="D54" s="1288">
        <f t="shared" si="10"/>
        <v>0</v>
      </c>
      <c r="E54" s="821"/>
      <c r="F54" s="2465"/>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49" t="s">
        <v>2931</v>
      </c>
      <c r="B55" s="2846" t="str">
        <f>估价对象房地状况!C22</f>
        <v>七通</v>
      </c>
      <c r="C55" s="2734"/>
      <c r="D55" s="1288">
        <f t="shared" si="10"/>
        <v>0</v>
      </c>
      <c r="E55" s="821"/>
      <c r="F55" s="2465"/>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50" t="s">
        <v>2932</v>
      </c>
      <c r="B56" s="2851" t="str">
        <f>估价对象房地状况!C20</f>
        <v>好</v>
      </c>
      <c r="C56" s="2734"/>
      <c r="D56" s="1288">
        <f t="shared" si="10"/>
        <v>0</v>
      </c>
      <c r="E56" s="824"/>
      <c r="F56" s="2465"/>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38" t="s">
        <v>2933</v>
      </c>
      <c r="B57" s="2839">
        <f>1+E59</f>
        <v>1.0905</v>
      </c>
      <c r="C57" s="813"/>
      <c r="D57" s="813"/>
      <c r="E57" s="814"/>
      <c r="F57" s="2841"/>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42" t="s">
        <v>2914</v>
      </c>
      <c r="B58" s="1811"/>
      <c r="C58" s="1811" t="s">
        <v>2916</v>
      </c>
      <c r="D58" s="1811" t="s">
        <v>2917</v>
      </c>
      <c r="E58" s="818" t="s">
        <v>2918</v>
      </c>
      <c r="F58" s="2843" t="s">
        <v>2934</v>
      </c>
      <c r="G58" s="1811" t="s">
        <v>754</v>
      </c>
      <c r="H58" s="2844" t="s">
        <v>2920</v>
      </c>
      <c r="I58" s="1811" t="s">
        <v>2921</v>
      </c>
      <c r="J58" s="602" t="s">
        <v>2568</v>
      </c>
      <c r="K58" s="602" t="s">
        <v>2569</v>
      </c>
      <c r="L58" s="602" t="s">
        <v>2570</v>
      </c>
      <c r="M58" s="602" t="s">
        <v>2571</v>
      </c>
      <c r="N58" s="602" t="s">
        <v>2572</v>
      </c>
      <c r="AA58" s="1373"/>
      <c r="AB58" s="1373"/>
      <c r="AC58" s="1373"/>
      <c r="AD58" s="1373"/>
      <c r="AE58" s="1373"/>
      <c r="AF58" s="1373"/>
      <c r="AG58" s="1373"/>
      <c r="AH58" s="1373"/>
      <c r="AI58" s="1373"/>
      <c r="AJ58" s="1373"/>
      <c r="AK58" s="1373"/>
    </row>
    <row r="59" spans="1:37" s="1372" customFormat="1" ht="24">
      <c r="A59" s="2842" t="s">
        <v>2935</v>
      </c>
      <c r="B59" s="2845" t="str">
        <f>估价对象房地状况!C17</f>
        <v>好</v>
      </c>
      <c r="C59" s="2734" t="s">
        <v>3363</v>
      </c>
      <c r="D59" s="1288">
        <f t="shared" ref="D59:D67" si="15">SUMIF($J$58:$N$58,C59,J59:N59)</f>
        <v>2.3400000000000001E-2</v>
      </c>
      <c r="E59" s="820">
        <f>ROUND(SUM(D59:D67),4)</f>
        <v>9.0499999999999997E-2</v>
      </c>
      <c r="F59" s="2465">
        <f>IF(E2="办公",SUMIF(L1:L12,G2,N1:N12),"——")</f>
        <v>9.8000000000000004E-2</v>
      </c>
      <c r="G59" s="1286">
        <f>H59</f>
        <v>1.17E-2</v>
      </c>
      <c r="H59" s="1290">
        <f t="shared" ref="H59:H67" si="16">IFERROR(ROUNDDOWN($F$59*I59/2,4),"——")</f>
        <v>1.17E-2</v>
      </c>
      <c r="I59" s="819">
        <v>0.24</v>
      </c>
      <c r="J59" s="1287">
        <f t="shared" ref="J59:J67" si="17">K59+$G59</f>
        <v>2.3400000000000001E-2</v>
      </c>
      <c r="K59" s="1287">
        <f t="shared" ref="K59:K67" si="18">$L59+$G59</f>
        <v>1.17E-2</v>
      </c>
      <c r="L59" s="1287">
        <v>0</v>
      </c>
      <c r="M59" s="1287">
        <f t="shared" ref="M59:N67" si="19">L59-$G59</f>
        <v>-1.17E-2</v>
      </c>
      <c r="N59" s="1287">
        <f t="shared" si="19"/>
        <v>-2.3400000000000001E-2</v>
      </c>
      <c r="AA59" s="1373"/>
      <c r="AB59" s="1373"/>
      <c r="AC59" s="1373"/>
      <c r="AD59" s="1373"/>
      <c r="AE59" s="1373"/>
      <c r="AF59" s="1373"/>
      <c r="AG59" s="1373"/>
      <c r="AH59" s="1373"/>
      <c r="AI59" s="1373"/>
      <c r="AJ59" s="1373"/>
      <c r="AK59" s="1373"/>
    </row>
    <row r="60" spans="1:37" s="1372" customFormat="1" ht="14.25">
      <c r="A60" s="2842" t="s">
        <v>2923</v>
      </c>
      <c r="B60" s="2846" t="str">
        <f>估价对象房地状况!C18</f>
        <v>好</v>
      </c>
      <c r="C60" s="2734" t="s">
        <v>3363</v>
      </c>
      <c r="D60" s="1288">
        <f t="shared" si="15"/>
        <v>2.9399999999999999E-2</v>
      </c>
      <c r="E60" s="821"/>
      <c r="F60" s="2465"/>
      <c r="G60" s="1286">
        <f t="shared" ref="G60:G67" si="20">H60</f>
        <v>1.47E-2</v>
      </c>
      <c r="H60" s="1290">
        <f t="shared" si="16"/>
        <v>1.47E-2</v>
      </c>
      <c r="I60" s="819">
        <v>0.3</v>
      </c>
      <c r="J60" s="1287">
        <f t="shared" si="17"/>
        <v>2.9399999999999999E-2</v>
      </c>
      <c r="K60" s="1287">
        <f t="shared" si="18"/>
        <v>1.47E-2</v>
      </c>
      <c r="L60" s="1287">
        <v>0</v>
      </c>
      <c r="M60" s="1287">
        <f t="shared" si="19"/>
        <v>-1.47E-2</v>
      </c>
      <c r="N60" s="1287">
        <f t="shared" si="19"/>
        <v>-2.9399999999999999E-2</v>
      </c>
      <c r="AA60" s="1373"/>
      <c r="AB60" s="1373"/>
      <c r="AC60" s="1373"/>
      <c r="AD60" s="1373"/>
      <c r="AE60" s="1373"/>
      <c r="AF60" s="1373"/>
      <c r="AG60" s="1373"/>
      <c r="AH60" s="1373"/>
      <c r="AI60" s="1373"/>
      <c r="AJ60" s="1373"/>
      <c r="AK60" s="1373"/>
    </row>
    <row r="61" spans="1:37" s="1372" customFormat="1" ht="24">
      <c r="A61" s="2842" t="s">
        <v>2924</v>
      </c>
      <c r="B61" s="2846" t="str">
        <f>估价对象房地状况!C19</f>
        <v>一致</v>
      </c>
      <c r="C61" s="2734" t="s">
        <v>3363</v>
      </c>
      <c r="D61" s="1288">
        <f t="shared" si="15"/>
        <v>7.7999999999999996E-3</v>
      </c>
      <c r="E61" s="821"/>
      <c r="F61" s="2465"/>
      <c r="G61" s="1286">
        <f t="shared" si="20"/>
        <v>3.8999999999999998E-3</v>
      </c>
      <c r="H61" s="1290">
        <f t="shared" si="16"/>
        <v>3.8999999999999998E-3</v>
      </c>
      <c r="I61" s="819">
        <v>0.08</v>
      </c>
      <c r="J61" s="1287">
        <f t="shared" si="17"/>
        <v>7.7999999999999996E-3</v>
      </c>
      <c r="K61" s="1287">
        <f t="shared" si="18"/>
        <v>3.8999999999999998E-3</v>
      </c>
      <c r="L61" s="1287">
        <v>0</v>
      </c>
      <c r="M61" s="1287">
        <f t="shared" si="19"/>
        <v>-3.8999999999999998E-3</v>
      </c>
      <c r="N61" s="1287">
        <f t="shared" si="19"/>
        <v>-7.7999999999999996E-3</v>
      </c>
      <c r="AA61" s="1373"/>
      <c r="AB61" s="1373"/>
      <c r="AC61" s="1373"/>
      <c r="AD61" s="1373"/>
      <c r="AE61" s="1373"/>
      <c r="AF61" s="1373"/>
      <c r="AG61" s="1373"/>
      <c r="AH61" s="1373"/>
      <c r="AI61" s="1373"/>
      <c r="AJ61" s="1373"/>
      <c r="AK61" s="1373"/>
    </row>
    <row r="62" spans="1:37" s="1372" customFormat="1" ht="24">
      <c r="A62" s="2842" t="s">
        <v>2925</v>
      </c>
      <c r="B62" s="2847"/>
      <c r="C62" s="2734" t="s">
        <v>3362</v>
      </c>
      <c r="D62" s="1288">
        <f t="shared" si="15"/>
        <v>1.9E-3</v>
      </c>
      <c r="E62" s="821"/>
      <c r="F62" s="2465"/>
      <c r="G62" s="1286">
        <f t="shared" si="20"/>
        <v>1.9E-3</v>
      </c>
      <c r="H62" s="1290">
        <f t="shared" si="16"/>
        <v>1.9E-3</v>
      </c>
      <c r="I62" s="819">
        <v>0.04</v>
      </c>
      <c r="J62" s="1287">
        <f t="shared" si="17"/>
        <v>3.8E-3</v>
      </c>
      <c r="K62" s="1287">
        <f t="shared" si="18"/>
        <v>1.9E-3</v>
      </c>
      <c r="L62" s="1287">
        <v>0</v>
      </c>
      <c r="M62" s="1287">
        <f t="shared" si="19"/>
        <v>-1.9E-3</v>
      </c>
      <c r="N62" s="1287">
        <f t="shared" si="19"/>
        <v>-3.8E-3</v>
      </c>
      <c r="AA62" s="1373"/>
      <c r="AB62" s="1373"/>
      <c r="AC62" s="1373"/>
      <c r="AD62" s="1373"/>
      <c r="AE62" s="1373"/>
      <c r="AF62" s="1373"/>
      <c r="AG62" s="1373"/>
      <c r="AH62" s="1373"/>
      <c r="AI62" s="1373"/>
      <c r="AJ62" s="1373"/>
      <c r="AK62" s="1373"/>
    </row>
    <row r="63" spans="1:37" s="1372" customFormat="1" ht="24">
      <c r="A63" s="2842" t="s">
        <v>2927</v>
      </c>
      <c r="B63" s="2846" t="str">
        <f>估价对象房地状况!C24</f>
        <v>主干道</v>
      </c>
      <c r="C63" s="2734" t="s">
        <v>3362</v>
      </c>
      <c r="D63" s="1288">
        <f t="shared" si="15"/>
        <v>2.3999999999999998E-3</v>
      </c>
      <c r="E63" s="821"/>
      <c r="F63" s="2465"/>
      <c r="G63" s="1286">
        <f t="shared" si="20"/>
        <v>2.3999999999999998E-3</v>
      </c>
      <c r="H63" s="1290">
        <f t="shared" si="16"/>
        <v>2.3999999999999998E-3</v>
      </c>
      <c r="I63" s="819">
        <v>0.05</v>
      </c>
      <c r="J63" s="1287">
        <f t="shared" si="17"/>
        <v>4.7999999999999996E-3</v>
      </c>
      <c r="K63" s="1287">
        <f t="shared" si="18"/>
        <v>2.3999999999999998E-3</v>
      </c>
      <c r="L63" s="1287">
        <v>0</v>
      </c>
      <c r="M63" s="1287">
        <f t="shared" si="19"/>
        <v>-2.3999999999999998E-3</v>
      </c>
      <c r="N63" s="1287">
        <f t="shared" si="19"/>
        <v>-4.7999999999999996E-3</v>
      </c>
      <c r="AA63" s="1373"/>
      <c r="AB63" s="1373"/>
      <c r="AC63" s="1373"/>
      <c r="AD63" s="1373"/>
      <c r="AE63" s="1373"/>
      <c r="AF63" s="1373"/>
      <c r="AG63" s="1373"/>
      <c r="AH63" s="1373"/>
      <c r="AI63" s="1373"/>
      <c r="AJ63" s="1373"/>
      <c r="AK63" s="1373"/>
    </row>
    <row r="64" spans="1:37" s="1372" customFormat="1" ht="24">
      <c r="A64" s="2842" t="s">
        <v>2928</v>
      </c>
      <c r="B64" s="2848"/>
      <c r="C64" s="2734" t="s">
        <v>3362</v>
      </c>
      <c r="D64" s="1288">
        <f t="shared" si="15"/>
        <v>2.3999999999999998E-3</v>
      </c>
      <c r="E64" s="821"/>
      <c r="F64" s="2465"/>
      <c r="G64" s="1286">
        <f t="shared" si="20"/>
        <v>2.3999999999999998E-3</v>
      </c>
      <c r="H64" s="1290">
        <f t="shared" si="16"/>
        <v>2.3999999999999998E-3</v>
      </c>
      <c r="I64" s="819">
        <v>0.05</v>
      </c>
      <c r="J64" s="1287">
        <f t="shared" si="17"/>
        <v>4.7999999999999996E-3</v>
      </c>
      <c r="K64" s="1287">
        <f t="shared" si="18"/>
        <v>2.3999999999999998E-3</v>
      </c>
      <c r="L64" s="1287">
        <v>0</v>
      </c>
      <c r="M64" s="1287">
        <f t="shared" si="19"/>
        <v>-2.3999999999999998E-3</v>
      </c>
      <c r="N64" s="1287">
        <f t="shared" si="19"/>
        <v>-4.7999999999999996E-3</v>
      </c>
      <c r="AA64" s="1373"/>
      <c r="AB64" s="1373"/>
      <c r="AC64" s="1373"/>
      <c r="AD64" s="1373"/>
      <c r="AE64" s="1373"/>
      <c r="AF64" s="1373"/>
      <c r="AG64" s="1373"/>
      <c r="AH64" s="1373"/>
      <c r="AI64" s="1373"/>
      <c r="AJ64" s="1373"/>
      <c r="AK64" s="1373"/>
    </row>
    <row r="65" spans="1:37" s="1372" customFormat="1" ht="24">
      <c r="A65" s="2842" t="s">
        <v>2930</v>
      </c>
      <c r="B65" s="1727" t="str">
        <f>估价对象房地状况!C21</f>
        <v>好</v>
      </c>
      <c r="C65" s="2734" t="s">
        <v>3363</v>
      </c>
      <c r="D65" s="1288">
        <f t="shared" si="15"/>
        <v>5.7999999999999996E-3</v>
      </c>
      <c r="E65" s="821"/>
      <c r="F65" s="2465"/>
      <c r="G65" s="1286">
        <f t="shared" si="20"/>
        <v>2.8999999999999998E-3</v>
      </c>
      <c r="H65" s="1290">
        <f t="shared" si="16"/>
        <v>2.8999999999999998E-3</v>
      </c>
      <c r="I65" s="819">
        <v>0.06</v>
      </c>
      <c r="J65" s="1287">
        <f t="shared" si="17"/>
        <v>5.7999999999999996E-3</v>
      </c>
      <c r="K65" s="1287">
        <f t="shared" si="18"/>
        <v>2.8999999999999998E-3</v>
      </c>
      <c r="L65" s="1287">
        <v>0</v>
      </c>
      <c r="M65" s="1287">
        <f t="shared" si="19"/>
        <v>-2.8999999999999998E-3</v>
      </c>
      <c r="N65" s="1287">
        <f t="shared" si="19"/>
        <v>-5.7999999999999996E-3</v>
      </c>
      <c r="AA65" s="1373"/>
      <c r="AB65" s="1373"/>
      <c r="AC65" s="1373"/>
      <c r="AD65" s="1373"/>
      <c r="AE65" s="1373"/>
      <c r="AF65" s="1373"/>
      <c r="AG65" s="1373"/>
      <c r="AH65" s="1373"/>
      <c r="AI65" s="1373"/>
      <c r="AJ65" s="1373"/>
      <c r="AK65" s="1373"/>
    </row>
    <row r="66" spans="1:37" s="1372" customFormat="1" ht="24">
      <c r="A66" s="2842" t="s">
        <v>2931</v>
      </c>
      <c r="B66" s="1727" t="str">
        <f>估价对象房地状况!C22</f>
        <v>七通</v>
      </c>
      <c r="C66" s="2734" t="s">
        <v>3363</v>
      </c>
      <c r="D66" s="1288">
        <f t="shared" si="15"/>
        <v>1.1599999999999999E-2</v>
      </c>
      <c r="E66" s="821"/>
      <c r="F66" s="2465"/>
      <c r="G66" s="1286">
        <f t="shared" si="20"/>
        <v>5.7999999999999996E-3</v>
      </c>
      <c r="H66" s="1290">
        <f t="shared" si="16"/>
        <v>5.7999999999999996E-3</v>
      </c>
      <c r="I66" s="819">
        <v>0.12</v>
      </c>
      <c r="J66" s="1287">
        <f t="shared" si="17"/>
        <v>1.1599999999999999E-2</v>
      </c>
      <c r="K66" s="1287">
        <f t="shared" si="18"/>
        <v>5.7999999999999996E-3</v>
      </c>
      <c r="L66" s="1287">
        <v>0</v>
      </c>
      <c r="M66" s="1287">
        <f t="shared" si="19"/>
        <v>-5.7999999999999996E-3</v>
      </c>
      <c r="N66" s="1287">
        <f t="shared" si="19"/>
        <v>-1.1599999999999999E-2</v>
      </c>
      <c r="AA66" s="1373"/>
      <c r="AB66" s="1373"/>
      <c r="AC66" s="1373"/>
      <c r="AD66" s="1373"/>
      <c r="AE66" s="1373"/>
      <c r="AF66" s="1373"/>
      <c r="AG66" s="1373"/>
      <c r="AH66" s="1373"/>
      <c r="AI66" s="1373"/>
      <c r="AJ66" s="1373"/>
      <c r="AK66" s="1373"/>
    </row>
    <row r="67" spans="1:37" s="1372" customFormat="1" ht="24.75" thickBot="1">
      <c r="A67" s="2850" t="s">
        <v>2932</v>
      </c>
      <c r="B67" s="2852" t="str">
        <f>估价对象房地状况!C20</f>
        <v>好</v>
      </c>
      <c r="C67" s="2734" t="s">
        <v>3363</v>
      </c>
      <c r="D67" s="1288">
        <f t="shared" si="15"/>
        <v>5.7999999999999996E-3</v>
      </c>
      <c r="E67" s="824"/>
      <c r="F67" s="2465"/>
      <c r="G67" s="1286">
        <f t="shared" si="20"/>
        <v>2.8999999999999998E-3</v>
      </c>
      <c r="H67" s="1290">
        <f t="shared" si="16"/>
        <v>2.8999999999999998E-3</v>
      </c>
      <c r="I67" s="823">
        <v>0.06</v>
      </c>
      <c r="J67" s="1287">
        <f t="shared" si="17"/>
        <v>5.7999999999999996E-3</v>
      </c>
      <c r="K67" s="1287">
        <f t="shared" si="18"/>
        <v>2.8999999999999998E-3</v>
      </c>
      <c r="L67" s="1287">
        <v>0</v>
      </c>
      <c r="M67" s="1287">
        <f t="shared" si="19"/>
        <v>-2.8999999999999998E-3</v>
      </c>
      <c r="N67" s="1287">
        <f t="shared" si="19"/>
        <v>-5.7999999999999996E-3</v>
      </c>
      <c r="AA67" s="1373"/>
      <c r="AB67" s="1373"/>
      <c r="AC67" s="1373"/>
      <c r="AD67" s="1373"/>
      <c r="AE67" s="1373"/>
      <c r="AF67" s="1373"/>
      <c r="AG67" s="1373"/>
      <c r="AH67" s="1373"/>
      <c r="AI67" s="1373"/>
      <c r="AJ67" s="1373"/>
      <c r="AK67" s="1373"/>
    </row>
    <row r="68" spans="1:37" s="1372" customFormat="1" ht="15">
      <c r="A68" s="2838" t="s">
        <v>2936</v>
      </c>
      <c r="B68" s="2839">
        <f>1+E70</f>
        <v>1</v>
      </c>
      <c r="C68" s="813"/>
      <c r="D68" s="813"/>
      <c r="E68" s="814"/>
      <c r="F68" s="2841"/>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42" t="s">
        <v>2914</v>
      </c>
      <c r="B69" s="1811"/>
      <c r="C69" s="1811" t="s">
        <v>2916</v>
      </c>
      <c r="D69" s="1811" t="s">
        <v>2917</v>
      </c>
      <c r="E69" s="818" t="s">
        <v>2918</v>
      </c>
      <c r="F69" s="2843" t="s">
        <v>2934</v>
      </c>
      <c r="G69" s="1811" t="s">
        <v>754</v>
      </c>
      <c r="H69" s="2844" t="s">
        <v>2920</v>
      </c>
      <c r="I69" s="1811" t="s">
        <v>2921</v>
      </c>
      <c r="J69" s="602" t="s">
        <v>2568</v>
      </c>
      <c r="K69" s="602" t="s">
        <v>2569</v>
      </c>
      <c r="L69" s="602" t="s">
        <v>2570</v>
      </c>
      <c r="M69" s="602" t="s">
        <v>2571</v>
      </c>
      <c r="N69" s="602" t="s">
        <v>2572</v>
      </c>
      <c r="AA69" s="1373"/>
      <c r="AB69" s="1373"/>
      <c r="AC69" s="1373"/>
      <c r="AD69" s="1373"/>
      <c r="AE69" s="1373"/>
      <c r="AF69" s="1373"/>
      <c r="AG69" s="1373"/>
      <c r="AH69" s="1373"/>
      <c r="AI69" s="1373"/>
      <c r="AJ69" s="1373"/>
      <c r="AK69" s="1373"/>
    </row>
    <row r="70" spans="1:37" s="1372" customFormat="1" ht="24">
      <c r="A70" s="2842" t="s">
        <v>2937</v>
      </c>
      <c r="B70" s="2845">
        <f>估价对象房地状况!C15</f>
        <v>0</v>
      </c>
      <c r="C70" s="2734"/>
      <c r="D70" s="1288">
        <f t="shared" ref="D70:D78" si="21">SUMIF($J$69:$N$69,C70,J70:N70)</f>
        <v>0</v>
      </c>
      <c r="E70" s="820">
        <f>ROUND(SUM(D70:D78),4)</f>
        <v>0</v>
      </c>
      <c r="F70" s="2465" t="str">
        <f>IF(E2="住宅",SUMIF(L1:L12,G2,N1:N12),"——")</f>
        <v>——</v>
      </c>
      <c r="G70" s="1286"/>
      <c r="H70" s="1290" t="str">
        <f t="shared" ref="H70:H78" si="22">IFERROR(ROUNDDOWN($F$70*I70/2,4),"——")</f>
        <v>——</v>
      </c>
      <c r="I70" s="819">
        <v>0.14000000000000001</v>
      </c>
      <c r="J70" s="1287">
        <f t="shared" ref="J70:J78" si="23">K70+$G70</f>
        <v>0</v>
      </c>
      <c r="K70" s="1287">
        <f t="shared" ref="K70:K78" si="24">$L70+$G70</f>
        <v>0</v>
      </c>
      <c r="L70" s="1287">
        <v>0</v>
      </c>
      <c r="M70" s="1287">
        <f t="shared" ref="M70:N78" si="25">L70-$G70</f>
        <v>0</v>
      </c>
      <c r="N70" s="1287">
        <f t="shared" si="25"/>
        <v>0</v>
      </c>
      <c r="AA70" s="1373"/>
      <c r="AB70" s="1373"/>
      <c r="AC70" s="1373"/>
      <c r="AD70" s="1373"/>
      <c r="AE70" s="1373"/>
      <c r="AF70" s="1373"/>
      <c r="AG70" s="1373"/>
      <c r="AH70" s="1373"/>
      <c r="AI70" s="1373"/>
      <c r="AJ70" s="1373"/>
      <c r="AK70" s="1373"/>
    </row>
    <row r="71" spans="1:37" s="1372" customFormat="1" ht="14.25">
      <c r="A71" s="2842" t="s">
        <v>2923</v>
      </c>
      <c r="B71" s="2846" t="str">
        <f>估价对象房地状况!C18</f>
        <v>好</v>
      </c>
      <c r="C71" s="2734"/>
      <c r="D71" s="1288">
        <f t="shared" si="21"/>
        <v>0</v>
      </c>
      <c r="E71" s="825"/>
      <c r="F71" s="2465"/>
      <c r="G71" s="1286"/>
      <c r="H71" s="1290" t="str">
        <f t="shared" si="22"/>
        <v>——</v>
      </c>
      <c r="I71" s="819">
        <v>0.3</v>
      </c>
      <c r="J71" s="1287">
        <f t="shared" si="23"/>
        <v>0</v>
      </c>
      <c r="K71" s="1287">
        <f t="shared" si="24"/>
        <v>0</v>
      </c>
      <c r="L71" s="1287">
        <v>0</v>
      </c>
      <c r="M71" s="1287">
        <f t="shared" si="25"/>
        <v>0</v>
      </c>
      <c r="N71" s="1287">
        <f t="shared" si="25"/>
        <v>0</v>
      </c>
      <c r="AA71" s="1373"/>
      <c r="AB71" s="1373"/>
      <c r="AC71" s="1373"/>
      <c r="AD71" s="1373"/>
      <c r="AE71" s="1373"/>
      <c r="AF71" s="1373"/>
      <c r="AG71" s="1373"/>
      <c r="AH71" s="1373"/>
      <c r="AI71" s="1373"/>
      <c r="AJ71" s="1373"/>
      <c r="AK71" s="1373"/>
    </row>
    <row r="72" spans="1:37" s="1372" customFormat="1" ht="24">
      <c r="A72" s="2842" t="s">
        <v>2924</v>
      </c>
      <c r="B72" s="2846" t="str">
        <f>估价对象房地状况!C19</f>
        <v>一致</v>
      </c>
      <c r="C72" s="2734"/>
      <c r="D72" s="1288">
        <f t="shared" si="21"/>
        <v>0</v>
      </c>
      <c r="E72" s="825"/>
      <c r="F72" s="2465"/>
      <c r="G72" s="1286"/>
      <c r="H72" s="1290" t="str">
        <f t="shared" si="22"/>
        <v>——</v>
      </c>
      <c r="I72" s="819">
        <v>0.08</v>
      </c>
      <c r="J72" s="1287">
        <f t="shared" si="23"/>
        <v>0</v>
      </c>
      <c r="K72" s="1287">
        <f t="shared" si="24"/>
        <v>0</v>
      </c>
      <c r="L72" s="1287">
        <v>0</v>
      </c>
      <c r="M72" s="1287">
        <f t="shared" si="25"/>
        <v>0</v>
      </c>
      <c r="N72" s="1287">
        <f t="shared" si="25"/>
        <v>0</v>
      </c>
      <c r="AA72" s="1373"/>
      <c r="AB72" s="1373"/>
      <c r="AC72" s="1373"/>
      <c r="AD72" s="1373"/>
      <c r="AE72" s="1373"/>
      <c r="AF72" s="1373"/>
      <c r="AG72" s="1373"/>
      <c r="AH72" s="1373"/>
      <c r="AI72" s="1373"/>
      <c r="AJ72" s="1373"/>
      <c r="AK72" s="1373"/>
    </row>
    <row r="73" spans="1:37" s="1372" customFormat="1" ht="14.25">
      <c r="A73" s="2842" t="s">
        <v>2938</v>
      </c>
      <c r="B73" s="2846" t="str">
        <f>估价对象房地状况!C24</f>
        <v>主干道</v>
      </c>
      <c r="C73" s="2734"/>
      <c r="D73" s="1288">
        <f t="shared" si="21"/>
        <v>0</v>
      </c>
      <c r="E73" s="825"/>
      <c r="F73" s="2465"/>
      <c r="G73" s="1286"/>
      <c r="H73" s="1290" t="str">
        <f t="shared" si="22"/>
        <v>——</v>
      </c>
      <c r="I73" s="819">
        <v>0.04</v>
      </c>
      <c r="J73" s="1287">
        <f t="shared" si="23"/>
        <v>0</v>
      </c>
      <c r="K73" s="1287">
        <f t="shared" si="24"/>
        <v>0</v>
      </c>
      <c r="L73" s="1287">
        <v>0</v>
      </c>
      <c r="M73" s="1287">
        <f t="shared" si="25"/>
        <v>0</v>
      </c>
      <c r="N73" s="1287">
        <f t="shared" si="25"/>
        <v>0</v>
      </c>
      <c r="AA73" s="1373"/>
      <c r="AB73" s="1373"/>
      <c r="AC73" s="1373"/>
      <c r="AD73" s="1373"/>
      <c r="AE73" s="1373"/>
      <c r="AF73" s="1373"/>
      <c r="AG73" s="1373"/>
      <c r="AH73" s="1373"/>
      <c r="AI73" s="1373"/>
      <c r="AJ73" s="1373"/>
      <c r="AK73" s="1373"/>
    </row>
    <row r="74" spans="1:37" s="1372" customFormat="1" ht="24">
      <c r="A74" s="2842" t="s">
        <v>2930</v>
      </c>
      <c r="B74" s="1727" t="str">
        <f>估价对象房地状况!C21</f>
        <v>好</v>
      </c>
      <c r="C74" s="2734"/>
      <c r="D74" s="1288">
        <f t="shared" si="21"/>
        <v>0</v>
      </c>
      <c r="E74" s="825"/>
      <c r="F74" s="2465"/>
      <c r="G74" s="1286"/>
      <c r="H74" s="1290" t="str">
        <f t="shared" si="22"/>
        <v>——</v>
      </c>
      <c r="I74" s="819">
        <v>0.08</v>
      </c>
      <c r="J74" s="1287">
        <f t="shared" si="23"/>
        <v>0</v>
      </c>
      <c r="K74" s="1287">
        <f t="shared" si="24"/>
        <v>0</v>
      </c>
      <c r="L74" s="1287">
        <v>0</v>
      </c>
      <c r="M74" s="1287">
        <f t="shared" si="25"/>
        <v>0</v>
      </c>
      <c r="N74" s="1287">
        <f t="shared" si="25"/>
        <v>0</v>
      </c>
      <c r="AA74" s="1373"/>
      <c r="AB74" s="1373"/>
      <c r="AC74" s="1373"/>
      <c r="AD74" s="1373"/>
      <c r="AE74" s="1373"/>
      <c r="AF74" s="1373"/>
      <c r="AG74" s="1373"/>
      <c r="AH74" s="1373"/>
      <c r="AI74" s="1373"/>
      <c r="AJ74" s="1373"/>
      <c r="AK74" s="1373"/>
    </row>
    <row r="75" spans="1:37" s="1372" customFormat="1" ht="24">
      <c r="A75" s="2842" t="s">
        <v>2931</v>
      </c>
      <c r="B75" s="1727" t="str">
        <f>估价对象房地状况!C22</f>
        <v>七通</v>
      </c>
      <c r="C75" s="2734"/>
      <c r="D75" s="1288">
        <f t="shared" si="21"/>
        <v>0</v>
      </c>
      <c r="E75" s="825"/>
      <c r="F75" s="2465"/>
      <c r="G75" s="1286"/>
      <c r="H75" s="1290" t="str">
        <f t="shared" si="22"/>
        <v>——</v>
      </c>
      <c r="I75" s="819">
        <v>0.12</v>
      </c>
      <c r="J75" s="1287">
        <f t="shared" si="23"/>
        <v>0</v>
      </c>
      <c r="K75" s="1287">
        <f t="shared" si="24"/>
        <v>0</v>
      </c>
      <c r="L75" s="1287">
        <v>0</v>
      </c>
      <c r="M75" s="1287">
        <f t="shared" si="25"/>
        <v>0</v>
      </c>
      <c r="N75" s="1287">
        <f t="shared" si="25"/>
        <v>0</v>
      </c>
      <c r="AA75" s="1373"/>
      <c r="AB75" s="1373"/>
      <c r="AC75" s="1373"/>
      <c r="AD75" s="1373"/>
      <c r="AE75" s="1373"/>
      <c r="AF75" s="1373"/>
      <c r="AG75" s="1373"/>
      <c r="AH75" s="1373"/>
      <c r="AI75" s="1373"/>
      <c r="AJ75" s="1373"/>
      <c r="AK75" s="1373"/>
    </row>
    <row r="76" spans="1:37" s="2683" customFormat="1" ht="24">
      <c r="A76" s="2842" t="s">
        <v>2928</v>
      </c>
      <c r="B76" s="2848" t="s">
        <v>2929</v>
      </c>
      <c r="C76" s="2734"/>
      <c r="D76" s="1288">
        <f t="shared" si="21"/>
        <v>0</v>
      </c>
      <c r="E76" s="825"/>
      <c r="F76" s="2465"/>
      <c r="G76" s="1286"/>
      <c r="H76" s="1290" t="str">
        <f t="shared" si="22"/>
        <v>——</v>
      </c>
      <c r="I76" s="819">
        <v>0.05</v>
      </c>
      <c r="J76" s="1287">
        <f t="shared" si="23"/>
        <v>0</v>
      </c>
      <c r="K76" s="1287">
        <f t="shared" si="24"/>
        <v>0</v>
      </c>
      <c r="L76" s="1287">
        <v>0</v>
      </c>
      <c r="M76" s="1287">
        <f t="shared" si="25"/>
        <v>0</v>
      </c>
      <c r="N76" s="1287">
        <f t="shared" si="25"/>
        <v>0</v>
      </c>
      <c r="AA76" s="2853"/>
      <c r="AB76" s="1373"/>
      <c r="AC76" s="1373"/>
      <c r="AD76" s="1373"/>
      <c r="AE76" s="1373"/>
      <c r="AF76" s="1373"/>
      <c r="AG76" s="1373"/>
      <c r="AH76" s="2853"/>
      <c r="AI76" s="2853"/>
      <c r="AJ76" s="2853"/>
      <c r="AK76" s="2853"/>
    </row>
    <row r="77" spans="1:37" ht="24">
      <c r="A77" s="2842" t="s">
        <v>2932</v>
      </c>
      <c r="B77" s="2845" t="str">
        <f>估价对象房地状况!C20</f>
        <v>好</v>
      </c>
      <c r="C77" s="2734"/>
      <c r="D77" s="1288">
        <f t="shared" si="21"/>
        <v>0</v>
      </c>
      <c r="E77" s="825"/>
      <c r="F77" s="2465"/>
      <c r="G77" s="1286"/>
      <c r="H77" s="1290" t="str">
        <f t="shared" si="22"/>
        <v>——</v>
      </c>
      <c r="I77" s="819">
        <v>0.15</v>
      </c>
      <c r="J77" s="1287">
        <f t="shared" si="23"/>
        <v>0</v>
      </c>
      <c r="K77" s="1287">
        <f t="shared" si="24"/>
        <v>0</v>
      </c>
      <c r="L77" s="1287">
        <v>0</v>
      </c>
      <c r="M77" s="1287">
        <f t="shared" si="25"/>
        <v>0</v>
      </c>
      <c r="N77" s="1287">
        <f t="shared" si="25"/>
        <v>0</v>
      </c>
      <c r="Z77" s="2684"/>
      <c r="AA77" s="2760"/>
      <c r="AG77" s="1374"/>
      <c r="AK77" s="2760"/>
    </row>
    <row r="78" spans="1:37" ht="24.75" thickBot="1">
      <c r="A78" s="2850" t="s">
        <v>2939</v>
      </c>
      <c r="B78" s="2854"/>
      <c r="C78" s="2734"/>
      <c r="D78" s="1288">
        <f t="shared" si="21"/>
        <v>0</v>
      </c>
      <c r="E78" s="826"/>
      <c r="F78" s="2465"/>
      <c r="G78" s="1286"/>
      <c r="H78" s="1290" t="str">
        <f t="shared" si="22"/>
        <v>——</v>
      </c>
      <c r="I78" s="823">
        <v>0.04</v>
      </c>
      <c r="J78" s="1287">
        <f t="shared" si="23"/>
        <v>0</v>
      </c>
      <c r="K78" s="1287">
        <f t="shared" si="24"/>
        <v>0</v>
      </c>
      <c r="L78" s="1287">
        <v>0</v>
      </c>
      <c r="M78" s="1287">
        <f t="shared" si="25"/>
        <v>0</v>
      </c>
      <c r="N78" s="1287">
        <f t="shared" si="25"/>
        <v>0</v>
      </c>
      <c r="Z78" s="2684"/>
      <c r="AA78" s="2760"/>
      <c r="AG78" s="1374"/>
      <c r="AK78" s="2760"/>
    </row>
    <row r="79" spans="1:37" ht="15">
      <c r="A79" s="2838" t="s">
        <v>2940</v>
      </c>
      <c r="B79" s="2839">
        <f>1+E81</f>
        <v>1</v>
      </c>
      <c r="C79" s="813"/>
      <c r="D79" s="813"/>
      <c r="E79" s="814"/>
      <c r="F79" s="2841"/>
      <c r="G79" s="6"/>
      <c r="H79" s="6"/>
      <c r="I79" s="6"/>
      <c r="J79" s="7"/>
      <c r="K79" s="7"/>
      <c r="L79" s="7"/>
      <c r="M79" s="7"/>
      <c r="N79" s="7"/>
      <c r="Z79" s="2684"/>
      <c r="AA79" s="2760"/>
      <c r="AG79" s="1374"/>
      <c r="AK79" s="2760"/>
    </row>
    <row r="80" spans="1:37" ht="24.75">
      <c r="A80" s="2842" t="s">
        <v>2914</v>
      </c>
      <c r="B80" s="1811"/>
      <c r="C80" s="1811" t="s">
        <v>2916</v>
      </c>
      <c r="D80" s="1811" t="s">
        <v>2917</v>
      </c>
      <c r="E80" s="818" t="s">
        <v>2918</v>
      </c>
      <c r="F80" s="2843" t="s">
        <v>2934</v>
      </c>
      <c r="G80" s="1811" t="s">
        <v>754</v>
      </c>
      <c r="H80" s="2844" t="s">
        <v>2920</v>
      </c>
      <c r="I80" s="1811" t="s">
        <v>2921</v>
      </c>
      <c r="J80" s="602" t="s">
        <v>2568</v>
      </c>
      <c r="K80" s="602" t="s">
        <v>2569</v>
      </c>
      <c r="L80" s="602" t="s">
        <v>2570</v>
      </c>
      <c r="M80" s="602" t="s">
        <v>2571</v>
      </c>
      <c r="N80" s="602" t="s">
        <v>2572</v>
      </c>
      <c r="Z80" s="2684"/>
      <c r="AA80" s="2760"/>
      <c r="AG80" s="1374"/>
      <c r="AK80" s="2760"/>
    </row>
    <row r="81" spans="1:37" ht="24">
      <c r="A81" s="2842" t="s">
        <v>2941</v>
      </c>
      <c r="B81" s="2846">
        <f>估价对象房地状况!G15</f>
        <v>0</v>
      </c>
      <c r="C81" s="2734"/>
      <c r="D81" s="1288">
        <f t="shared" ref="D81:D88" si="26">SUMIF($J$80:$N$80,C81,J81:N81)</f>
        <v>0</v>
      </c>
      <c r="E81" s="820">
        <f>ROUND(SUM(D81:D88),4)</f>
        <v>0</v>
      </c>
      <c r="F81" s="2465" t="str">
        <f>IF(E2="工业",SUMIF(L1:L12,G2,N1:N12),"——")</f>
        <v>——</v>
      </c>
      <c r="G81" s="1286"/>
      <c r="H81" s="1290" t="str">
        <f t="shared" ref="H81:H88" si="27">IFERROR(ROUNDDOWN($F$81*I81/2,4),"——")</f>
        <v>——</v>
      </c>
      <c r="I81" s="819">
        <v>0.26</v>
      </c>
      <c r="J81" s="1287">
        <f t="shared" ref="J81:J88" si="28">K81+$G81</f>
        <v>0</v>
      </c>
      <c r="K81" s="1287">
        <f t="shared" ref="K81:K88" si="29">$L81+$G81</f>
        <v>0</v>
      </c>
      <c r="L81" s="1287">
        <v>0</v>
      </c>
      <c r="M81" s="1287">
        <f t="shared" ref="M81:N88" si="30">L81-$G81</f>
        <v>0</v>
      </c>
      <c r="N81" s="1287">
        <f t="shared" si="30"/>
        <v>0</v>
      </c>
      <c r="Z81" s="2684"/>
      <c r="AA81" s="2760"/>
      <c r="AG81" s="1374"/>
      <c r="AK81" s="2760"/>
    </row>
    <row r="82" spans="1:37" ht="14.25">
      <c r="A82" s="2842" t="s">
        <v>2923</v>
      </c>
      <c r="B82" s="2846">
        <f>估价对象房地状况!G16</f>
        <v>0</v>
      </c>
      <c r="C82" s="2734"/>
      <c r="D82" s="1288">
        <f t="shared" si="26"/>
        <v>0</v>
      </c>
      <c r="E82" s="825"/>
      <c r="F82" s="2465"/>
      <c r="G82" s="1286"/>
      <c r="H82" s="1290" t="str">
        <f t="shared" si="27"/>
        <v>——</v>
      </c>
      <c r="I82" s="819">
        <v>0.33</v>
      </c>
      <c r="J82" s="1287">
        <f t="shared" si="28"/>
        <v>0</v>
      </c>
      <c r="K82" s="1287">
        <f t="shared" si="29"/>
        <v>0</v>
      </c>
      <c r="L82" s="1287">
        <v>0</v>
      </c>
      <c r="M82" s="1287">
        <f t="shared" si="30"/>
        <v>0</v>
      </c>
      <c r="N82" s="1287">
        <f t="shared" si="30"/>
        <v>0</v>
      </c>
      <c r="Z82" s="2684"/>
      <c r="AA82" s="2760"/>
      <c r="AG82" s="1374"/>
      <c r="AK82" s="2760"/>
    </row>
    <row r="83" spans="1:37" ht="24">
      <c r="A83" s="2842" t="s">
        <v>2924</v>
      </c>
      <c r="B83" s="2846">
        <f>估价对象房地状况!G17</f>
        <v>0</v>
      </c>
      <c r="C83" s="2734"/>
      <c r="D83" s="1288">
        <f t="shared" si="26"/>
        <v>0</v>
      </c>
      <c r="E83" s="825"/>
      <c r="F83" s="2465"/>
      <c r="G83" s="1286"/>
      <c r="H83" s="1290" t="str">
        <f t="shared" si="27"/>
        <v>——</v>
      </c>
      <c r="I83" s="819">
        <v>0.05</v>
      </c>
      <c r="J83" s="1287">
        <f t="shared" si="28"/>
        <v>0</v>
      </c>
      <c r="K83" s="1287">
        <f t="shared" si="29"/>
        <v>0</v>
      </c>
      <c r="L83" s="1287">
        <v>0</v>
      </c>
      <c r="M83" s="1287">
        <f t="shared" si="30"/>
        <v>0</v>
      </c>
      <c r="N83" s="1287">
        <f t="shared" si="30"/>
        <v>0</v>
      </c>
      <c r="Z83" s="2684"/>
      <c r="AA83" s="2760"/>
      <c r="AG83" s="1374"/>
      <c r="AK83" s="2760"/>
    </row>
    <row r="84" spans="1:37" ht="14.25">
      <c r="A84" s="2842" t="s">
        <v>2938</v>
      </c>
      <c r="B84" s="2846">
        <f>估价对象房地状况!G22</f>
        <v>0</v>
      </c>
      <c r="C84" s="2734"/>
      <c r="D84" s="1288">
        <f t="shared" si="26"/>
        <v>0</v>
      </c>
      <c r="E84" s="825"/>
      <c r="F84" s="2465"/>
      <c r="G84" s="1286"/>
      <c r="H84" s="1290" t="str">
        <f t="shared" si="27"/>
        <v>——</v>
      </c>
      <c r="I84" s="819">
        <v>0.04</v>
      </c>
      <c r="J84" s="1287">
        <f t="shared" si="28"/>
        <v>0</v>
      </c>
      <c r="K84" s="1287">
        <f t="shared" si="29"/>
        <v>0</v>
      </c>
      <c r="L84" s="1287">
        <v>0</v>
      </c>
      <c r="M84" s="1287">
        <f t="shared" si="30"/>
        <v>0</v>
      </c>
      <c r="N84" s="1287">
        <f t="shared" si="30"/>
        <v>0</v>
      </c>
      <c r="Z84" s="2684"/>
      <c r="AA84" s="2760"/>
      <c r="AG84" s="1374"/>
      <c r="AK84" s="2760"/>
    </row>
    <row r="85" spans="1:37" ht="24">
      <c r="A85" s="2842" t="s">
        <v>2930</v>
      </c>
      <c r="B85" s="1727">
        <f>估价对象房地状况!G19</f>
        <v>0</v>
      </c>
      <c r="C85" s="2734"/>
      <c r="D85" s="1288">
        <f t="shared" si="26"/>
        <v>0</v>
      </c>
      <c r="E85" s="825"/>
      <c r="F85" s="2465"/>
      <c r="G85" s="1286"/>
      <c r="H85" s="1290" t="str">
        <f t="shared" si="27"/>
        <v>——</v>
      </c>
      <c r="I85" s="819">
        <v>0.06</v>
      </c>
      <c r="J85" s="1287">
        <f t="shared" si="28"/>
        <v>0</v>
      </c>
      <c r="K85" s="1287">
        <f t="shared" si="29"/>
        <v>0</v>
      </c>
      <c r="L85" s="1287">
        <v>0</v>
      </c>
      <c r="M85" s="1287">
        <f t="shared" si="30"/>
        <v>0</v>
      </c>
      <c r="N85" s="1287">
        <f t="shared" si="30"/>
        <v>0</v>
      </c>
      <c r="Z85" s="2684"/>
      <c r="AA85" s="2760"/>
      <c r="AG85" s="1374"/>
      <c r="AK85" s="2760"/>
    </row>
    <row r="86" spans="1:37" ht="24">
      <c r="A86" s="2842" t="s">
        <v>2931</v>
      </c>
      <c r="B86" s="1727">
        <f>估价对象房地状况!G20</f>
        <v>0</v>
      </c>
      <c r="C86" s="2734"/>
      <c r="D86" s="1288">
        <f t="shared" si="26"/>
        <v>0</v>
      </c>
      <c r="E86" s="825"/>
      <c r="F86" s="2465"/>
      <c r="G86" s="1286"/>
      <c r="H86" s="1290" t="str">
        <f t="shared" si="27"/>
        <v>——</v>
      </c>
      <c r="I86" s="819">
        <v>0.15</v>
      </c>
      <c r="J86" s="1287">
        <f t="shared" si="28"/>
        <v>0</v>
      </c>
      <c r="K86" s="1287">
        <f t="shared" si="29"/>
        <v>0</v>
      </c>
      <c r="L86" s="1287">
        <v>0</v>
      </c>
      <c r="M86" s="1287">
        <f t="shared" si="30"/>
        <v>0</v>
      </c>
      <c r="N86" s="1287">
        <f t="shared" si="30"/>
        <v>0</v>
      </c>
      <c r="Z86" s="2684"/>
      <c r="AA86" s="2760"/>
      <c r="AG86" s="1374"/>
      <c r="AK86" s="2760"/>
    </row>
    <row r="87" spans="1:37" ht="24">
      <c r="A87" s="2842" t="s">
        <v>2928</v>
      </c>
      <c r="B87" s="2848" t="s">
        <v>2942</v>
      </c>
      <c r="C87" s="2734"/>
      <c r="D87" s="1288">
        <f t="shared" si="26"/>
        <v>0</v>
      </c>
      <c r="E87" s="825"/>
      <c r="F87" s="2465"/>
      <c r="G87" s="1286"/>
      <c r="H87" s="1290" t="str">
        <f t="shared" si="27"/>
        <v>——</v>
      </c>
      <c r="I87" s="819">
        <v>0.05</v>
      </c>
      <c r="J87" s="1287">
        <f t="shared" si="28"/>
        <v>0</v>
      </c>
      <c r="K87" s="1287">
        <f t="shared" si="29"/>
        <v>0</v>
      </c>
      <c r="L87" s="1287">
        <v>0</v>
      </c>
      <c r="M87" s="1287">
        <f t="shared" si="30"/>
        <v>0</v>
      </c>
      <c r="N87" s="1287">
        <f t="shared" si="30"/>
        <v>0</v>
      </c>
      <c r="Z87" s="2684"/>
      <c r="AA87" s="2760"/>
      <c r="AG87" s="1374"/>
      <c r="AK87" s="2760"/>
    </row>
    <row r="88" spans="1:37" ht="15" thickBot="1">
      <c r="A88" s="2850" t="s">
        <v>2943</v>
      </c>
      <c r="B88" s="2855">
        <f>估价对象房地状况!G18</f>
        <v>0</v>
      </c>
      <c r="C88" s="2734"/>
      <c r="D88" s="1288">
        <f t="shared" si="26"/>
        <v>0</v>
      </c>
      <c r="E88" s="826"/>
      <c r="F88" s="2465"/>
      <c r="G88" s="1286"/>
      <c r="H88" s="1290" t="str">
        <f t="shared" si="27"/>
        <v>——</v>
      </c>
      <c r="I88" s="823">
        <v>0.06</v>
      </c>
      <c r="J88" s="1287">
        <f t="shared" si="28"/>
        <v>0</v>
      </c>
      <c r="K88" s="1287">
        <f t="shared" si="29"/>
        <v>0</v>
      </c>
      <c r="L88" s="1287">
        <v>0</v>
      </c>
      <c r="M88" s="1287">
        <f t="shared" si="30"/>
        <v>0</v>
      </c>
      <c r="N88" s="1287">
        <f t="shared" si="30"/>
        <v>0</v>
      </c>
      <c r="Z88" s="2684"/>
      <c r="AA88" s="2760"/>
      <c r="AG88" s="1374"/>
      <c r="AK88" s="2760"/>
    </row>
    <row r="90" spans="1:37">
      <c r="A90" s="3387" t="s">
        <v>2944</v>
      </c>
      <c r="B90" s="3387"/>
      <c r="C90" s="3387"/>
      <c r="D90" s="3387"/>
      <c r="E90" s="3387"/>
      <c r="F90" s="3387"/>
      <c r="G90" s="3387"/>
      <c r="H90" s="3387"/>
      <c r="I90" s="3387"/>
      <c r="J90" s="3387"/>
      <c r="K90" s="2856"/>
      <c r="L90" s="2856"/>
      <c r="M90" s="2856"/>
      <c r="N90" s="2856"/>
    </row>
    <row r="91" spans="1:37">
      <c r="A91" s="3388" t="s">
        <v>2945</v>
      </c>
      <c r="B91" s="3388" t="s">
        <v>2946</v>
      </c>
      <c r="C91" s="2810" t="s">
        <v>2947</v>
      </c>
      <c r="D91" s="2811"/>
      <c r="E91" s="2811"/>
      <c r="F91" s="2811"/>
      <c r="G91" s="2811"/>
      <c r="H91" s="2811"/>
      <c r="I91" s="2811"/>
      <c r="J91" s="2857"/>
      <c r="K91" s="2858"/>
      <c r="L91" s="2858"/>
      <c r="M91" s="2858"/>
      <c r="N91" s="2858"/>
    </row>
    <row r="92" spans="1:37">
      <c r="A92" s="3388"/>
      <c r="B92" s="3388"/>
      <c r="C92" s="944" t="s">
        <v>2812</v>
      </c>
      <c r="D92" s="944" t="s">
        <v>2813</v>
      </c>
      <c r="E92" s="944" t="s">
        <v>2814</v>
      </c>
      <c r="F92" s="944" t="s">
        <v>2815</v>
      </c>
      <c r="G92" s="944" t="s">
        <v>2816</v>
      </c>
      <c r="H92" s="944" t="s">
        <v>2817</v>
      </c>
      <c r="I92" s="944" t="s">
        <v>2818</v>
      </c>
      <c r="J92" s="944" t="s">
        <v>2819</v>
      </c>
      <c r="K92" s="944" t="s">
        <v>2820</v>
      </c>
      <c r="L92" s="944" t="s">
        <v>2821</v>
      </c>
      <c r="M92" s="944" t="s">
        <v>2822</v>
      </c>
      <c r="N92" s="944" t="s">
        <v>2823</v>
      </c>
    </row>
    <row r="93" spans="1:37">
      <c r="A93" s="3380" t="s">
        <v>2948</v>
      </c>
      <c r="B93" s="2859">
        <v>1</v>
      </c>
      <c r="C93" s="2860">
        <v>1.9361999999999999</v>
      </c>
      <c r="D93" s="2860">
        <v>1.9361999999999999</v>
      </c>
      <c r="E93" s="2860">
        <v>1.8629</v>
      </c>
      <c r="F93" s="2860">
        <v>1.8629</v>
      </c>
      <c r="G93" s="2860">
        <v>1.8629</v>
      </c>
      <c r="H93" s="2860">
        <v>1.8629</v>
      </c>
      <c r="I93" s="2860">
        <v>1.8629</v>
      </c>
      <c r="J93" s="2860">
        <v>1.9419999999999999</v>
      </c>
      <c r="K93" s="2860">
        <v>1.9419999999999999</v>
      </c>
      <c r="L93" s="2860">
        <v>1.9419999999999999</v>
      </c>
      <c r="M93" s="2860">
        <v>1.9419999999999999</v>
      </c>
      <c r="N93" s="2860">
        <v>1.9419999999999999</v>
      </c>
    </row>
    <row r="94" spans="1:37">
      <c r="A94" s="3381"/>
      <c r="B94" s="2859">
        <v>2</v>
      </c>
      <c r="C94" s="2860">
        <v>1.4198</v>
      </c>
      <c r="D94" s="2860">
        <v>1.4198</v>
      </c>
      <c r="E94" s="2860">
        <v>1.3371999999999999</v>
      </c>
      <c r="F94" s="2860">
        <v>1.3371999999999999</v>
      </c>
      <c r="G94" s="2860">
        <v>1.3371999999999999</v>
      </c>
      <c r="H94" s="2860">
        <v>1.3371999999999999</v>
      </c>
      <c r="I94" s="2860">
        <v>1.3371999999999999</v>
      </c>
      <c r="J94" s="2860">
        <v>1.2799</v>
      </c>
      <c r="K94" s="2860">
        <v>1.2799</v>
      </c>
      <c r="L94" s="2860">
        <v>1.2799</v>
      </c>
      <c r="M94" s="2860">
        <v>1.2799</v>
      </c>
      <c r="N94" s="2860">
        <v>1.2799</v>
      </c>
    </row>
    <row r="95" spans="1:37">
      <c r="A95" s="3381"/>
      <c r="B95" s="2859">
        <v>3</v>
      </c>
      <c r="C95" s="2860">
        <v>1.1594</v>
      </c>
      <c r="D95" s="2860">
        <v>1.1594</v>
      </c>
      <c r="E95" s="2860">
        <v>1.0788</v>
      </c>
      <c r="F95" s="2860">
        <v>1.0788</v>
      </c>
      <c r="G95" s="2860">
        <v>1.0788</v>
      </c>
      <c r="H95" s="2860">
        <v>1.0788</v>
      </c>
      <c r="I95" s="2860">
        <v>1.0788</v>
      </c>
      <c r="J95" s="2860">
        <v>1.0072000000000001</v>
      </c>
      <c r="K95" s="2860">
        <v>1.0072000000000001</v>
      </c>
      <c r="L95" s="2860">
        <v>1.0072000000000001</v>
      </c>
      <c r="M95" s="2860">
        <v>1.0072000000000001</v>
      </c>
      <c r="N95" s="2860">
        <v>1.0072000000000001</v>
      </c>
    </row>
    <row r="96" spans="1:37">
      <c r="A96" s="3381"/>
      <c r="B96" s="2859">
        <v>4</v>
      </c>
      <c r="C96" s="2860">
        <v>0.96220000000000006</v>
      </c>
      <c r="D96" s="2860">
        <v>0.96220000000000006</v>
      </c>
      <c r="E96" s="2860">
        <v>0.86560000000000004</v>
      </c>
      <c r="F96" s="2860">
        <v>0.86560000000000004</v>
      </c>
      <c r="G96" s="2860">
        <v>0.86560000000000004</v>
      </c>
      <c r="H96" s="2860">
        <v>0.86560000000000004</v>
      </c>
      <c r="I96" s="2860">
        <v>0.86560000000000004</v>
      </c>
      <c r="J96" s="2860">
        <v>0.75249999999999995</v>
      </c>
      <c r="K96" s="2860">
        <v>0.75249999999999995</v>
      </c>
      <c r="L96" s="2860">
        <v>0.75249999999999995</v>
      </c>
      <c r="M96" s="2860">
        <v>0.75249999999999995</v>
      </c>
      <c r="N96" s="2860">
        <v>0.75249999999999995</v>
      </c>
    </row>
    <row r="97" spans="1:14">
      <c r="A97" s="3381"/>
      <c r="B97" s="2859">
        <v>5</v>
      </c>
      <c r="C97" s="2860">
        <v>0.8417</v>
      </c>
      <c r="D97" s="2860">
        <v>0.8417</v>
      </c>
      <c r="E97" s="2860">
        <v>0.73709999999999998</v>
      </c>
      <c r="F97" s="2860">
        <v>0.73709999999999998</v>
      </c>
      <c r="G97" s="2860">
        <v>0.73709999999999998</v>
      </c>
      <c r="H97" s="2860">
        <v>0.73709999999999998</v>
      </c>
      <c r="I97" s="2860">
        <v>0.73709999999999998</v>
      </c>
      <c r="J97" s="2860">
        <v>0.56589999999999996</v>
      </c>
      <c r="K97" s="2860">
        <v>0.56589999999999996</v>
      </c>
      <c r="L97" s="2860">
        <v>0.56589999999999996</v>
      </c>
      <c r="M97" s="2860">
        <v>0.56589999999999996</v>
      </c>
      <c r="N97" s="2860">
        <v>0.56589999999999996</v>
      </c>
    </row>
    <row r="98" spans="1:14">
      <c r="A98" s="3381"/>
      <c r="B98" s="2859">
        <v>6</v>
      </c>
      <c r="C98" s="2860">
        <v>0.76080000000000003</v>
      </c>
      <c r="D98" s="2860">
        <v>0.76080000000000003</v>
      </c>
      <c r="E98" s="2860">
        <v>0.6482</v>
      </c>
      <c r="F98" s="2860">
        <v>0.6482</v>
      </c>
      <c r="G98" s="2860">
        <v>0.6482</v>
      </c>
      <c r="H98" s="2860">
        <v>0.6482</v>
      </c>
      <c r="I98" s="2860">
        <v>0.6482</v>
      </c>
      <c r="J98" s="2860">
        <v>0.45250000000000001</v>
      </c>
      <c r="K98" s="2860">
        <v>0.45250000000000001</v>
      </c>
      <c r="L98" s="2860">
        <v>0.45250000000000001</v>
      </c>
      <c r="M98" s="2860">
        <v>0.45250000000000001</v>
      </c>
      <c r="N98" s="2860">
        <v>0.45250000000000001</v>
      </c>
    </row>
    <row r="99" spans="1:14">
      <c r="A99" s="3381"/>
      <c r="B99" s="2859" t="s">
        <v>2828</v>
      </c>
      <c r="C99" s="2861">
        <f>$I$3</f>
        <v>0</v>
      </c>
      <c r="D99" s="2861">
        <f t="shared" ref="D99:M99" si="31">$I$3</f>
        <v>0</v>
      </c>
      <c r="E99" s="2861">
        <f t="shared" si="31"/>
        <v>0</v>
      </c>
      <c r="F99" s="2861">
        <f t="shared" si="31"/>
        <v>0</v>
      </c>
      <c r="G99" s="2861">
        <f t="shared" si="31"/>
        <v>0</v>
      </c>
      <c r="H99" s="2861">
        <f t="shared" si="31"/>
        <v>0</v>
      </c>
      <c r="I99" s="2861">
        <f t="shared" si="31"/>
        <v>0</v>
      </c>
      <c r="J99" s="2861">
        <f t="shared" si="31"/>
        <v>0</v>
      </c>
      <c r="K99" s="2861">
        <f t="shared" si="31"/>
        <v>0</v>
      </c>
      <c r="L99" s="2861">
        <f t="shared" si="31"/>
        <v>0</v>
      </c>
      <c r="M99" s="2861">
        <f t="shared" si="31"/>
        <v>0</v>
      </c>
      <c r="N99" s="2861">
        <f>$I$3</f>
        <v>0</v>
      </c>
    </row>
    <row r="100" spans="1:14">
      <c r="A100" s="3382"/>
      <c r="B100" s="2859">
        <v>7</v>
      </c>
      <c r="C100" s="2862">
        <f>(-0.163*(C99^2)-0.59*C99+7617)*(10^(-4))</f>
        <v>0.76170000000000004</v>
      </c>
      <c r="D100" s="2862">
        <f>(-0.163*(D99^2)-0.59*D99+7617)*(10^(-4))</f>
        <v>0.76170000000000004</v>
      </c>
      <c r="E100" s="2862">
        <f>(-0.161*(E99^2)-7.509*E99+6533)*(10^(-4))</f>
        <v>0.65329999999999999</v>
      </c>
      <c r="F100" s="2862">
        <f>(-0.161*(F99^2)-7.509*F99+6533)*(10^(-4))</f>
        <v>0.65329999999999999</v>
      </c>
      <c r="G100" s="2862">
        <f>(-0.161*(G99^2)-7.509*G99+6533)*(10^(-4))</f>
        <v>0.65329999999999999</v>
      </c>
      <c r="H100" s="2862">
        <f>(-0.161*(H99^2)-7.509*H99+6533)*(10^(-4))</f>
        <v>0.65329999999999999</v>
      </c>
      <c r="I100" s="2862">
        <f>(-0.161*(I99^2)-7.509*I99+6533)*(10^(-4))</f>
        <v>0.65329999999999999</v>
      </c>
      <c r="J100" s="2862">
        <f>(-0.214*(J99^2)-21.991*J99+4665)*(10^(-4))</f>
        <v>0.46650000000000003</v>
      </c>
      <c r="K100" s="2862">
        <f>(-0.214*(K99^2)-21.991*K99+4665)*(10^(-4))</f>
        <v>0.46650000000000003</v>
      </c>
      <c r="L100" s="2862">
        <f>(-0.214*(L99^2)-21.991*L99+4665)*(10^(-4))</f>
        <v>0.46650000000000003</v>
      </c>
      <c r="M100" s="2862">
        <f>(-0.214*(M99^2)-21.991*M99+4665)*(10^(-4))</f>
        <v>0.46650000000000003</v>
      </c>
      <c r="N100" s="2862">
        <f>(-0.214*(N99^2)-21.991*N99+4665)*(10^(-4))</f>
        <v>0.46650000000000003</v>
      </c>
    </row>
    <row r="101" spans="1:14">
      <c r="A101" s="3380" t="s">
        <v>2949</v>
      </c>
      <c r="B101" s="2863" t="s">
        <v>2950</v>
      </c>
      <c r="C101" s="2864">
        <f>$G$3</f>
        <v>11.91</v>
      </c>
      <c r="D101" s="2864">
        <f t="shared" ref="D101:N101" si="32">$G$3</f>
        <v>11.91</v>
      </c>
      <c r="E101" s="2864">
        <f t="shared" si="32"/>
        <v>11.91</v>
      </c>
      <c r="F101" s="2864">
        <f t="shared" si="32"/>
        <v>11.91</v>
      </c>
      <c r="G101" s="2864">
        <f t="shared" si="32"/>
        <v>11.91</v>
      </c>
      <c r="H101" s="2864">
        <f t="shared" si="32"/>
        <v>11.91</v>
      </c>
      <c r="I101" s="2864">
        <f t="shared" si="32"/>
        <v>11.91</v>
      </c>
      <c r="J101" s="2864">
        <f t="shared" si="32"/>
        <v>11.91</v>
      </c>
      <c r="K101" s="2864">
        <f t="shared" si="32"/>
        <v>11.91</v>
      </c>
      <c r="L101" s="2864">
        <f t="shared" si="32"/>
        <v>11.91</v>
      </c>
      <c r="M101" s="2864">
        <f t="shared" si="32"/>
        <v>11.91</v>
      </c>
      <c r="N101" s="2864">
        <f t="shared" si="32"/>
        <v>11.91</v>
      </c>
    </row>
    <row r="102" spans="1:14">
      <c r="A102" s="3381"/>
      <c r="B102" s="2859">
        <v>1</v>
      </c>
      <c r="C102" s="2860">
        <f>1.9362/C101</f>
        <v>0.16256926952141057</v>
      </c>
      <c r="D102" s="2860">
        <f>1.9362/D101</f>
        <v>0.16256926952141057</v>
      </c>
      <c r="E102" s="2860">
        <f>1.8629/E101</f>
        <v>0.15641477749790092</v>
      </c>
      <c r="F102" s="2860">
        <f>1.8629/F101</f>
        <v>0.15641477749790092</v>
      </c>
      <c r="G102" s="2860">
        <f>1.8629/G101</f>
        <v>0.15641477749790092</v>
      </c>
      <c r="H102" s="2860">
        <f>1.8629/H101</f>
        <v>0.15641477749790092</v>
      </c>
      <c r="I102" s="2860">
        <f>1.8629/I101</f>
        <v>0.15641477749790092</v>
      </c>
      <c r="J102" s="2860">
        <f>1.942/J101</f>
        <v>0.16305625524769102</v>
      </c>
      <c r="K102" s="2860">
        <f>1.942/K101</f>
        <v>0.16305625524769102</v>
      </c>
      <c r="L102" s="2860">
        <f>1.942/L101</f>
        <v>0.16305625524769102</v>
      </c>
      <c r="M102" s="2860">
        <f>1.942/M101</f>
        <v>0.16305625524769102</v>
      </c>
      <c r="N102" s="2860">
        <f>1.942/N101</f>
        <v>0.16305625524769102</v>
      </c>
    </row>
    <row r="103" spans="1:14">
      <c r="A103" s="3381"/>
      <c r="B103" s="2859">
        <v>2</v>
      </c>
      <c r="C103" s="2860">
        <f>1.4198/C101</f>
        <v>0.11921074727120066</v>
      </c>
      <c r="D103" s="2860">
        <f>1.4198/D101</f>
        <v>0.11921074727120066</v>
      </c>
      <c r="E103" s="2860">
        <f>1.3372/E101</f>
        <v>0.1122753988245172</v>
      </c>
      <c r="F103" s="2860">
        <f>1.3372/F101</f>
        <v>0.1122753988245172</v>
      </c>
      <c r="G103" s="2860">
        <f>1.3372/G101</f>
        <v>0.1122753988245172</v>
      </c>
      <c r="H103" s="2860">
        <f>1.3372/H101</f>
        <v>0.1122753988245172</v>
      </c>
      <c r="I103" s="2860">
        <f>1.3372/I101</f>
        <v>0.1122753988245172</v>
      </c>
      <c r="J103" s="2860">
        <f>1.2799/J101</f>
        <v>0.10746431570109152</v>
      </c>
      <c r="K103" s="2860">
        <f>1.2799/K101</f>
        <v>0.10746431570109152</v>
      </c>
      <c r="L103" s="2860">
        <f>1.2799/L101</f>
        <v>0.10746431570109152</v>
      </c>
      <c r="M103" s="2860">
        <f>1.2799/M101</f>
        <v>0.10746431570109152</v>
      </c>
      <c r="N103" s="2860">
        <f>1.2799/N101</f>
        <v>0.10746431570109152</v>
      </c>
    </row>
    <row r="104" spans="1:14">
      <c r="A104" s="3381"/>
      <c r="B104" s="2859">
        <v>3</v>
      </c>
      <c r="C104" s="2860">
        <f>1.1594/C101</f>
        <v>9.7346767422334168E-2</v>
      </c>
      <c r="D104" s="2860">
        <f>1.1594/D101</f>
        <v>9.7346767422334168E-2</v>
      </c>
      <c r="E104" s="2860">
        <f>1.0788/E101</f>
        <v>9.0579345088161206E-2</v>
      </c>
      <c r="F104" s="2860">
        <f>1.0788/F101</f>
        <v>9.0579345088161206E-2</v>
      </c>
      <c r="G104" s="2860">
        <f>1.0788/G101</f>
        <v>9.0579345088161206E-2</v>
      </c>
      <c r="H104" s="2860">
        <f>1.0788/H101</f>
        <v>9.0579345088161206E-2</v>
      </c>
      <c r="I104" s="2860">
        <f>1.0788/I101</f>
        <v>9.0579345088161206E-2</v>
      </c>
      <c r="J104" s="2860">
        <f>1.0072/J101</f>
        <v>8.4567590260285486E-2</v>
      </c>
      <c r="K104" s="2860">
        <f>1.0072/K101</f>
        <v>8.4567590260285486E-2</v>
      </c>
      <c r="L104" s="2860">
        <f>1.0072/L101</f>
        <v>8.4567590260285486E-2</v>
      </c>
      <c r="M104" s="2860">
        <f>1.0072/M101</f>
        <v>8.4567590260285486E-2</v>
      </c>
      <c r="N104" s="2860">
        <f>1.0072/N101</f>
        <v>8.4567590260285486E-2</v>
      </c>
    </row>
    <row r="105" spans="1:14">
      <c r="A105" s="3381"/>
      <c r="B105" s="2859">
        <v>4</v>
      </c>
      <c r="C105" s="2860">
        <f>0.9622/C101</f>
        <v>8.0789252728799332E-2</v>
      </c>
      <c r="D105" s="2860">
        <f>0.9622/D101</f>
        <v>8.0789252728799332E-2</v>
      </c>
      <c r="E105" s="2860">
        <f>0.8656/E101</f>
        <v>7.26784214945424E-2</v>
      </c>
      <c r="F105" s="2860">
        <f>0.8656/F101</f>
        <v>7.26784214945424E-2</v>
      </c>
      <c r="G105" s="2860">
        <f>0.8656/G101</f>
        <v>7.26784214945424E-2</v>
      </c>
      <c r="H105" s="2860">
        <f>0.8656/H101</f>
        <v>7.26784214945424E-2</v>
      </c>
      <c r="I105" s="2860">
        <f>0.8656/I101</f>
        <v>7.26784214945424E-2</v>
      </c>
      <c r="J105" s="2860">
        <f>0.7525/J101</f>
        <v>6.3182199832073876E-2</v>
      </c>
      <c r="K105" s="2860">
        <f>0.7525/K101</f>
        <v>6.3182199832073876E-2</v>
      </c>
      <c r="L105" s="2860">
        <f>0.7525/L101</f>
        <v>6.3182199832073876E-2</v>
      </c>
      <c r="M105" s="2860">
        <f>0.7525/M101</f>
        <v>6.3182199832073876E-2</v>
      </c>
      <c r="N105" s="2860">
        <f>0.7525/N101</f>
        <v>6.3182199832073876E-2</v>
      </c>
    </row>
    <row r="106" spans="1:14">
      <c r="A106" s="3381"/>
      <c r="B106" s="2859">
        <v>5</v>
      </c>
      <c r="C106" s="2860">
        <f>0.8417/C101</f>
        <v>7.0671704450041978E-2</v>
      </c>
      <c r="D106" s="2860">
        <f>0.8417/D101</f>
        <v>7.0671704450041978E-2</v>
      </c>
      <c r="E106" s="2860">
        <f>0.7371/E101</f>
        <v>6.1889168765743068E-2</v>
      </c>
      <c r="F106" s="2860">
        <f>0.7371/F101</f>
        <v>6.1889168765743068E-2</v>
      </c>
      <c r="G106" s="2860">
        <f>0.7371/G101</f>
        <v>6.1889168765743068E-2</v>
      </c>
      <c r="H106" s="2860">
        <f>0.7371/H101</f>
        <v>6.1889168765743068E-2</v>
      </c>
      <c r="I106" s="2860">
        <f>0.7371/I101</f>
        <v>6.1889168765743068E-2</v>
      </c>
      <c r="J106" s="2860">
        <f>0.5659/J101</f>
        <v>4.7514693534844665E-2</v>
      </c>
      <c r="K106" s="2860">
        <f>0.5659/K101</f>
        <v>4.7514693534844665E-2</v>
      </c>
      <c r="L106" s="2860">
        <f>0.5659/L101</f>
        <v>4.7514693534844665E-2</v>
      </c>
      <c r="M106" s="2860">
        <f>0.5659/M101</f>
        <v>4.7514693534844665E-2</v>
      </c>
      <c r="N106" s="2860">
        <f>0.5659/N101</f>
        <v>4.7514693534844665E-2</v>
      </c>
    </row>
    <row r="107" spans="1:14">
      <c r="A107" s="3381"/>
      <c r="B107" s="2859">
        <v>6</v>
      </c>
      <c r="C107" s="2860">
        <f>0.7608/C101</f>
        <v>6.3879093198992445E-2</v>
      </c>
      <c r="D107" s="2860">
        <f>0.7608/D101</f>
        <v>6.3879093198992445E-2</v>
      </c>
      <c r="E107" s="2860">
        <f>0.6482/E101</f>
        <v>5.442485306465155E-2</v>
      </c>
      <c r="F107" s="2860">
        <f>0.6482/F101</f>
        <v>5.442485306465155E-2</v>
      </c>
      <c r="G107" s="2860">
        <f>0.6482/G101</f>
        <v>5.442485306465155E-2</v>
      </c>
      <c r="H107" s="2860">
        <f>0.6482/H101</f>
        <v>5.442485306465155E-2</v>
      </c>
      <c r="I107" s="2860">
        <f>0.6482/I101</f>
        <v>5.442485306465155E-2</v>
      </c>
      <c r="J107" s="2860">
        <f>0.4525/J101</f>
        <v>3.7993282955499579E-2</v>
      </c>
      <c r="K107" s="2860">
        <f>0.4525/K101</f>
        <v>3.7993282955499579E-2</v>
      </c>
      <c r="L107" s="2860">
        <f>0.4525/L101</f>
        <v>3.7993282955499579E-2</v>
      </c>
      <c r="M107" s="2860">
        <f>0.4525/M101</f>
        <v>3.7993282955499579E-2</v>
      </c>
      <c r="N107" s="2860">
        <f>0.4525/N101</f>
        <v>3.7993282955499579E-2</v>
      </c>
    </row>
    <row r="108" spans="1:14">
      <c r="A108" s="3381"/>
      <c r="B108" s="3265" t="s">
        <v>2951</v>
      </c>
      <c r="C108" s="2861">
        <f>C99</f>
        <v>0</v>
      </c>
      <c r="D108" s="2861">
        <f t="shared" ref="D108:N108" si="33">D99</f>
        <v>0</v>
      </c>
      <c r="E108" s="2861">
        <f t="shared" si="33"/>
        <v>0</v>
      </c>
      <c r="F108" s="2861">
        <f t="shared" si="33"/>
        <v>0</v>
      </c>
      <c r="G108" s="2861">
        <f t="shared" si="33"/>
        <v>0</v>
      </c>
      <c r="H108" s="2861">
        <f t="shared" si="33"/>
        <v>0</v>
      </c>
      <c r="I108" s="2861">
        <f t="shared" si="33"/>
        <v>0</v>
      </c>
      <c r="J108" s="2861">
        <f t="shared" si="33"/>
        <v>0</v>
      </c>
      <c r="K108" s="2861">
        <f t="shared" si="33"/>
        <v>0</v>
      </c>
      <c r="L108" s="2861">
        <f t="shared" si="33"/>
        <v>0</v>
      </c>
      <c r="M108" s="2861">
        <f t="shared" si="33"/>
        <v>0</v>
      </c>
      <c r="N108" s="2861">
        <f t="shared" si="33"/>
        <v>0</v>
      </c>
    </row>
    <row r="109" spans="1:14">
      <c r="A109" s="3382"/>
      <c r="B109" s="3266"/>
      <c r="C109" s="2862">
        <f>(-0.163*(C108^2)-0.59*C108+7617)*(10^(-4))/C101</f>
        <v>6.395465994962217E-2</v>
      </c>
      <c r="D109" s="2862">
        <f>(-0.163*(D108^2)-0.59*D108+7617)*(10^(-4))/D101</f>
        <v>6.395465994962217E-2</v>
      </c>
      <c r="E109" s="2862">
        <f>(-0.161*(E108^2)-7.509*E108+6533)*(10^(-4))/E101</f>
        <v>5.4853064651553318E-2</v>
      </c>
      <c r="F109" s="2862">
        <f>(-0.161*(F108^2)-7.509*F108+6533)*(10^(-4))/F101</f>
        <v>5.4853064651553318E-2</v>
      </c>
      <c r="G109" s="2862">
        <f>(-0.161*(G108^2)-7.509*G108+6533)*(10^(-4))/G101</f>
        <v>5.4853064651553318E-2</v>
      </c>
      <c r="H109" s="2862">
        <f>(-0.161*(H108^2)-7.509*H108+6533)*(10^(-4))/H101</f>
        <v>5.4853064651553318E-2</v>
      </c>
      <c r="I109" s="2862">
        <f>(-0.161*(I108^2)-7.509*I108+6533)*(10^(-4))/I101</f>
        <v>5.4853064651553318E-2</v>
      </c>
      <c r="J109" s="2862">
        <f>(-0.214*(J108^2)-21.991*J108+4665)*(10^(-4))/J101</f>
        <v>3.9168765743073049E-2</v>
      </c>
      <c r="K109" s="2862">
        <f>(-0.214*(K108^2)-21.991*K108+4665)*(10^(-4))/K101</f>
        <v>3.9168765743073049E-2</v>
      </c>
      <c r="L109" s="2862">
        <f>(-0.214*(L108^2)-21.991*L108+4665)*(10^(-4))/L101</f>
        <v>3.9168765743073049E-2</v>
      </c>
      <c r="M109" s="2862">
        <f>(-0.214*(M108^2)-21.991*M108+4665)*(10^(-4))/M101</f>
        <v>3.9168765743073049E-2</v>
      </c>
      <c r="N109" s="2862">
        <f>(-0.214*(N108^2)-21.991*N108+4665)*(10^(-4))/N101</f>
        <v>3.9168765743073049E-2</v>
      </c>
    </row>
    <row r="110" spans="1:14">
      <c r="A110" s="3383" t="s">
        <v>2952</v>
      </c>
      <c r="B110" s="3383"/>
      <c r="C110" s="3383"/>
      <c r="D110" s="3383"/>
      <c r="E110" s="3383"/>
      <c r="F110" s="3383"/>
      <c r="G110" s="3383"/>
      <c r="H110" s="3383"/>
      <c r="I110" s="3383"/>
      <c r="J110" s="3383"/>
      <c r="K110" s="2865"/>
      <c r="L110" s="2865"/>
      <c r="M110" s="2865"/>
      <c r="N110" s="2865"/>
    </row>
    <row r="112" spans="1:14" ht="13.5" thickBot="1"/>
    <row r="113" spans="1:13" ht="25.5" thickBot="1">
      <c r="A113" s="902" t="s">
        <v>2953</v>
      </c>
      <c r="B113" s="1289">
        <f>G3</f>
        <v>11.91</v>
      </c>
      <c r="C113" s="903" t="s">
        <v>2954</v>
      </c>
      <c r="D113" s="904">
        <f>SUMPRODUCT((A115:A118=F113)*(B114:M114=H113)*B115:M118)</f>
        <v>0.80610000000000004</v>
      </c>
      <c r="E113" s="2688" t="s">
        <v>2785</v>
      </c>
      <c r="F113" s="2867" t="str">
        <f>E2</f>
        <v>办公</v>
      </c>
      <c r="G113" s="2688" t="s">
        <v>2786</v>
      </c>
      <c r="H113" s="2867" t="str">
        <f>G2</f>
        <v>一级</v>
      </c>
      <c r="I113" s="2688"/>
      <c r="J113" s="2868"/>
      <c r="K113" s="2868"/>
      <c r="L113" s="2868"/>
      <c r="M113" s="2868"/>
    </row>
    <row r="114" spans="1:13">
      <c r="A114" s="907"/>
      <c r="B114" s="2869" t="s">
        <v>2955</v>
      </c>
      <c r="C114" s="2869" t="s">
        <v>2956</v>
      </c>
      <c r="D114" s="2869" t="s">
        <v>2957</v>
      </c>
      <c r="E114" s="2870" t="s">
        <v>2958</v>
      </c>
      <c r="F114" s="2870" t="s">
        <v>2959</v>
      </c>
      <c r="G114" s="2870" t="s">
        <v>2960</v>
      </c>
      <c r="H114" s="2871" t="s">
        <v>2961</v>
      </c>
      <c r="I114" s="2871" t="s">
        <v>2962</v>
      </c>
      <c r="J114" s="2872" t="s">
        <v>2963</v>
      </c>
      <c r="K114" s="2872" t="s">
        <v>2964</v>
      </c>
      <c r="L114" s="2872" t="s">
        <v>2965</v>
      </c>
      <c r="M114" s="2873" t="s">
        <v>2966</v>
      </c>
    </row>
    <row r="115" spans="1:13">
      <c r="A115" s="908" t="s">
        <v>2850</v>
      </c>
      <c r="B115" s="909">
        <f>ROUND(0.9335-0.0094*B113,4)</f>
        <v>0.82150000000000001</v>
      </c>
      <c r="C115" s="909">
        <f>B115</f>
        <v>0.82150000000000001</v>
      </c>
      <c r="D115" s="909">
        <f>ROUND(0.8331-0.0109*B113,4)</f>
        <v>0.70330000000000004</v>
      </c>
      <c r="E115" s="909">
        <f>D115</f>
        <v>0.70330000000000004</v>
      </c>
      <c r="F115" s="909">
        <f>E115</f>
        <v>0.70330000000000004</v>
      </c>
      <c r="G115" s="909">
        <f>F115</f>
        <v>0.70330000000000004</v>
      </c>
      <c r="H115" s="909">
        <f>G115</f>
        <v>0.70330000000000004</v>
      </c>
      <c r="I115" s="909">
        <f>ROUND(0.689-0.0155*B113,4)</f>
        <v>0.50439999999999996</v>
      </c>
      <c r="J115" s="909">
        <f t="shared" ref="J115:M118" si="34">I115</f>
        <v>0.50439999999999996</v>
      </c>
      <c r="K115" s="909">
        <f t="shared" si="34"/>
        <v>0.50439999999999996</v>
      </c>
      <c r="L115" s="909">
        <f t="shared" si="34"/>
        <v>0.50439999999999996</v>
      </c>
      <c r="M115" s="910">
        <f t="shared" si="34"/>
        <v>0.50439999999999996</v>
      </c>
    </row>
    <row r="116" spans="1:13">
      <c r="A116" s="908" t="s">
        <v>2851</v>
      </c>
      <c r="B116" s="909">
        <f>ROUND(0.949-0.012*B113,4)</f>
        <v>0.80610000000000004</v>
      </c>
      <c r="C116" s="909">
        <f>B116</f>
        <v>0.80610000000000004</v>
      </c>
      <c r="D116" s="909">
        <f>ROUND(0.8567-0.013*B113,4)</f>
        <v>0.70189999999999997</v>
      </c>
      <c r="E116" s="909">
        <f t="shared" ref="E116:H117" si="35">D116</f>
        <v>0.70189999999999997</v>
      </c>
      <c r="F116" s="909">
        <f t="shared" si="35"/>
        <v>0.70189999999999997</v>
      </c>
      <c r="G116" s="909">
        <f t="shared" si="35"/>
        <v>0.70189999999999997</v>
      </c>
      <c r="H116" s="909">
        <f t="shared" si="35"/>
        <v>0.70189999999999997</v>
      </c>
      <c r="I116" s="909">
        <f>ROUND(0.7694-0.014*B113,4)</f>
        <v>0.60270000000000001</v>
      </c>
      <c r="J116" s="909">
        <f t="shared" si="34"/>
        <v>0.60270000000000001</v>
      </c>
      <c r="K116" s="909">
        <f t="shared" si="34"/>
        <v>0.60270000000000001</v>
      </c>
      <c r="L116" s="909">
        <f t="shared" si="34"/>
        <v>0.60270000000000001</v>
      </c>
      <c r="M116" s="910">
        <f t="shared" si="34"/>
        <v>0.60270000000000001</v>
      </c>
    </row>
    <row r="117" spans="1:13">
      <c r="A117" s="908" t="s">
        <v>2852</v>
      </c>
      <c r="B117" s="909">
        <f>ROUND(0.8808-0.006*B113,4)</f>
        <v>0.80930000000000002</v>
      </c>
      <c r="C117" s="909">
        <f>B117</f>
        <v>0.80930000000000002</v>
      </c>
      <c r="D117" s="909">
        <f>ROUND(0.8748-0.008*B113,4)</f>
        <v>0.77949999999999997</v>
      </c>
      <c r="E117" s="909">
        <f t="shared" si="35"/>
        <v>0.77949999999999997</v>
      </c>
      <c r="F117" s="909">
        <f t="shared" si="35"/>
        <v>0.77949999999999997</v>
      </c>
      <c r="G117" s="909">
        <f t="shared" si="35"/>
        <v>0.77949999999999997</v>
      </c>
      <c r="H117" s="909">
        <f t="shared" si="35"/>
        <v>0.77949999999999997</v>
      </c>
      <c r="I117" s="909">
        <f>ROUND(0.7412-0.0095*B113,4)</f>
        <v>0.62809999999999999</v>
      </c>
      <c r="J117" s="909">
        <f t="shared" si="34"/>
        <v>0.62809999999999999</v>
      </c>
      <c r="K117" s="909">
        <f t="shared" si="34"/>
        <v>0.62809999999999999</v>
      </c>
      <c r="L117" s="909">
        <f t="shared" si="34"/>
        <v>0.62809999999999999</v>
      </c>
      <c r="M117" s="910">
        <f t="shared" si="34"/>
        <v>0.62809999999999999</v>
      </c>
    </row>
    <row r="118" spans="1:13" ht="13.5" thickBot="1">
      <c r="A118" s="713" t="s">
        <v>2853</v>
      </c>
      <c r="B118" s="911">
        <f>ROUND(0.7275-0.01*B113,4)</f>
        <v>0.60840000000000005</v>
      </c>
      <c r="C118" s="911">
        <f>B118</f>
        <v>0.60840000000000005</v>
      </c>
      <c r="D118" s="911">
        <f>ROUND(0.7043-0.012*B113,4)</f>
        <v>0.56140000000000001</v>
      </c>
      <c r="E118" s="911">
        <f>D118</f>
        <v>0.56140000000000001</v>
      </c>
      <c r="F118" s="911">
        <f>E118</f>
        <v>0.56140000000000001</v>
      </c>
      <c r="G118" s="911">
        <f>ROUND(0.6299-0.0122*B113,4)</f>
        <v>0.48459999999999998</v>
      </c>
      <c r="H118" s="911">
        <f>G118</f>
        <v>0.48459999999999998</v>
      </c>
      <c r="I118" s="911">
        <f>ROUND(0.5667-0.0136*B113,4)</f>
        <v>0.4047</v>
      </c>
      <c r="J118" s="911">
        <f t="shared" si="34"/>
        <v>0.4047</v>
      </c>
      <c r="K118" s="911">
        <f t="shared" si="34"/>
        <v>0.4047</v>
      </c>
      <c r="L118" s="911">
        <f t="shared" si="34"/>
        <v>0.4047</v>
      </c>
      <c r="M118" s="912">
        <f t="shared" si="34"/>
        <v>0.4047</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8" type="noConversion"/>
  <conditionalFormatting sqref="F48">
    <cfRule type="cellIs" dxfId="100" priority="5" stopIfTrue="1" operator="notEqual">
      <formula>"——"</formula>
    </cfRule>
  </conditionalFormatting>
  <conditionalFormatting sqref="F59">
    <cfRule type="cellIs" dxfId="99" priority="4" stopIfTrue="1" operator="notEqual">
      <formula>"——"</formula>
    </cfRule>
  </conditionalFormatting>
  <conditionalFormatting sqref="F70">
    <cfRule type="cellIs" dxfId="98" priority="3" stopIfTrue="1" operator="notEqual">
      <formula>"——"</formula>
    </cfRule>
  </conditionalFormatting>
  <conditionalFormatting sqref="F81">
    <cfRule type="cellIs" dxfId="97" priority="2" stopIfTrue="1" operator="notEqual">
      <formula>"——"</formula>
    </cfRule>
  </conditionalFormatting>
  <conditionalFormatting sqref="H48:H56 H59:H67 H70:H78 H81:H88">
    <cfRule type="cellIs" dxfId="9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G30" sqref="G3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3049</v>
      </c>
      <c r="D1" s="1822" t="s">
        <v>70</v>
      </c>
      <c r="E1" s="1823" t="s">
        <v>1387</v>
      </c>
      <c r="F1" s="1285">
        <f ca="1">J53</f>
        <v>34.9</v>
      </c>
      <c r="G1" s="1838">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48520</v>
      </c>
      <c r="C2" s="1847" t="s">
        <v>1516</v>
      </c>
      <c r="D2" s="1847"/>
      <c r="E2" s="1848"/>
      <c r="F2" s="1849"/>
      <c r="G2" s="1850"/>
      <c r="H2" s="1842"/>
      <c r="I2" s="1842"/>
      <c r="J2" s="1842"/>
      <c r="K2" s="1843"/>
      <c r="L2" s="1842"/>
      <c r="M2" s="1842"/>
    </row>
    <row r="3" spans="1:37" ht="18" customHeight="1" thickBot="1">
      <c r="A3" s="1851" t="s">
        <v>1517</v>
      </c>
      <c r="B3" s="1852">
        <f ca="1">IF(ISERROR(B2*10000/F43),0,ROUND(B2*10000/F43,0))</f>
        <v>20806</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f ca="1">C6+C10+C12</f>
        <v>2301</v>
      </c>
      <c r="D5" s="1824" t="s">
        <v>1402</v>
      </c>
      <c r="E5" s="1295"/>
      <c r="F5" s="1296"/>
      <c r="G5" s="1853"/>
      <c r="H5" s="343">
        <v>1</v>
      </c>
      <c r="I5" s="344" t="s">
        <v>1401</v>
      </c>
      <c r="J5" s="1294">
        <f ca="1">J6+J10+J12</f>
        <v>0</v>
      </c>
      <c r="K5" s="1824" t="s">
        <v>1402</v>
      </c>
      <c r="L5" s="1295"/>
      <c r="M5" s="1296"/>
    </row>
    <row r="6" spans="1:37" ht="18" customHeight="1">
      <c r="A6" s="1293" t="s">
        <v>1035</v>
      </c>
      <c r="B6" s="3343" t="s">
        <v>1403</v>
      </c>
      <c r="C6" s="1298">
        <f ca="1">ROUND(F6*F8*F7*(1-F9)/10000,0)</f>
        <v>2298</v>
      </c>
      <c r="D6" s="163" t="s">
        <v>3003</v>
      </c>
      <c r="E6" s="346" t="s">
        <v>1405</v>
      </c>
      <c r="F6" s="347">
        <f ca="1">INDIRECT("'数据-取费表'!u"&amp;$G$1)</f>
        <v>3</v>
      </c>
      <c r="G6" s="1853"/>
      <c r="H6" s="1293" t="s">
        <v>1035</v>
      </c>
      <c r="I6" s="3343" t="s">
        <v>1403</v>
      </c>
      <c r="J6" s="345">
        <f ca="1">ROUND(M6*M8*M7*(1-M9)/10000,0)</f>
        <v>0</v>
      </c>
      <c r="K6" s="163" t="s">
        <v>3002</v>
      </c>
      <c r="L6" s="346" t="s">
        <v>1405</v>
      </c>
      <c r="M6" s="347">
        <f ca="1">INDIRECT("'数据-取费表'!z"&amp;$G$1)</f>
        <v>0</v>
      </c>
    </row>
    <row r="7" spans="1:37" ht="18" customHeight="1">
      <c r="A7" s="1297"/>
      <c r="B7" s="3344"/>
      <c r="C7" s="1299"/>
      <c r="D7" s="351"/>
      <c r="E7" s="1300" t="s">
        <v>1406</v>
      </c>
      <c r="F7" s="347">
        <f ca="1">IF(INDIRECT("'数据-取费表'!ah"&amp;$G$1)="",INDIRECT("'数据-取费表'!k"&amp;$G$1),INDIRECT("'数据-取费表'!ah"&amp;$G$1))</f>
        <v>23320.11</v>
      </c>
      <c r="G7" s="1853"/>
      <c r="H7" s="348"/>
      <c r="I7" s="3344"/>
      <c r="J7" s="350"/>
      <c r="K7" s="351"/>
      <c r="L7" s="346" t="s">
        <v>1406</v>
      </c>
      <c r="M7" s="347">
        <f ca="1">F7</f>
        <v>23320.11</v>
      </c>
    </row>
    <row r="8" spans="1:37" ht="18" customHeight="1">
      <c r="A8" s="348"/>
      <c r="B8" s="3344"/>
      <c r="C8" s="350"/>
      <c r="D8" s="351"/>
      <c r="E8" s="346" t="s">
        <v>1407</v>
      </c>
      <c r="F8" s="347">
        <f ca="1">INDIRECT("'数据-取费表'!ai"&amp;$G$1)</f>
        <v>365</v>
      </c>
      <c r="G8" s="1853"/>
      <c r="H8" s="348"/>
      <c r="I8" s="3344"/>
      <c r="J8" s="350"/>
      <c r="K8" s="351"/>
      <c r="L8" s="346" t="s">
        <v>1407</v>
      </c>
      <c r="M8" s="347">
        <f ca="1">INDIRECT("'数据-取费表'!ai"&amp;$G$1)</f>
        <v>365</v>
      </c>
    </row>
    <row r="9" spans="1:37" ht="18" customHeight="1">
      <c r="A9" s="348"/>
      <c r="B9" s="3345"/>
      <c r="C9" s="350"/>
      <c r="D9" s="351"/>
      <c r="E9" s="346" t="s">
        <v>1408</v>
      </c>
      <c r="F9" s="356">
        <f ca="1">INDIRECT("'数据-取费表'!w"&amp;$G$1)</f>
        <v>0.1</v>
      </c>
      <c r="G9" s="1853"/>
      <c r="H9" s="348"/>
      <c r="I9" s="3345"/>
      <c r="J9" s="350"/>
      <c r="K9" s="351"/>
      <c r="L9" s="357" t="s">
        <v>1408</v>
      </c>
      <c r="M9" s="358">
        <f ca="1">INDIRECT("'数据-取费表'!ab"&amp;$G$1)</f>
        <v>0</v>
      </c>
    </row>
    <row r="10" spans="1:37" ht="18" customHeight="1">
      <c r="A10" s="1293" t="s">
        <v>1039</v>
      </c>
      <c r="B10" s="1825" t="s">
        <v>1409</v>
      </c>
      <c r="C10" s="360">
        <f ca="1">ROUND(IF(F10="押一",C6/12*F11,IF(F10="押二",C6/12*2*F11,IF(F10="押三",C6/12*3*F11,C11*F11))),0)</f>
        <v>3</v>
      </c>
      <c r="D10" s="1826" t="s">
        <v>3012</v>
      </c>
      <c r="E10" s="357" t="s">
        <v>1410</v>
      </c>
      <c r="F10" s="1368" t="s">
        <v>3250</v>
      </c>
      <c r="G10" s="1853"/>
      <c r="H10" s="1293" t="s">
        <v>1039</v>
      </c>
      <c r="I10" s="1825" t="s">
        <v>1409</v>
      </c>
      <c r="J10" s="345">
        <f ca="1">ROUND(IF(M10="押一",J6/12*M11,IF(M10="押二",J6/12*2*M11,IF(M10="押三",J6/12*3*M11,J11*M11))),0)</f>
        <v>0</v>
      </c>
      <c r="K10" s="1826" t="s">
        <v>3011</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9692</v>
      </c>
      <c r="D13" s="1333" t="s">
        <v>1415</v>
      </c>
      <c r="E13" s="1333" t="s">
        <v>1416</v>
      </c>
      <c r="F13" s="1334">
        <f ca="1">INDIRECT("'数据-取费表'!y"&amp;$G$1)</f>
        <v>0.92</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7118</v>
      </c>
      <c r="D14" s="1802" t="s">
        <v>1418</v>
      </c>
      <c r="E14" s="1796"/>
      <c r="F14" s="363"/>
      <c r="G14" s="1853"/>
      <c r="H14" s="1203" t="s">
        <v>1035</v>
      </c>
      <c r="I14" s="346" t="s">
        <v>1419</v>
      </c>
      <c r="J14" s="24">
        <f ca="1">C29</f>
        <v>10535</v>
      </c>
      <c r="K14" s="15"/>
      <c r="L14" s="981"/>
      <c r="M14" s="982"/>
    </row>
    <row r="15" spans="1:37" s="1860" customFormat="1" ht="18" customHeight="1" thickBot="1">
      <c r="A15" s="1203" t="s">
        <v>1036</v>
      </c>
      <c r="B15" s="346" t="s">
        <v>1420</v>
      </c>
      <c r="C15" s="24">
        <f ca="1">ROUND(C14*F15,0)</f>
        <v>356</v>
      </c>
      <c r="D15" s="364" t="s">
        <v>1421</v>
      </c>
      <c r="E15" s="364" t="s">
        <v>1422</v>
      </c>
      <c r="F15" s="365">
        <f>'数据-取费表'!B33</f>
        <v>0.05</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251</v>
      </c>
      <c r="K16" s="1339" t="s">
        <v>1425</v>
      </c>
      <c r="L16" s="1340"/>
      <c r="M16" s="1296"/>
    </row>
    <row r="17" spans="1:37" s="1860" customFormat="1" ht="18" customHeight="1">
      <c r="A17" s="1203" t="s">
        <v>1390</v>
      </c>
      <c r="B17" s="346" t="s">
        <v>1426</v>
      </c>
      <c r="C17" s="24">
        <f ca="1">ROUND(F17*(F43+INDIRECT("'数据-取费表'!S"&amp;$G$1))/10000,0)</f>
        <v>476</v>
      </c>
      <c r="D17" s="346" t="s">
        <v>1427</v>
      </c>
      <c r="E17" s="346" t="s">
        <v>1428</v>
      </c>
      <c r="F17" s="26">
        <f>'数据-取费表'!B35</f>
        <v>200</v>
      </c>
      <c r="G17" s="1856"/>
      <c r="H17" s="1203" t="s">
        <v>1035</v>
      </c>
      <c r="I17" s="346" t="s">
        <v>1429</v>
      </c>
      <c r="J17" s="24">
        <f ca="1">ROUND(IF(项目基本情况!B11="自然人",J5*M17,J18+J19+J20),1)</f>
        <v>93.2</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107</v>
      </c>
      <c r="D18" s="346" t="s">
        <v>1421</v>
      </c>
      <c r="E18" s="346" t="s">
        <v>1422</v>
      </c>
      <c r="F18" s="366">
        <f>'数据-取费表'!B36</f>
        <v>1.4999999999999999E-2</v>
      </c>
      <c r="G18" s="1856"/>
      <c r="H18" s="1203" t="s">
        <v>1034</v>
      </c>
      <c r="I18" s="346" t="s">
        <v>1433</v>
      </c>
      <c r="J18" s="24">
        <f ca="1">ROUND(J5*M18/(1+'数据-取费表'!C42),2)</f>
        <v>0</v>
      </c>
      <c r="K18" s="1800"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8057</v>
      </c>
      <c r="D19" s="139" t="s">
        <v>1436</v>
      </c>
      <c r="E19" s="1820"/>
      <c r="F19" s="26"/>
      <c r="G19" s="1853"/>
      <c r="H19" s="1203" t="s">
        <v>1036</v>
      </c>
      <c r="I19" s="346" t="s">
        <v>1437</v>
      </c>
      <c r="J19" s="24">
        <f ca="1">IF(K19="按租金收入计税",ROUND(J5*M19,2),ROUND(C29*M19*0.7,2))</f>
        <v>88.49</v>
      </c>
      <c r="K19" s="1830" t="s">
        <v>1438</v>
      </c>
      <c r="L19" s="346" t="s">
        <v>1422</v>
      </c>
      <c r="M19" s="366">
        <f>IF(K19="按租金收入计税",'数据-取费表'!B51,'数据-取费表'!B50)</f>
        <v>1.2E-2</v>
      </c>
    </row>
    <row r="20" spans="1:37" s="1860" customFormat="1" ht="18" customHeight="1">
      <c r="A20" s="1203" t="s">
        <v>1039</v>
      </c>
      <c r="B20" s="346" t="s">
        <v>1439</v>
      </c>
      <c r="C20" s="24">
        <f ca="1">ROUND(C19*F20,0)</f>
        <v>242</v>
      </c>
      <c r="D20" s="368" t="s">
        <v>1440</v>
      </c>
      <c r="E20" s="346" t="s">
        <v>1422</v>
      </c>
      <c r="F20" s="366">
        <f>'数据-取费表'!B37</f>
        <v>0.03</v>
      </c>
      <c r="G20" s="1856"/>
      <c r="H20" s="1203" t="s">
        <v>1389</v>
      </c>
      <c r="I20" s="163" t="s">
        <v>1441</v>
      </c>
      <c r="J20" s="25">
        <f ca="1">ROUND(M20*M21/10000,2)</f>
        <v>4.66</v>
      </c>
      <c r="K20" s="369" t="s">
        <v>1442</v>
      </c>
      <c r="L20" s="346" t="s">
        <v>1443</v>
      </c>
      <c r="M20" s="370">
        <f>'数据-取费表'!B52</f>
        <v>30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18</v>
      </c>
      <c r="D21" s="368" t="s">
        <v>1445</v>
      </c>
      <c r="E21" s="346" t="s">
        <v>1446</v>
      </c>
      <c r="F21" s="366">
        <f>'数据-取费表'!B38</f>
        <v>0.02</v>
      </c>
      <c r="G21" s="1856"/>
      <c r="H21" s="371"/>
      <c r="I21" s="355"/>
      <c r="J21" s="29"/>
      <c r="K21" s="372"/>
      <c r="L21" s="346" t="s">
        <v>1447</v>
      </c>
      <c r="M21" s="347">
        <f ca="1">INDIRECT("'数据-取费表'!r"&amp;$G$1)</f>
        <v>1552.1499999999999</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1820"/>
      <c r="F22" s="26"/>
      <c r="G22" s="1853"/>
      <c r="H22" s="1203" t="s">
        <v>1039</v>
      </c>
      <c r="I22" s="346" t="s">
        <v>1449</v>
      </c>
      <c r="J22" s="24">
        <f ca="1">ROUND(J14*M22,1)</f>
        <v>158</v>
      </c>
      <c r="K22" s="1800" t="s">
        <v>1450</v>
      </c>
      <c r="L22" s="346" t="s">
        <v>1422</v>
      </c>
      <c r="M22" s="373">
        <f ca="1">INDIRECT("'数据-取费表'!Ak"&amp;$G$1)</f>
        <v>1.4999999999999999E-2</v>
      </c>
    </row>
    <row r="23" spans="1:37" s="1860" customFormat="1" ht="18" customHeight="1">
      <c r="A23" s="1203" t="s">
        <v>1034</v>
      </c>
      <c r="B23" s="346" t="s">
        <v>1451</v>
      </c>
      <c r="C23" s="24">
        <f ca="1">IF('数据-取费表'!B22&lt;=1,ROUND(C19*F24*F23/2,0)+ROUND(C20*F24*F23/2,0),ROUND(C19*(POWER((1+F24),F23/2)-1),0)+ROUND(C20*(POWER((1+F24),F23/2)-1),0))</f>
        <v>598</v>
      </c>
      <c r="D23" s="374" t="str">
        <f>IF(F23&lt;=1,"(建造成本+管理费用)×利率×(建设周期÷2)","(建造成本+管理费用)×((1+利率)^(建设周期÷2)-1)")</f>
        <v>(建造成本+管理费用)×((1+利率)^(建设周期÷2)-1)</v>
      </c>
      <c r="E23" s="346" t="s">
        <v>1452</v>
      </c>
      <c r="F23" s="370">
        <f>'数据-取费表'!B20</f>
        <v>3</v>
      </c>
      <c r="G23" s="1856"/>
      <c r="H23" s="1203" t="s">
        <v>1075</v>
      </c>
      <c r="I23" s="346" t="s">
        <v>1453</v>
      </c>
      <c r="J23" s="24">
        <f ca="1">ROUND(J13*M23,1)</f>
        <v>0</v>
      </c>
      <c r="K23" s="1800" t="s">
        <v>1454</v>
      </c>
      <c r="L23" s="346" t="s">
        <v>1455</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6"/>
      <c r="H24" s="1341" t="s">
        <v>1393</v>
      </c>
      <c r="I24" s="1342" t="s">
        <v>1439</v>
      </c>
      <c r="J24" s="1343">
        <f ca="1">ROUND(J5*M24,1)</f>
        <v>0</v>
      </c>
      <c r="K24" s="1344" t="s">
        <v>1459</v>
      </c>
      <c r="L24" s="1342" t="s">
        <v>1455</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39" t="s">
        <v>1462</v>
      </c>
      <c r="E25" s="1820"/>
      <c r="F25" s="26"/>
      <c r="G25" s="1853"/>
      <c r="H25" s="1331" t="s">
        <v>1031</v>
      </c>
      <c r="I25" s="1346" t="s">
        <v>1463</v>
      </c>
      <c r="J25" s="354">
        <f ca="1">J5-J16</f>
        <v>-251</v>
      </c>
      <c r="K25" s="1347" t="s">
        <v>1464</v>
      </c>
      <c r="L25" s="1348"/>
      <c r="M25" s="1349"/>
    </row>
    <row r="26" spans="1:37">
      <c r="A26" s="1203" t="s">
        <v>1034</v>
      </c>
      <c r="B26" s="346" t="s">
        <v>1465</v>
      </c>
      <c r="C26" s="24">
        <f ca="1">ROUND((C19+C20)*F26,0)</f>
        <v>830</v>
      </c>
      <c r="D26" s="368" t="s">
        <v>1466</v>
      </c>
      <c r="E26" s="357" t="s">
        <v>1467</v>
      </c>
      <c r="F26" s="356">
        <f ca="1">INDIRECT("'数据-取费表'!q"&amp;$G$1)</f>
        <v>0.1</v>
      </c>
      <c r="G26" s="1853"/>
      <c r="H26" s="343" t="s">
        <v>1032</v>
      </c>
      <c r="I26" s="344" t="s">
        <v>1468</v>
      </c>
      <c r="J26" s="345">
        <f ca="1">IF(J5&lt;&gt;0,ROUND(J25*(1-((1+M28)/(1+M26))^M27)/(M26-M28),0),0)</f>
        <v>0</v>
      </c>
      <c r="K26" s="369" t="s">
        <v>1469</v>
      </c>
      <c r="L26" s="346" t="s">
        <v>1470</v>
      </c>
      <c r="M26" s="356">
        <f ca="1">INDIRECT("'数据-取费表'!I"&amp;$G$1)</f>
        <v>4.4999999999999998E-2</v>
      </c>
    </row>
    <row r="27" spans="1:37" ht="18" customHeight="1">
      <c r="A27" s="1203" t="s">
        <v>1036</v>
      </c>
      <c r="B27" s="346" t="s">
        <v>1471</v>
      </c>
      <c r="C27" s="24">
        <f ca="1">ROUND(F21*F26,4)</f>
        <v>2E-3</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10535</v>
      </c>
      <c r="D29" s="1344"/>
      <c r="E29" s="1342"/>
      <c r="F29" s="1345"/>
      <c r="G29" s="1856"/>
      <c r="H29" s="379" t="s">
        <v>1033</v>
      </c>
      <c r="I29" s="380" t="s">
        <v>1479</v>
      </c>
      <c r="J29" s="381">
        <f ca="1">ROUND(J26/(1+F40)^F41,0)</f>
        <v>0</v>
      </c>
      <c r="K29" s="382" t="s">
        <v>1480</v>
      </c>
      <c r="L29" s="383"/>
      <c r="M29" s="384">
        <f ca="1">INDIRECT("'数据-取费表'!k"&amp;$G$1)</f>
        <v>23320.11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599</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ROUND(IF(项目基本情况!B11="自然人",C5*F31,C32+C33+C34),1)</f>
        <v>403.5</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IF(项目基本情况!B11="自然人","——",ROUND(C5*F32/(1+'数据-取费表'!C42),2))</f>
        <v>122.72</v>
      </c>
      <c r="D32" s="1800" t="s">
        <v>1434</v>
      </c>
      <c r="E32" s="346" t="s">
        <v>1422</v>
      </c>
      <c r="F32" s="376">
        <f>'数据-取费表'!B41</f>
        <v>5.6000000000000001E-2</v>
      </c>
      <c r="G32" s="1853"/>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276.12</v>
      </c>
      <c r="D33" s="1830" t="s">
        <v>3251</v>
      </c>
      <c r="E33" s="346" t="s">
        <v>1422</v>
      </c>
      <c r="F33" s="366">
        <f>IF(D33="按票据","——",IF(D33="按租金收入计税",'数据-取费表'!B51,'数据-取费表'!B50))</f>
        <v>0.12</v>
      </c>
      <c r="G33" s="1853"/>
      <c r="H33" s="1861"/>
      <c r="I33" s="1862"/>
      <c r="J33" s="1863"/>
      <c r="K33" s="1864"/>
      <c r="L33" s="1861"/>
      <c r="M33" s="1861"/>
    </row>
    <row r="34" spans="1:18" ht="18" customHeight="1">
      <c r="A34" s="1293" t="s">
        <v>1389</v>
      </c>
      <c r="B34" s="163" t="s">
        <v>1441</v>
      </c>
      <c r="C34" s="25">
        <f ca="1">IF(项目基本情况!B11="自然人","——",ROUND(F34*F35/10000,2))</f>
        <v>4.66</v>
      </c>
      <c r="D34" s="369" t="s">
        <v>1442</v>
      </c>
      <c r="E34" s="346" t="s">
        <v>1443</v>
      </c>
      <c r="F34" s="370">
        <f>'数据-取费表'!B52</f>
        <v>30</v>
      </c>
      <c r="G34" s="1853"/>
      <c r="H34" s="744"/>
      <c r="I34" s="1862"/>
      <c r="J34" s="1863"/>
      <c r="K34" s="1865"/>
      <c r="L34" s="1866"/>
      <c r="M34" s="1866"/>
    </row>
    <row r="35" spans="1:18" ht="18" customHeight="1">
      <c r="A35" s="1355"/>
      <c r="B35" s="1353"/>
      <c r="C35" s="29"/>
      <c r="D35" s="372"/>
      <c r="E35" s="346" t="s">
        <v>1447</v>
      </c>
      <c r="F35" s="347">
        <f ca="1">INDIRECT("'数据-取费表'!r"&amp;$G$1)</f>
        <v>1552.1499999999999</v>
      </c>
      <c r="G35" s="1853"/>
      <c r="H35" s="744"/>
      <c r="I35" s="1862"/>
      <c r="J35" s="1863"/>
      <c r="K35" s="1864"/>
      <c r="L35" s="1861"/>
      <c r="M35" s="1861"/>
    </row>
    <row r="36" spans="1:18" ht="18" customHeight="1">
      <c r="A36" s="1354" t="s">
        <v>1039</v>
      </c>
      <c r="B36" s="346" t="s">
        <v>1449</v>
      </c>
      <c r="C36" s="24">
        <f ca="1">ROUND(C29*F36,1)</f>
        <v>158</v>
      </c>
      <c r="D36" s="1800" t="s">
        <v>1482</v>
      </c>
      <c r="E36" s="346" t="s">
        <v>1422</v>
      </c>
      <c r="F36" s="373">
        <f ca="1">INDIRECT("'数据-取费表'!Ak"&amp;$G$1)</f>
        <v>1.4999999999999999E-2</v>
      </c>
      <c r="G36" s="1853"/>
      <c r="H36" s="1861"/>
      <c r="I36" s="1862"/>
      <c r="J36" s="1863"/>
      <c r="K36" s="750"/>
      <c r="L36" s="1861"/>
      <c r="M36" s="1861"/>
    </row>
    <row r="37" spans="1:18" ht="18" customHeight="1">
      <c r="A37" s="1203" t="s">
        <v>1075</v>
      </c>
      <c r="B37" s="346" t="s">
        <v>1453</v>
      </c>
      <c r="C37" s="24">
        <f ca="1">ROUND(C13*F37,1)</f>
        <v>14.5</v>
      </c>
      <c r="D37" s="1800" t="s">
        <v>1454</v>
      </c>
      <c r="E37" s="346" t="s">
        <v>1455</v>
      </c>
      <c r="F37" s="375">
        <f ca="1">INDIRECT("'数据-取费表'!Al"&amp;$G$1)</f>
        <v>1.5E-3</v>
      </c>
      <c r="G37" s="1853"/>
      <c r="H37" s="1861"/>
      <c r="I37" s="1862"/>
      <c r="J37" s="1863"/>
      <c r="K37" s="750"/>
      <c r="L37" s="1861"/>
      <c r="M37" s="1861"/>
    </row>
    <row r="38" spans="1:18" ht="18" customHeight="1" thickBot="1">
      <c r="A38" s="1341" t="s">
        <v>1393</v>
      </c>
      <c r="B38" s="1342" t="s">
        <v>1439</v>
      </c>
      <c r="C38" s="1343">
        <f ca="1">ROUND(C5*F38,1)</f>
        <v>23</v>
      </c>
      <c r="D38" s="1344" t="s">
        <v>1459</v>
      </c>
      <c r="E38" s="1342" t="s">
        <v>1455</v>
      </c>
      <c r="F38" s="1338">
        <f ca="1">INDIRECT("'数据-取费表'!Am"&amp;$G$1)</f>
        <v>0.01</v>
      </c>
      <c r="G38" s="1853"/>
      <c r="H38" s="1861"/>
      <c r="I38" s="1862"/>
      <c r="J38" s="1863"/>
      <c r="K38" s="1867"/>
      <c r="L38" s="1861"/>
      <c r="M38" s="1861"/>
    </row>
    <row r="39" spans="1:18" ht="24.6" customHeight="1" thickTop="1">
      <c r="A39" s="1331" t="s">
        <v>1031</v>
      </c>
      <c r="B39" s="1346" t="s">
        <v>1483</v>
      </c>
      <c r="C39" s="354">
        <f ca="1">C5-C30</f>
        <v>1702</v>
      </c>
      <c r="D39" s="1347" t="s">
        <v>1484</v>
      </c>
      <c r="E39" s="1348"/>
      <c r="F39" s="1349"/>
      <c r="G39" s="1853"/>
      <c r="H39" s="1861"/>
      <c r="I39" s="1862"/>
      <c r="J39" s="1863"/>
      <c r="K39" s="1867"/>
      <c r="L39" s="1861"/>
      <c r="M39" s="1861"/>
    </row>
    <row r="40" spans="1:18" ht="18" customHeight="1">
      <c r="A40" s="343" t="s">
        <v>1032</v>
      </c>
      <c r="B40" s="344" t="s">
        <v>1485</v>
      </c>
      <c r="C40" s="345">
        <f ca="1">ROUND(C39*(1-((1+F42)/(1+F40))^F41)/(F40-F42),0)</f>
        <v>48520</v>
      </c>
      <c r="D40" s="369" t="s">
        <v>1469</v>
      </c>
      <c r="E40" s="346" t="s">
        <v>1470</v>
      </c>
      <c r="F40" s="356">
        <f ca="1">INDIRECT("'数据-取费表'!I"&amp;$G$1)</f>
        <v>4.4999999999999998E-2</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34.9</v>
      </c>
      <c r="G41" s="1853"/>
      <c r="H41" s="731"/>
      <c r="I41" s="1862"/>
      <c r="J41" s="1863"/>
      <c r="K41" s="750"/>
      <c r="L41" s="731"/>
      <c r="M41" s="731"/>
    </row>
    <row r="42" spans="1:18" ht="18" customHeight="1">
      <c r="A42" s="352"/>
      <c r="B42" s="353"/>
      <c r="C42" s="354"/>
      <c r="D42" s="372"/>
      <c r="E42" s="346" t="s">
        <v>1477</v>
      </c>
      <c r="F42" s="356">
        <f ca="1">INDIRECT("'数据-取费表'!v"&amp;$G$1)</f>
        <v>3.5000000000000003E-2</v>
      </c>
      <c r="G42" s="1853"/>
      <c r="H42" s="731"/>
      <c r="I42" s="1862"/>
      <c r="J42" s="1863"/>
      <c r="K42" s="750"/>
      <c r="L42" s="731"/>
      <c r="M42" s="731"/>
    </row>
    <row r="43" spans="1:18" ht="18" customHeight="1" thickBot="1">
      <c r="A43" s="379" t="s">
        <v>1033</v>
      </c>
      <c r="B43" s="380" t="s">
        <v>1487</v>
      </c>
      <c r="C43" s="381">
        <f ca="1">ROUND(C40*10000/F43,0)</f>
        <v>20806</v>
      </c>
      <c r="D43" s="382" t="s">
        <v>1488</v>
      </c>
      <c r="E43" s="383" t="s">
        <v>1489</v>
      </c>
      <c r="F43" s="384">
        <f ca="1">INDIRECT("'数据-取费表'!k"&amp;$G$1)</f>
        <v>23320.11</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-67041</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3252</v>
      </c>
      <c r="K47" s="1884" t="s">
        <v>1527</v>
      </c>
      <c r="L47" s="1885">
        <f ca="1">INDIRECT("'数据-取费表'!d"&amp;$G$1)</f>
        <v>50</v>
      </c>
      <c r="M47" s="1840" t="str">
        <f>IF(ISNUMBER(FIND("住宅",C1)),"住宅","非住宅")</f>
        <v>非住宅</v>
      </c>
      <c r="O47" s="1886" t="s">
        <v>1040</v>
      </c>
      <c r="P47" s="1887" t="s">
        <v>1528</v>
      </c>
      <c r="Q47" s="1888">
        <f ca="1">C40+J29</f>
        <v>48520</v>
      </c>
      <c r="R47" s="1888" t="s">
        <v>1529</v>
      </c>
    </row>
    <row r="48" spans="1:18" s="1844" customFormat="1" ht="28.5" thickBot="1">
      <c r="A48" s="1362" t="s">
        <v>1135</v>
      </c>
      <c r="B48" s="344" t="s">
        <v>1401</v>
      </c>
      <c r="C48" s="1819">
        <f ca="1">C49+C53+C55</f>
        <v>0</v>
      </c>
      <c r="D48" s="1364"/>
      <c r="E48" s="1365"/>
      <c r="F48" s="1183"/>
      <c r="G48" s="791"/>
      <c r="H48" s="792"/>
      <c r="I48" s="1889" t="s">
        <v>1530</v>
      </c>
      <c r="J48" s="1890" t="s">
        <v>3253</v>
      </c>
      <c r="K48" s="1891" t="s">
        <v>1531</v>
      </c>
      <c r="L48" s="1892">
        <f ca="1">INDIRECT("'数据-取费表'!f"&amp;$G$1)</f>
        <v>34.9</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3004</v>
      </c>
      <c r="E49" s="1832" t="s">
        <v>1491</v>
      </c>
      <c r="F49" s="1283"/>
      <c r="G49" s="1893"/>
      <c r="H49" s="792"/>
      <c r="I49" s="1889" t="s">
        <v>1534</v>
      </c>
      <c r="J49" s="1894">
        <v>2011</v>
      </c>
      <c r="K49" s="1891" t="s">
        <v>1535</v>
      </c>
      <c r="L49" s="1895"/>
      <c r="O49" s="1896" t="s">
        <v>1042</v>
      </c>
      <c r="P49" s="1887" t="s">
        <v>1536</v>
      </c>
      <c r="Q49" s="1888">
        <f ca="1">C29</f>
        <v>10535</v>
      </c>
      <c r="R49" s="1888" t="s">
        <v>1529</v>
      </c>
    </row>
    <row r="50" spans="1:18" s="1844" customFormat="1" ht="13.5" thickBot="1">
      <c r="A50" s="1197"/>
      <c r="B50" s="1200"/>
      <c r="C50" s="1370"/>
      <c r="D50" s="1174"/>
      <c r="E50" s="1279" t="s">
        <v>1406</v>
      </c>
      <c r="F50" s="1280">
        <f ca="1">F7</f>
        <v>23320.11</v>
      </c>
      <c r="H50" s="792"/>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7">
        <f ca="1">F8</f>
        <v>365</v>
      </c>
      <c r="I51" s="1900" t="s">
        <v>1540</v>
      </c>
      <c r="J51" s="1901">
        <f>IF(J49="",J50,J49+J50-YEAR('数据-取费表'!B2))</f>
        <v>53</v>
      </c>
      <c r="K51" s="1902" t="s">
        <v>1541</v>
      </c>
      <c r="L51" s="1903">
        <f ca="1">ROUND(-PV(INDIRECT("'数据-取费表'!h"&amp;$G$1),L48,(C39-C13*C76),0),0)</f>
        <v>15315</v>
      </c>
      <c r="M51" s="1904"/>
      <c r="O51" s="1896" t="s">
        <v>1044</v>
      </c>
      <c r="P51" s="1887" t="s">
        <v>1542</v>
      </c>
      <c r="Q51" s="1899">
        <f>J52</f>
        <v>0.09</v>
      </c>
      <c r="R51" s="1888"/>
    </row>
    <row r="52" spans="1:18" s="1844" customFormat="1" ht="13.5" thickBot="1">
      <c r="A52" s="1198"/>
      <c r="B52" s="1200"/>
      <c r="C52" s="1201"/>
      <c r="D52" s="1174"/>
      <c r="E52" s="1202" t="s">
        <v>1408</v>
      </c>
      <c r="F52" s="1277"/>
      <c r="I52" s="1905" t="s">
        <v>1543</v>
      </c>
      <c r="J52" s="1906">
        <v>0.09</v>
      </c>
      <c r="K52" s="1905" t="s">
        <v>1544</v>
      </c>
      <c r="L52" s="1906"/>
      <c r="O52" s="1896" t="s">
        <v>1045</v>
      </c>
      <c r="P52" s="1887" t="s">
        <v>1545</v>
      </c>
      <c r="Q52" s="1888">
        <f ca="1">J53</f>
        <v>34.9</v>
      </c>
      <c r="R52" s="1888" t="s">
        <v>1546</v>
      </c>
    </row>
    <row r="53" spans="1:18" s="1844" customFormat="1" ht="24.75" thickBot="1">
      <c r="A53" s="1407" t="s">
        <v>1137</v>
      </c>
      <c r="B53" s="1833" t="s">
        <v>1409</v>
      </c>
      <c r="C53" s="360">
        <f ca="1">ROUND(IF(F53="押一",C49/12*F11,IF(F53="押二",C49/12*2*F11,IF(F53="押三",C49/12*3*F11,C54*F11))),0)</f>
        <v>0</v>
      </c>
      <c r="D53" s="1826" t="s">
        <v>3011</v>
      </c>
      <c r="E53" s="357"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34.9</v>
      </c>
      <c r="K53" s="3346" t="s">
        <v>1548</v>
      </c>
      <c r="L53" s="3347"/>
      <c r="O53" s="1886" t="s">
        <v>1046</v>
      </c>
      <c r="P53" s="1887" t="s">
        <v>1549</v>
      </c>
      <c r="Q53" s="1888">
        <f ca="1">Q47+Q48</f>
        <v>48520</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9692</v>
      </c>
      <c r="D56" s="1916"/>
      <c r="E56" s="1917"/>
      <c r="F56" s="1909"/>
      <c r="I56" s="1918" t="s">
        <v>1554</v>
      </c>
      <c r="J56" s="1919" t="s">
        <v>3237</v>
      </c>
      <c r="K56" s="1889" t="s">
        <v>1555</v>
      </c>
      <c r="L56" s="1892" t="str">
        <f ca="1">IF(L48&lt;J51,"——",L48-J53)</f>
        <v>——</v>
      </c>
      <c r="O56" s="1886" t="s">
        <v>1040</v>
      </c>
      <c r="P56" s="1887" t="s">
        <v>1528</v>
      </c>
      <c r="Q56" s="1888">
        <f ca="1">C40+J29</f>
        <v>48520</v>
      </c>
      <c r="R56" s="1888" t="s">
        <v>1529</v>
      </c>
    </row>
    <row r="57" spans="1:18" s="1844" customFormat="1" ht="24.75" thickBot="1">
      <c r="A57" s="1920"/>
      <c r="B57" s="1171" t="s">
        <v>1478</v>
      </c>
      <c r="C57" s="281">
        <f ca="1">C29</f>
        <v>10535</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59" t="s">
        <v>1030</v>
      </c>
      <c r="B58" s="1179" t="s">
        <v>1424</v>
      </c>
      <c r="C58" s="360">
        <f ca="1">ROUND(C59+C64+C65+C66,0)</f>
        <v>1062</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889.6</v>
      </c>
      <c r="D59" s="1184" t="s">
        <v>1430</v>
      </c>
      <c r="E59" s="1185" t="s">
        <v>1431</v>
      </c>
      <c r="F59" s="367"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6">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IF(项目基本情况!B11="自然人","——",IF(D61="按租金收入计税",ROUND(C48*F61,2),IF(D61="按房产原值计税",ROUND(C57*F61*0.7,2),INDIRECT("'数据-取费表'!Aj"&amp;$G$1))))</f>
        <v>884.94</v>
      </c>
      <c r="D61" s="1830" t="s">
        <v>1438</v>
      </c>
      <c r="E61" s="1171" t="s">
        <v>1494</v>
      </c>
      <c r="F61" s="366">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IF(项目基本情况!B11="自然人","——",ROUND(F62*F63/10000,2))</f>
        <v>4.66</v>
      </c>
      <c r="D62" s="1186" t="s">
        <v>1497</v>
      </c>
      <c r="E62" s="1171" t="s">
        <v>1498</v>
      </c>
      <c r="F62" s="370">
        <f t="shared" si="0"/>
        <v>30</v>
      </c>
      <c r="I62" s="1931" t="s">
        <v>1570</v>
      </c>
      <c r="J62" s="1932" t="s">
        <v>1571</v>
      </c>
      <c r="K62" s="1932" t="s">
        <v>1572</v>
      </c>
      <c r="L62" s="1932" t="s">
        <v>1573</v>
      </c>
      <c r="M62" s="1933" t="s">
        <v>1574</v>
      </c>
      <c r="O62" s="1886" t="s">
        <v>1046</v>
      </c>
      <c r="P62" s="1887" t="s">
        <v>1575</v>
      </c>
      <c r="Q62" s="1888">
        <f ca="1">Q56+Q57</f>
        <v>48520</v>
      </c>
      <c r="R62" s="1888" t="s">
        <v>1047</v>
      </c>
    </row>
    <row r="63" spans="1:18" s="1844" customFormat="1" ht="13.5" thickBot="1">
      <c r="A63" s="371"/>
      <c r="B63" s="1177"/>
      <c r="C63" s="29"/>
      <c r="D63" s="1187"/>
      <c r="E63" s="1171" t="s">
        <v>1499</v>
      </c>
      <c r="F63" s="347">
        <f t="shared" ca="1" si="0"/>
        <v>1552.1499999999999</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ROUND(C57*F64,1)</f>
        <v>158</v>
      </c>
      <c r="D64" s="1185" t="s">
        <v>1502</v>
      </c>
      <c r="E64" s="1171" t="s">
        <v>1494</v>
      </c>
      <c r="F64" s="373">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14.5</v>
      </c>
      <c r="D65" s="1185" t="s">
        <v>1454</v>
      </c>
      <c r="E65" s="1171" t="s">
        <v>1455</v>
      </c>
      <c r="F65" s="375">
        <f t="shared" ca="1" si="0"/>
        <v>1.5E-3</v>
      </c>
      <c r="I65" s="1931" t="s">
        <v>1579</v>
      </c>
      <c r="J65" s="1932">
        <v>40</v>
      </c>
      <c r="K65" s="1932">
        <v>30</v>
      </c>
      <c r="L65" s="1932">
        <v>50</v>
      </c>
      <c r="M65" s="1934">
        <v>0.02</v>
      </c>
      <c r="O65" s="1886" t="s">
        <v>1040</v>
      </c>
      <c r="P65" s="1887" t="s">
        <v>1580</v>
      </c>
      <c r="Q65" s="1888">
        <f ca="1">C40+J29</f>
        <v>48520</v>
      </c>
      <c r="R65" s="1888" t="s">
        <v>1529</v>
      </c>
    </row>
    <row r="66" spans="1:18" s="1844" customFormat="1" ht="16.5" thickBot="1">
      <c r="A66" s="1203" t="s">
        <v>1504</v>
      </c>
      <c r="B66" s="1171" t="s">
        <v>1439</v>
      </c>
      <c r="C66" s="24">
        <f ca="1">ROUND(C48*F66,1)</f>
        <v>0</v>
      </c>
      <c r="D66" s="1185" t="s">
        <v>1505</v>
      </c>
      <c r="E66" s="1171" t="s">
        <v>1422</v>
      </c>
      <c r="F66" s="356">
        <f t="shared" ca="1" si="0"/>
        <v>0.01</v>
      </c>
      <c r="O66" s="1886" t="s">
        <v>1041</v>
      </c>
      <c r="P66" s="1887" t="s">
        <v>1558</v>
      </c>
      <c r="Q66" s="1888">
        <f ca="1">L60</f>
        <v>0</v>
      </c>
      <c r="R66" s="1888" t="s">
        <v>1581</v>
      </c>
    </row>
    <row r="67" spans="1:18" s="1844" customFormat="1" ht="16.5" thickBot="1">
      <c r="A67" s="1178" t="s">
        <v>1031</v>
      </c>
      <c r="B67" s="1188" t="s">
        <v>1463</v>
      </c>
      <c r="C67" s="360">
        <f ca="1">C48-C58</f>
        <v>-1062</v>
      </c>
      <c r="D67" s="1184" t="s">
        <v>1464</v>
      </c>
      <c r="E67" s="1189"/>
      <c r="F67" s="1190"/>
      <c r="O67" s="1896" t="s">
        <v>1042</v>
      </c>
      <c r="P67" s="1887" t="s">
        <v>1562</v>
      </c>
      <c r="Q67" s="1935">
        <f ca="1">L51</f>
        <v>15315</v>
      </c>
      <c r="R67" s="1888" t="s">
        <v>1582</v>
      </c>
    </row>
    <row r="68" spans="1:18" s="1844" customFormat="1" ht="16.5" thickBot="1">
      <c r="A68" s="1168" t="s">
        <v>1032</v>
      </c>
      <c r="B68" s="1169" t="s">
        <v>1485</v>
      </c>
      <c r="C68" s="345">
        <f ca="1">ROUND(C67*(1-((1+F70)/(1+F68))^F69)/(F68-F70),0)</f>
        <v>-18521</v>
      </c>
      <c r="D68" s="1186" t="s">
        <v>1469</v>
      </c>
      <c r="E68" s="1171" t="s">
        <v>1470</v>
      </c>
      <c r="F68" s="356">
        <f ca="1">F40</f>
        <v>4.4999999999999998E-2</v>
      </c>
      <c r="O68" s="1896" t="s">
        <v>1043</v>
      </c>
      <c r="P68" s="1936" t="s">
        <v>1583</v>
      </c>
      <c r="Q68" s="1888">
        <f ca="1">ROUND(Q69-Q70*Q71,0)</f>
        <v>878</v>
      </c>
      <c r="R68" s="1888" t="s">
        <v>1051</v>
      </c>
    </row>
    <row r="69" spans="1:18" s="1844" customFormat="1" ht="13.5" thickBot="1">
      <c r="A69" s="1172"/>
      <c r="B69" s="1173"/>
      <c r="C69" s="350"/>
      <c r="D69" s="1191" t="s">
        <v>1473</v>
      </c>
      <c r="E69" s="1171" t="s">
        <v>1474</v>
      </c>
      <c r="F69" s="378">
        <f ca="1">F41</f>
        <v>34.9</v>
      </c>
      <c r="O69" s="1896" t="s">
        <v>1048</v>
      </c>
      <c r="P69" s="1936" t="s">
        <v>1584</v>
      </c>
      <c r="Q69" s="1888">
        <f ca="1">C39</f>
        <v>1702</v>
      </c>
      <c r="R69" s="1888" t="s">
        <v>1529</v>
      </c>
    </row>
    <row r="70" spans="1:18" s="1844" customFormat="1" ht="13.5" thickBot="1">
      <c r="A70" s="1175"/>
      <c r="B70" s="1176"/>
      <c r="C70" s="354"/>
      <c r="D70" s="1187"/>
      <c r="E70" s="1171" t="s">
        <v>1477</v>
      </c>
      <c r="F70" s="1277"/>
      <c r="O70" s="1896" t="s">
        <v>1049</v>
      </c>
      <c r="P70" s="1936" t="s">
        <v>1585</v>
      </c>
      <c r="Q70" s="1888">
        <f ca="1">C13</f>
        <v>9692</v>
      </c>
      <c r="R70" s="1888" t="s">
        <v>1529</v>
      </c>
    </row>
    <row r="71" spans="1:18" s="1844" customFormat="1" ht="13.5" thickBot="1">
      <c r="A71" s="1192" t="s">
        <v>1033</v>
      </c>
      <c r="B71" s="1193" t="s">
        <v>1487</v>
      </c>
      <c r="C71" s="381">
        <f ca="1">ROUND(C68*10000/F71,0)</f>
        <v>-7942</v>
      </c>
      <c r="D71" s="1194" t="s">
        <v>1488</v>
      </c>
      <c r="E71" s="1195" t="s">
        <v>1489</v>
      </c>
      <c r="F71" s="384">
        <f ca="1">F43</f>
        <v>23320.11</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5" t="s">
        <v>1506</v>
      </c>
      <c r="C75" s="386">
        <f ca="1">ROUND(C13*C76,0)</f>
        <v>824</v>
      </c>
      <c r="D75" s="1844"/>
      <c r="E75" s="1844"/>
      <c r="F75" s="1844"/>
      <c r="K75" s="1870"/>
      <c r="L75" s="1844"/>
      <c r="O75" s="1886" t="s">
        <v>1046</v>
      </c>
      <c r="P75" s="1887" t="s">
        <v>1549</v>
      </c>
      <c r="Q75" s="1888">
        <f ca="1">Q65+Q66</f>
        <v>48520</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0.51600000000000001</v>
      </c>
    </row>
    <row r="80" spans="1:18">
      <c r="B80" s="385" t="s">
        <v>1511</v>
      </c>
      <c r="C80" s="317">
        <f ca="1">ROUND(C75/C39,3)</f>
        <v>0.48399999999999999</v>
      </c>
    </row>
    <row r="81" spans="2:3">
      <c r="B81" s="313" t="s">
        <v>1512</v>
      </c>
      <c r="C81" s="281"/>
    </row>
    <row r="82" spans="2:3">
      <c r="B82" s="316" t="s">
        <v>1513</v>
      </c>
      <c r="C82" s="318">
        <f ca="1">1-C83</f>
        <v>0.8</v>
      </c>
    </row>
    <row r="83" spans="2:3">
      <c r="B83" s="316" t="s">
        <v>1514</v>
      </c>
      <c r="C83" s="317">
        <f ca="1">ROUND(C13/C40,3)</f>
        <v>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95" priority="56">
      <formula>$L$48&gt;$J$51</formula>
    </cfRule>
  </conditionalFormatting>
  <conditionalFormatting sqref="I55 I60">
    <cfRule type="expression" dxfId="94" priority="57">
      <formula>$J$51&gt;$L$48</formula>
    </cfRule>
  </conditionalFormatting>
  <conditionalFormatting sqref="C11">
    <cfRule type="expression" dxfId="93" priority="3">
      <formula>$F$10="自定义"</formula>
    </cfRule>
  </conditionalFormatting>
  <conditionalFormatting sqref="J11">
    <cfRule type="expression" dxfId="92" priority="2">
      <formula>$M$10="自定义"</formula>
    </cfRule>
  </conditionalFormatting>
  <conditionalFormatting sqref="C54">
    <cfRule type="expression" dxfId="9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40" sqref="C4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c r="D1" s="1822"/>
      <c r="E1" s="1823" t="s">
        <v>1387</v>
      </c>
      <c r="F1" s="1285" t="b">
        <f>J53</f>
        <v>0</v>
      </c>
      <c r="G1" s="1838">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3" t="s">
        <v>1588</v>
      </c>
      <c r="I3" s="1842"/>
      <c r="J3" s="1842"/>
      <c r="K3" s="1843"/>
      <c r="L3" s="1842"/>
      <c r="M3" s="1842"/>
    </row>
    <row r="4" spans="1:37" ht="18" customHeight="1">
      <c r="A4" s="339" t="s">
        <v>1595</v>
      </c>
      <c r="B4" s="340" t="s">
        <v>1596</v>
      </c>
      <c r="C4" s="340" t="s">
        <v>1597</v>
      </c>
      <c r="D4" s="340" t="s">
        <v>1598</v>
      </c>
      <c r="E4" s="341" t="s">
        <v>1599</v>
      </c>
      <c r="F4" s="342"/>
      <c r="G4" s="1853"/>
      <c r="H4" s="339" t="s">
        <v>1595</v>
      </c>
      <c r="I4" s="340" t="s">
        <v>1596</v>
      </c>
      <c r="J4" s="340" t="s">
        <v>1597</v>
      </c>
      <c r="K4" s="340" t="s">
        <v>1598</v>
      </c>
      <c r="L4" s="341" t="s">
        <v>1599</v>
      </c>
      <c r="M4" s="342"/>
    </row>
    <row r="5" spans="1:37" ht="18" customHeight="1">
      <c r="A5" s="343">
        <v>1</v>
      </c>
      <c r="B5" s="344" t="s">
        <v>1600</v>
      </c>
      <c r="C5" s="1294">
        <f ca="1">C6+C10+C12</f>
        <v>0</v>
      </c>
      <c r="D5" s="1824" t="s">
        <v>1601</v>
      </c>
      <c r="E5" s="1295"/>
      <c r="F5" s="1296"/>
      <c r="G5" s="1853"/>
      <c r="H5" s="343">
        <v>1</v>
      </c>
      <c r="I5" s="344" t="s">
        <v>1600</v>
      </c>
      <c r="J5" s="1294">
        <f ca="1">J6+J10+J12</f>
        <v>0</v>
      </c>
      <c r="K5" s="1824" t="s">
        <v>1601</v>
      </c>
      <c r="L5" s="1295"/>
      <c r="M5" s="1296"/>
    </row>
    <row r="6" spans="1:37" ht="18" customHeight="1">
      <c r="A6" s="1293" t="s">
        <v>1035</v>
      </c>
      <c r="B6" s="3343" t="s">
        <v>1403</v>
      </c>
      <c r="C6" s="1298">
        <f ca="1">ROUND(F6*F8*F7*(1-F9),0)</f>
        <v>0</v>
      </c>
      <c r="D6" s="163" t="s">
        <v>3000</v>
      </c>
      <c r="E6" s="346" t="s">
        <v>1405</v>
      </c>
      <c r="F6" s="347">
        <f ca="1">INDIRECT("'数据-取费表'!u"&amp;$G$1)</f>
        <v>0</v>
      </c>
      <c r="G6" s="1853"/>
      <c r="H6" s="1293" t="s">
        <v>1035</v>
      </c>
      <c r="I6" s="3343" t="s">
        <v>1403</v>
      </c>
      <c r="J6" s="345">
        <f ca="1">ROUND(M6*M8*M7*(1-M9),0)</f>
        <v>0</v>
      </c>
      <c r="K6" s="1836" t="s">
        <v>3001</v>
      </c>
      <c r="L6" s="346" t="s">
        <v>1405</v>
      </c>
      <c r="M6" s="347">
        <f ca="1">INDIRECT("'数据-取费表'!z"&amp;$G$1)</f>
        <v>0</v>
      </c>
    </row>
    <row r="7" spans="1:37" ht="18" customHeight="1">
      <c r="A7" s="1297"/>
      <c r="B7" s="3344"/>
      <c r="C7" s="1299"/>
      <c r="D7" s="351"/>
      <c r="E7" s="1300" t="s">
        <v>1406</v>
      </c>
      <c r="F7" s="347">
        <f ca="1">IF(INDIRECT("'数据-取费表'!ah"&amp;$G$1)="",INDIRECT("'数据-取费表'!k"&amp;$G$1),INDIRECT("'数据-取费表'!ah"&amp;$G$1))</f>
        <v>0</v>
      </c>
      <c r="G7" s="1853"/>
      <c r="H7" s="348"/>
      <c r="I7" s="3344"/>
      <c r="J7" s="350"/>
      <c r="K7" s="351"/>
      <c r="L7" s="346" t="s">
        <v>1406</v>
      </c>
      <c r="M7" s="347">
        <f ca="1">F7</f>
        <v>0</v>
      </c>
    </row>
    <row r="8" spans="1:37" ht="18" customHeight="1">
      <c r="A8" s="348"/>
      <c r="B8" s="3344"/>
      <c r="C8" s="350"/>
      <c r="D8" s="351"/>
      <c r="E8" s="346" t="s">
        <v>1407</v>
      </c>
      <c r="F8" s="347">
        <f ca="1">INDIRECT("'数据-取费表'!ai"&amp;$G$1)</f>
        <v>0</v>
      </c>
      <c r="G8" s="1853"/>
      <c r="H8" s="348"/>
      <c r="I8" s="3344"/>
      <c r="J8" s="350"/>
      <c r="K8" s="351"/>
      <c r="L8" s="346" t="s">
        <v>1407</v>
      </c>
      <c r="M8" s="347">
        <f ca="1">INDIRECT("'数据-取费表'!ai"&amp;$G$1)</f>
        <v>0</v>
      </c>
    </row>
    <row r="9" spans="1:37" ht="18" customHeight="1">
      <c r="A9" s="348"/>
      <c r="B9" s="3345"/>
      <c r="C9" s="350"/>
      <c r="D9" s="351"/>
      <c r="E9" s="346" t="s">
        <v>1408</v>
      </c>
      <c r="F9" s="356">
        <f ca="1">INDIRECT("'数据-取费表'!w"&amp;$G$1)</f>
        <v>0</v>
      </c>
      <c r="G9" s="1853"/>
      <c r="H9" s="348"/>
      <c r="I9" s="3345"/>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3011</v>
      </c>
      <c r="E10" s="357" t="s">
        <v>1410</v>
      </c>
      <c r="F10" s="1368"/>
      <c r="G10" s="1853"/>
      <c r="H10" s="1293" t="s">
        <v>1039</v>
      </c>
      <c r="I10" s="1825" t="s">
        <v>1409</v>
      </c>
      <c r="J10" s="345">
        <f ca="1">ROUND(IF(M10="押一",J6/12*M11,IF(M10="押二",J6/12*2*M11,IF(M10="押三",J6/12*3*M11,J11*M11))),0)</f>
        <v>0</v>
      </c>
      <c r="K10" s="1837" t="s">
        <v>3013</v>
      </c>
      <c r="L10" s="357" t="s">
        <v>1410</v>
      </c>
      <c r="M10" s="1368"/>
    </row>
    <row r="11" spans="1:37" ht="18" customHeight="1">
      <c r="A11" s="352"/>
      <c r="B11" s="1827" t="s">
        <v>1602</v>
      </c>
      <c r="C11" s="1180"/>
      <c r="D11" s="351"/>
      <c r="E11" s="357" t="s">
        <v>1412</v>
      </c>
      <c r="F11" s="358">
        <f ca="1">'数据-取费表'!B39</f>
        <v>1.4999999999999999E-2</v>
      </c>
      <c r="G11" s="1853"/>
      <c r="H11" s="1301"/>
      <c r="I11" s="1827" t="s">
        <v>1603</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0</v>
      </c>
      <c r="D13" s="1333" t="s">
        <v>1415</v>
      </c>
      <c r="E13" s="1333" t="s">
        <v>1416</v>
      </c>
      <c r="F13" s="1334">
        <f ca="1">INDIRECT("'数据-取费表'!y"&amp;$G$1)</f>
        <v>0</v>
      </c>
      <c r="G13" s="1853"/>
      <c r="H13" s="1331">
        <v>2</v>
      </c>
      <c r="I13" s="1332" t="s">
        <v>1414</v>
      </c>
      <c r="J13" s="1292">
        <f ca="1">ROUND(J14*J15,0)</f>
        <v>0</v>
      </c>
      <c r="K13" s="1339" t="s">
        <v>1415</v>
      </c>
      <c r="L13" s="1854"/>
      <c r="M13" s="1855"/>
    </row>
    <row r="14" spans="1:37" ht="18" customHeight="1">
      <c r="A14" s="1203" t="s">
        <v>1034</v>
      </c>
      <c r="B14" s="346" t="s">
        <v>1417</v>
      </c>
      <c r="C14" s="362">
        <f ca="1">ROUND(INDIRECT("'数据-取费表'!l"&amp;$G$1)*F43+'数据-取费表'!L14*INDIRECT("'数据-取费表'!S"&amp;$G$1),0)</f>
        <v>0</v>
      </c>
      <c r="D14" s="1802" t="s">
        <v>1418</v>
      </c>
      <c r="E14" s="1796"/>
      <c r="F14" s="363"/>
      <c r="G14" s="1853"/>
      <c r="H14" s="1203" t="s">
        <v>1035</v>
      </c>
      <c r="I14" s="346" t="s">
        <v>1419</v>
      </c>
      <c r="J14" s="24">
        <f ca="1">C29</f>
        <v>0</v>
      </c>
      <c r="K14" s="15"/>
      <c r="L14" s="981"/>
      <c r="M14" s="982"/>
    </row>
    <row r="15" spans="1:37" s="1860" customFormat="1" ht="18" customHeight="1" thickBot="1">
      <c r="A15" s="1203" t="s">
        <v>1036</v>
      </c>
      <c r="B15" s="346" t="s">
        <v>1420</v>
      </c>
      <c r="C15" s="24">
        <f ca="1">ROUND(C14*F15,0)</f>
        <v>0</v>
      </c>
      <c r="D15" s="364" t="s">
        <v>1421</v>
      </c>
      <c r="E15" s="364" t="s">
        <v>1422</v>
      </c>
      <c r="F15" s="365">
        <f>'数据-取费表'!B33</f>
        <v>0.05</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ROUND(INDIRECT("'数据-取费表'!l"&amp;$G$1)*F43*F16,0)</f>
        <v>0</v>
      </c>
      <c r="D16" s="346" t="s">
        <v>1421</v>
      </c>
      <c r="E16" s="346" t="s">
        <v>1422</v>
      </c>
      <c r="F16" s="366">
        <f ca="1">IF(INDIRECT("'数据-取费表'!c"&amp;$G$1)="住宅",'数据-取费表'!B34,0)</f>
        <v>0</v>
      </c>
      <c r="G16" s="1853"/>
      <c r="H16" s="1331" t="s">
        <v>1030</v>
      </c>
      <c r="I16" s="1332" t="s">
        <v>1424</v>
      </c>
      <c r="J16" s="354">
        <f ca="1">ROUND(J17+J22+J23+J24,0)</f>
        <v>0</v>
      </c>
      <c r="K16" s="1339" t="s">
        <v>1425</v>
      </c>
      <c r="L16" s="1340"/>
      <c r="M16" s="1296"/>
    </row>
    <row r="17" spans="1:37" s="1860" customFormat="1" ht="18" customHeight="1">
      <c r="A17" s="1203" t="s">
        <v>1390</v>
      </c>
      <c r="B17" s="346" t="s">
        <v>1426</v>
      </c>
      <c r="C17" s="24">
        <f ca="1">ROUND(F17*(F43+INDIRECT("'数据-取费表'!S"&amp;$G$1)),0)</f>
        <v>0</v>
      </c>
      <c r="D17" s="346" t="s">
        <v>1427</v>
      </c>
      <c r="E17" s="346" t="s">
        <v>1428</v>
      </c>
      <c r="F17" s="26">
        <f>'数据-取费表'!B35</f>
        <v>200</v>
      </c>
      <c r="G17" s="1856"/>
      <c r="H17" s="1203" t="s">
        <v>1035</v>
      </c>
      <c r="I17" s="346" t="s">
        <v>1429</v>
      </c>
      <c r="J17" s="24">
        <f ca="1">ROUND(IF(项目基本情况!B11="自然人",J5*M17,J18+J19+J20),0)</f>
        <v>0</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0</v>
      </c>
      <c r="D18" s="346" t="s">
        <v>1421</v>
      </c>
      <c r="E18" s="346" t="s">
        <v>1422</v>
      </c>
      <c r="F18" s="366">
        <f>'数据-取费表'!B36</f>
        <v>1.4999999999999999E-2</v>
      </c>
      <c r="G18" s="1856"/>
      <c r="H18" s="1203" t="s">
        <v>1034</v>
      </c>
      <c r="I18" s="346" t="s">
        <v>1433</v>
      </c>
      <c r="J18" s="24">
        <f ca="1">ROUND(J5*M18/(1+'数据-取费表'!C42),0)</f>
        <v>0</v>
      </c>
      <c r="K18" s="1800"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0</v>
      </c>
      <c r="D19" s="139" t="s">
        <v>1436</v>
      </c>
      <c r="E19" s="1820"/>
      <c r="F19" s="26"/>
      <c r="G19" s="1853"/>
      <c r="H19" s="1203" t="s">
        <v>1036</v>
      </c>
      <c r="I19" s="346" t="s">
        <v>1437</v>
      </c>
      <c r="J19" s="24">
        <f ca="1">IF(K19="按租金收入计税",ROUND(J5*M19,0),ROUND(C29*M19*0.7,0))</f>
        <v>0</v>
      </c>
      <c r="K19" s="1830" t="s">
        <v>1438</v>
      </c>
      <c r="L19" s="346" t="s">
        <v>1422</v>
      </c>
      <c r="M19" s="366">
        <f>IF(K19="按租金收入计税",'数据-取费表'!B51,'数据-取费表'!B50)</f>
        <v>1.2E-2</v>
      </c>
    </row>
    <row r="20" spans="1:37" s="1860" customFormat="1" ht="18" customHeight="1">
      <c r="A20" s="1203" t="s">
        <v>1039</v>
      </c>
      <c r="B20" s="346" t="s">
        <v>1439</v>
      </c>
      <c r="C20" s="24">
        <f ca="1">ROUND(C19*F20,0)</f>
        <v>0</v>
      </c>
      <c r="D20" s="368" t="s">
        <v>1440</v>
      </c>
      <c r="E20" s="346" t="s">
        <v>1422</v>
      </c>
      <c r="F20" s="366">
        <f>'数据-取费表'!B37</f>
        <v>0.03</v>
      </c>
      <c r="G20" s="1856"/>
      <c r="H20" s="1203" t="s">
        <v>1389</v>
      </c>
      <c r="I20" s="163" t="s">
        <v>1441</v>
      </c>
      <c r="J20" s="25">
        <f ca="1">ROUND(M20*M21,0)</f>
        <v>0</v>
      </c>
      <c r="K20" s="369" t="s">
        <v>1442</v>
      </c>
      <c r="L20" s="346" t="s">
        <v>1443</v>
      </c>
      <c r="M20" s="370">
        <f>'数据-取费表'!B52</f>
        <v>30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v>
      </c>
      <c r="D21" s="368" t="s">
        <v>1445</v>
      </c>
      <c r="E21" s="346" t="s">
        <v>1446</v>
      </c>
      <c r="F21" s="366">
        <f>'数据-取费表'!B38</f>
        <v>0.02</v>
      </c>
      <c r="G21" s="1856"/>
      <c r="H21" s="371"/>
      <c r="I21" s="355"/>
      <c r="J21" s="29"/>
      <c r="K21" s="372"/>
      <c r="L21" s="346" t="s">
        <v>1447</v>
      </c>
      <c r="M21" s="347">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1820"/>
      <c r="F22" s="26"/>
      <c r="G22" s="1853"/>
      <c r="H22" s="1203" t="s">
        <v>1039</v>
      </c>
      <c r="I22" s="346" t="s">
        <v>1449</v>
      </c>
      <c r="J22" s="24">
        <f ca="1">ROUND(J14*M22,0)</f>
        <v>0</v>
      </c>
      <c r="K22" s="1800" t="s">
        <v>1450</v>
      </c>
      <c r="L22" s="346" t="s">
        <v>1422</v>
      </c>
      <c r="M22" s="373">
        <f ca="1">INDIRECT("'数据-取费表'!Ak"&amp;$G$1)</f>
        <v>0</v>
      </c>
    </row>
    <row r="23" spans="1:37" s="1860" customFormat="1" ht="18" customHeight="1">
      <c r="A23" s="1203" t="s">
        <v>1034</v>
      </c>
      <c r="B23" s="346" t="s">
        <v>1451</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3</v>
      </c>
      <c r="G23" s="1856"/>
      <c r="H23" s="1203" t="s">
        <v>1075</v>
      </c>
      <c r="I23" s="346" t="s">
        <v>1453</v>
      </c>
      <c r="J23" s="24">
        <f ca="1">ROUND(J13*M23,0)</f>
        <v>0</v>
      </c>
      <c r="K23" s="1800" t="s">
        <v>1454</v>
      </c>
      <c r="L23" s="346" t="s">
        <v>1455</v>
      </c>
      <c r="M23" s="375">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6"/>
      <c r="H24" s="1341" t="s">
        <v>1393</v>
      </c>
      <c r="I24" s="1342" t="s">
        <v>1439</v>
      </c>
      <c r="J24" s="1343">
        <f ca="1">ROUND(J5*M24,0)</f>
        <v>0</v>
      </c>
      <c r="K24" s="1344" t="s">
        <v>1459</v>
      </c>
      <c r="L24" s="1342" t="s">
        <v>1455</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6" t="s">
        <v>1461</v>
      </c>
      <c r="C25" s="24"/>
      <c r="D25" s="139" t="s">
        <v>1462</v>
      </c>
      <c r="E25" s="1820"/>
      <c r="F25" s="26"/>
      <c r="G25" s="1853"/>
      <c r="H25" s="1331" t="s">
        <v>1031</v>
      </c>
      <c r="I25" s="1346" t="s">
        <v>1463</v>
      </c>
      <c r="J25" s="354">
        <f ca="1">J5-J16</f>
        <v>0</v>
      </c>
      <c r="K25" s="1347" t="s">
        <v>1464</v>
      </c>
      <c r="L25" s="1348"/>
      <c r="M25" s="1349"/>
    </row>
    <row r="26" spans="1:37" ht="18" customHeight="1">
      <c r="A26" s="1203" t="s">
        <v>1034</v>
      </c>
      <c r="B26" s="346" t="s">
        <v>1465</v>
      </c>
      <c r="C26" s="24">
        <f ca="1">ROUND((C19+C20)*F26,0)</f>
        <v>0</v>
      </c>
      <c r="D26" s="368" t="s">
        <v>1466</v>
      </c>
      <c r="E26" s="357" t="s">
        <v>1467</v>
      </c>
      <c r="F26" s="356">
        <f ca="1">INDIRECT("'数据-取费表'!q"&amp;$G$1)</f>
        <v>0</v>
      </c>
      <c r="G26" s="1853"/>
      <c r="H26" s="343" t="s">
        <v>1032</v>
      </c>
      <c r="I26" s="344" t="s">
        <v>1468</v>
      </c>
      <c r="J26" s="345">
        <f ca="1">IF(J5&lt;&gt;0,ROUND(J25*(1-((1+M28)/(1+M26))^M27)/(M26-M28),0),0)</f>
        <v>0</v>
      </c>
      <c r="K26" s="369" t="s">
        <v>1469</v>
      </c>
      <c r="L26" s="346" t="s">
        <v>1470</v>
      </c>
      <c r="M26" s="356">
        <f ca="1">INDIRECT("'数据-取费表'!I"&amp;$G$1)</f>
        <v>0</v>
      </c>
    </row>
    <row r="27" spans="1:37" ht="18" customHeight="1">
      <c r="A27" s="1203" t="s">
        <v>1036</v>
      </c>
      <c r="B27" s="346" t="s">
        <v>1471</v>
      </c>
      <c r="C27" s="24">
        <f ca="1">ROUND(F21*F26,4)</f>
        <v>0</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0</v>
      </c>
      <c r="D29" s="1344"/>
      <c r="E29" s="1342"/>
      <c r="F29" s="1345"/>
      <c r="G29" s="1856"/>
      <c r="H29" s="379" t="s">
        <v>1033</v>
      </c>
      <c r="I29" s="380" t="s">
        <v>1479</v>
      </c>
      <c r="J29" s="381">
        <f ca="1">ROUND(J26/(1+F40)^F41,0)</f>
        <v>0</v>
      </c>
      <c r="K29" s="382" t="s">
        <v>1480</v>
      </c>
      <c r="L29" s="383"/>
      <c r="M29" s="384">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0</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ROUND(IF(项目基本情况!B11="自然人",C5*F31,C32+C33+C34),0)</f>
        <v>0</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IF(项目基本情况!B11="自然人","——",ROUND(C5*F32/(1+'数据-取费表'!C42),0))</f>
        <v>0</v>
      </c>
      <c r="D32" s="1800" t="s">
        <v>1434</v>
      </c>
      <c r="E32" s="346" t="s">
        <v>1422</v>
      </c>
      <c r="F32" s="376">
        <f>'数据-取费表'!B41</f>
        <v>5.6000000000000001E-2</v>
      </c>
      <c r="G32" s="1853"/>
      <c r="H32" s="744"/>
      <c r="I32" s="745"/>
      <c r="J32" s="746"/>
      <c r="K32" s="747"/>
      <c r="L32" s="748"/>
      <c r="M32" s="749"/>
    </row>
    <row r="33" spans="1:18" ht="18" customHeight="1">
      <c r="A33" s="1203" t="s">
        <v>1036</v>
      </c>
      <c r="B33" s="346" t="s">
        <v>1437</v>
      </c>
      <c r="C33" s="24">
        <f ca="1">IF(项目基本情况!B11="自然人","——",IF(D33="按租金收入计税",ROUND(C5*F33,0),IF(D33="按房产原值计税",ROUND(C29*F33*0.7,0),INDIRECT("'数据-取费表'!Aj"&amp;$G$1))))</f>
        <v>0</v>
      </c>
      <c r="D33" s="1830" t="s">
        <v>1438</v>
      </c>
      <c r="E33" s="346" t="s">
        <v>1422</v>
      </c>
      <c r="F33" s="366">
        <f>IF(D33="按票据","——",IF(D33="按租金收入计税",'数据-取费表'!B51,'数据-取费表'!B50))</f>
        <v>1.2E-2</v>
      </c>
      <c r="G33" s="1853"/>
      <c r="H33" s="1861"/>
      <c r="I33" s="1862"/>
      <c r="J33" s="1863"/>
      <c r="K33" s="1864"/>
      <c r="L33" s="1861"/>
      <c r="M33" s="1861"/>
    </row>
    <row r="34" spans="1:18" ht="18" customHeight="1">
      <c r="A34" s="1293" t="s">
        <v>1389</v>
      </c>
      <c r="B34" s="163" t="s">
        <v>1441</v>
      </c>
      <c r="C34" s="25">
        <f ca="1">IF(项目基本情况!B11="自然人","——",ROUND(F34*F35,))</f>
        <v>0</v>
      </c>
      <c r="D34" s="369" t="s">
        <v>1442</v>
      </c>
      <c r="E34" s="346" t="s">
        <v>1443</v>
      </c>
      <c r="F34" s="370">
        <f>'数据-取费表'!B52</f>
        <v>30</v>
      </c>
      <c r="G34" s="1853"/>
      <c r="H34" s="744"/>
      <c r="I34" s="1862"/>
      <c r="J34" s="1863"/>
      <c r="K34" s="1865"/>
      <c r="L34" s="1866"/>
      <c r="M34" s="1866"/>
    </row>
    <row r="35" spans="1:18" ht="18" customHeight="1">
      <c r="A35" s="1355"/>
      <c r="B35" s="1353"/>
      <c r="C35" s="29"/>
      <c r="D35" s="372"/>
      <c r="E35" s="346" t="s">
        <v>1447</v>
      </c>
      <c r="F35" s="347">
        <f ca="1">INDIRECT("'数据-取费表'!r"&amp;$G$1)</f>
        <v>0</v>
      </c>
      <c r="G35" s="1853"/>
      <c r="H35" s="744"/>
      <c r="I35" s="1862"/>
      <c r="J35" s="1863"/>
      <c r="K35" s="1864"/>
      <c r="L35" s="1861"/>
      <c r="M35" s="1861"/>
    </row>
    <row r="36" spans="1:18" ht="18" customHeight="1">
      <c r="A36" s="1354" t="s">
        <v>1039</v>
      </c>
      <c r="B36" s="346" t="s">
        <v>1449</v>
      </c>
      <c r="C36" s="24">
        <f ca="1">ROUND(C29*F36,0)</f>
        <v>0</v>
      </c>
      <c r="D36" s="1800" t="s">
        <v>1482</v>
      </c>
      <c r="E36" s="346" t="s">
        <v>1422</v>
      </c>
      <c r="F36" s="373">
        <f ca="1">INDIRECT("'数据-取费表'!Ak"&amp;$G$1)</f>
        <v>0</v>
      </c>
      <c r="G36" s="1853"/>
      <c r="H36" s="1861"/>
      <c r="I36" s="1862"/>
      <c r="J36" s="1863"/>
      <c r="K36" s="750"/>
      <c r="L36" s="1861"/>
      <c r="M36" s="1861"/>
    </row>
    <row r="37" spans="1:18" ht="18" customHeight="1">
      <c r="A37" s="1203" t="s">
        <v>1075</v>
      </c>
      <c r="B37" s="346" t="s">
        <v>1453</v>
      </c>
      <c r="C37" s="24">
        <f ca="1">ROUND(C13*F37,0)</f>
        <v>0</v>
      </c>
      <c r="D37" s="1800" t="s">
        <v>1454</v>
      </c>
      <c r="E37" s="346" t="s">
        <v>1455</v>
      </c>
      <c r="F37" s="375">
        <f ca="1">INDIRECT("'数据-取费表'!Al"&amp;$G$1)</f>
        <v>0</v>
      </c>
      <c r="G37" s="1853"/>
      <c r="H37" s="1861"/>
      <c r="I37" s="1862"/>
      <c r="J37" s="1863"/>
      <c r="K37" s="750"/>
      <c r="L37" s="1861"/>
      <c r="M37" s="1861"/>
    </row>
    <row r="38" spans="1:18" ht="18" customHeight="1" thickBot="1">
      <c r="A38" s="1341" t="s">
        <v>1393</v>
      </c>
      <c r="B38" s="1342" t="s">
        <v>1439</v>
      </c>
      <c r="C38" s="1343">
        <f ca="1">ROUND(C5*F38,1)</f>
        <v>0</v>
      </c>
      <c r="D38" s="1344" t="s">
        <v>1459</v>
      </c>
      <c r="E38" s="1342" t="s">
        <v>1455</v>
      </c>
      <c r="F38" s="1338">
        <f ca="1">INDIRECT("'数据-取费表'!Am"&amp;$G$1)</f>
        <v>0</v>
      </c>
      <c r="G38" s="1853"/>
      <c r="H38" s="1861"/>
      <c r="I38" s="1862"/>
      <c r="J38" s="1863"/>
      <c r="K38" s="1867"/>
      <c r="L38" s="1861"/>
      <c r="M38" s="1861"/>
    </row>
    <row r="39" spans="1:18" ht="24.6" customHeight="1" thickTop="1">
      <c r="A39" s="1331" t="s">
        <v>1031</v>
      </c>
      <c r="B39" s="1346" t="s">
        <v>1483</v>
      </c>
      <c r="C39" s="354">
        <f ca="1">C5-C30</f>
        <v>0</v>
      </c>
      <c r="D39" s="1347" t="s">
        <v>1484</v>
      </c>
      <c r="E39" s="1348"/>
      <c r="F39" s="1349"/>
      <c r="G39" s="1853"/>
      <c r="H39" s="1861"/>
      <c r="I39" s="1862"/>
      <c r="J39" s="1863"/>
      <c r="K39" s="1867"/>
      <c r="L39" s="1861"/>
      <c r="M39" s="1861"/>
    </row>
    <row r="40" spans="1:18" ht="18" customHeight="1">
      <c r="A40" s="343" t="s">
        <v>1032</v>
      </c>
      <c r="B40" s="344" t="s">
        <v>1485</v>
      </c>
      <c r="C40" s="345" t="e">
        <f ca="1">ROUND(C39*(1-((1+F42)/(1+F40))^F41)/(F40-F42),0)</f>
        <v>#DIV/0!</v>
      </c>
      <c r="D40" s="369" t="s">
        <v>1469</v>
      </c>
      <c r="E40" s="346" t="s">
        <v>1470</v>
      </c>
      <c r="F40" s="356">
        <f ca="1">INDIRECT("'数据-取费表'!I"&amp;$G$1)</f>
        <v>0</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0</v>
      </c>
      <c r="G41" s="1853"/>
      <c r="H41" s="731"/>
      <c r="I41" s="1862"/>
      <c r="J41" s="1863"/>
      <c r="K41" s="750"/>
      <c r="L41" s="731"/>
      <c r="M41" s="731"/>
    </row>
    <row r="42" spans="1:18" ht="18" customHeight="1">
      <c r="A42" s="352"/>
      <c r="B42" s="353"/>
      <c r="C42" s="354"/>
      <c r="D42" s="372"/>
      <c r="E42" s="346" t="s">
        <v>1477</v>
      </c>
      <c r="F42" s="356">
        <f ca="1">INDIRECT("'数据-取费表'!v"&amp;$G$1)</f>
        <v>0</v>
      </c>
      <c r="G42" s="1853"/>
      <c r="H42" s="731"/>
      <c r="I42" s="1862"/>
      <c r="J42" s="1863"/>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1"/>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2" t="s">
        <v>1135</v>
      </c>
      <c r="B48" s="344" t="s">
        <v>1401</v>
      </c>
      <c r="C48" s="1819">
        <f ca="1">C49+C53+C55</f>
        <v>0</v>
      </c>
      <c r="D48" s="1364"/>
      <c r="E48" s="1365"/>
      <c r="F48" s="1183"/>
      <c r="G48" s="791"/>
      <c r="H48" s="792"/>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6" t="s">
        <v>1136</v>
      </c>
      <c r="B49" s="1831" t="s">
        <v>1490</v>
      </c>
      <c r="C49" s="1366">
        <f ca="1">ROUND(F49*F51*F50*(1-F52),0)</f>
        <v>0</v>
      </c>
      <c r="D49" s="1278" t="s">
        <v>1404</v>
      </c>
      <c r="E49" s="1832" t="s">
        <v>1491</v>
      </c>
      <c r="F49" s="1283"/>
      <c r="G49" s="1893"/>
      <c r="H49" s="792"/>
      <c r="I49" s="1889" t="s">
        <v>1534</v>
      </c>
      <c r="J49" s="1894"/>
      <c r="K49" s="1891" t="s">
        <v>1535</v>
      </c>
      <c r="L49" s="1895"/>
      <c r="O49" s="1896" t="s">
        <v>1042</v>
      </c>
      <c r="P49" s="1887" t="s">
        <v>1536</v>
      </c>
      <c r="Q49" s="1888">
        <f ca="1">C29</f>
        <v>0</v>
      </c>
      <c r="R49" s="1888" t="s">
        <v>1529</v>
      </c>
    </row>
    <row r="50" spans="1:18" s="1844" customFormat="1" ht="13.5" thickBot="1">
      <c r="A50" s="1197"/>
      <c r="B50" s="1200"/>
      <c r="C50" s="1201"/>
      <c r="D50" s="1174"/>
      <c r="E50" s="1279" t="s">
        <v>1406</v>
      </c>
      <c r="F50" s="1280">
        <f ca="1">F7</f>
        <v>0</v>
      </c>
      <c r="H50" s="792"/>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8"/>
      <c r="B51" s="1200"/>
      <c r="C51" s="1201"/>
      <c r="D51" s="1174"/>
      <c r="E51" s="1202" t="s">
        <v>1407</v>
      </c>
      <c r="F51" s="347">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b">
        <f>J53</f>
        <v>0</v>
      </c>
      <c r="R52" s="1888" t="s">
        <v>1546</v>
      </c>
    </row>
    <row r="53" spans="1:18" s="1844" customFormat="1" ht="30.75" customHeight="1" thickBot="1">
      <c r="A53" s="1363" t="s">
        <v>1137</v>
      </c>
      <c r="B53" s="368" t="s">
        <v>1409</v>
      </c>
      <c r="C53" s="360">
        <f ca="1">ROUND(IF(F53="押一",C49/12*F11,IF(F53="押二",C49/12*2*F11,IF(F53="押三",C49/12*3*F11,C54*F11))),0)</f>
        <v>0</v>
      </c>
      <c r="D53" s="1826" t="s">
        <v>3014</v>
      </c>
      <c r="E53" s="357" t="s">
        <v>1410</v>
      </c>
      <c r="F53" s="1368"/>
      <c r="I53" s="1907" t="s">
        <v>1547</v>
      </c>
      <c r="J53" s="1908" t="b">
        <f>IF(M47="住宅",IF(D1="——",MAX(J51,L48),IF(D1="在建（套用方法）",MAX(J51,L48-'数据-取费表'!B24),MAX(J51,L48-'数据-取费表'!B20))),IF(D1="——",MIN(J51,L48),IF(D1="在建（套用方法）",MIN(J51,L48-'数据-取费表'!B24),IF(D1="土地（套用方法）",MIN(J51,L48-'数据-取费表'!B20)))))</f>
        <v>0</v>
      </c>
      <c r="K53" s="3346" t="s">
        <v>1548</v>
      </c>
      <c r="L53" s="3347"/>
      <c r="O53" s="1886" t="s">
        <v>1046</v>
      </c>
      <c r="P53" s="1887" t="s">
        <v>1549</v>
      </c>
      <c r="Q53" s="1888" t="e">
        <f ca="1">Q47+Q48</f>
        <v>#DIV/0!</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8">
        <v>2</v>
      </c>
      <c r="B56" s="1179" t="s">
        <v>1414</v>
      </c>
      <c r="C56" s="275">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1" t="s">
        <v>1478</v>
      </c>
      <c r="C57" s="281">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59" t="s">
        <v>1030</v>
      </c>
      <c r="B58" s="1179" t="s">
        <v>1424</v>
      </c>
      <c r="C58" s="360">
        <f ca="1">ROUND(C59+C64+C65+C66,0)</f>
        <v>0</v>
      </c>
      <c r="D58" s="1181" t="s">
        <v>1425</v>
      </c>
      <c r="E58" s="1182"/>
      <c r="F58" s="1183"/>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ROUND(IF(项目基本情况!B11="自然人",C48*F59,C60+C61+C62),0)</f>
        <v>0</v>
      </c>
      <c r="D59" s="1184" t="s">
        <v>1430</v>
      </c>
      <c r="E59" s="1185" t="s">
        <v>1431</v>
      </c>
      <c r="F59" s="367"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6">
        <f t="shared" ref="F60:F66" si="0">F32</f>
        <v>5.6000000000000001E-2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IF(项目基本情况!B11="自然人","——",IF(D61="按租金收入计税",ROUND(C48*F61,0),IF(D61="按房产原值计税",ROUND(C57*F61*0.7,0),INDIRECT("'数据-取费表'!Aj"&amp;$G$1))))</f>
        <v>0</v>
      </c>
      <c r="D61" s="1830" t="s">
        <v>1438</v>
      </c>
      <c r="E61" s="1171" t="s">
        <v>1494</v>
      </c>
      <c r="F61" s="366">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3" t="s">
        <v>1495</v>
      </c>
      <c r="B62" s="1170" t="s">
        <v>1496</v>
      </c>
      <c r="C62" s="25">
        <f ca="1">IF(项目基本情况!B11="自然人","——",ROUND(F62*F63,0))</f>
        <v>0</v>
      </c>
      <c r="D62" s="1186" t="s">
        <v>1497</v>
      </c>
      <c r="E62" s="1171" t="s">
        <v>1498</v>
      </c>
      <c r="F62" s="370">
        <f t="shared" si="0"/>
        <v>30</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1"/>
      <c r="B63" s="1177"/>
      <c r="C63" s="29"/>
      <c r="D63" s="1187"/>
      <c r="E63" s="1171" t="s">
        <v>1499</v>
      </c>
      <c r="F63" s="347">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0</v>
      </c>
      <c r="D64" s="1185" t="s">
        <v>1502</v>
      </c>
      <c r="E64" s="1171" t="s">
        <v>1494</v>
      </c>
      <c r="F64" s="373">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0</v>
      </c>
      <c r="D65" s="1185" t="s">
        <v>1454</v>
      </c>
      <c r="E65" s="1171" t="s">
        <v>1455</v>
      </c>
      <c r="F65" s="375">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3" t="s">
        <v>1504</v>
      </c>
      <c r="B66" s="1171" t="s">
        <v>1439</v>
      </c>
      <c r="C66" s="24">
        <f ca="1">ROUND(C48*F66,0)</f>
        <v>0</v>
      </c>
      <c r="D66" s="1185" t="s">
        <v>1505</v>
      </c>
      <c r="E66" s="1171" t="s">
        <v>1422</v>
      </c>
      <c r="F66" s="356">
        <f t="shared" ca="1" si="0"/>
        <v>0</v>
      </c>
      <c r="O66" s="1886" t="s">
        <v>1041</v>
      </c>
      <c r="P66" s="1887" t="s">
        <v>1558</v>
      </c>
      <c r="Q66" s="1888" t="e">
        <f ca="1">L60</f>
        <v>#DIV/0!</v>
      </c>
      <c r="R66" s="1888" t="s">
        <v>1581</v>
      </c>
    </row>
    <row r="67" spans="1:18" s="1844" customFormat="1" ht="16.5" thickBot="1">
      <c r="A67" s="1178" t="s">
        <v>1031</v>
      </c>
      <c r="B67" s="1188" t="s">
        <v>1463</v>
      </c>
      <c r="C67" s="360">
        <f ca="1">C48-C58</f>
        <v>0</v>
      </c>
      <c r="D67" s="1184" t="s">
        <v>1464</v>
      </c>
      <c r="E67" s="1189"/>
      <c r="F67" s="1190"/>
      <c r="O67" s="1896" t="s">
        <v>1042</v>
      </c>
      <c r="P67" s="1887" t="s">
        <v>1562</v>
      </c>
      <c r="Q67" s="1935">
        <f ca="1">L51</f>
        <v>0</v>
      </c>
      <c r="R67" s="1888" t="s">
        <v>1582</v>
      </c>
    </row>
    <row r="68" spans="1:18" s="1844" customFormat="1" ht="16.5" thickBot="1">
      <c r="A68" s="1168" t="s">
        <v>1032</v>
      </c>
      <c r="B68" s="1169" t="s">
        <v>1485</v>
      </c>
      <c r="C68" s="345" t="e">
        <f ca="1">ROUND(C67*(1-((1+F70)/(1+F68))^F69)/(F68-F70),0)</f>
        <v>#DIV/0!</v>
      </c>
      <c r="D68" s="1186" t="s">
        <v>1469</v>
      </c>
      <c r="E68" s="1171" t="s">
        <v>1470</v>
      </c>
      <c r="F68" s="356">
        <f ca="1">F40</f>
        <v>0</v>
      </c>
      <c r="O68" s="1896" t="s">
        <v>1043</v>
      </c>
      <c r="P68" s="1936" t="s">
        <v>1583</v>
      </c>
      <c r="Q68" s="1888">
        <f ca="1">ROUND(Q69-Q70*Q71,0)</f>
        <v>0</v>
      </c>
      <c r="R68" s="1888" t="s">
        <v>1051</v>
      </c>
    </row>
    <row r="69" spans="1:18" s="1844" customFormat="1" ht="13.5" thickBot="1">
      <c r="A69" s="1172"/>
      <c r="B69" s="1173"/>
      <c r="C69" s="350"/>
      <c r="D69" s="1191" t="s">
        <v>1473</v>
      </c>
      <c r="E69" s="1171" t="s">
        <v>1474</v>
      </c>
      <c r="F69" s="378">
        <f ca="1">F41</f>
        <v>0</v>
      </c>
      <c r="O69" s="1896" t="s">
        <v>1048</v>
      </c>
      <c r="P69" s="1936" t="s">
        <v>1584</v>
      </c>
      <c r="Q69" s="1888">
        <f ca="1">C39</f>
        <v>0</v>
      </c>
      <c r="R69" s="1888" t="s">
        <v>1529</v>
      </c>
    </row>
    <row r="70" spans="1:18" s="1844" customFormat="1" ht="13.5" thickBot="1">
      <c r="A70" s="1175"/>
      <c r="B70" s="1176"/>
      <c r="C70" s="354"/>
      <c r="D70" s="1187"/>
      <c r="E70" s="1171" t="s">
        <v>1477</v>
      </c>
      <c r="F70" s="1277">
        <f ca="1">F42</f>
        <v>0</v>
      </c>
      <c r="O70" s="1896" t="s">
        <v>1049</v>
      </c>
      <c r="P70" s="1936" t="s">
        <v>1585</v>
      </c>
      <c r="Q70" s="1888">
        <f ca="1">C13</f>
        <v>0</v>
      </c>
      <c r="R70" s="1888" t="s">
        <v>1529</v>
      </c>
    </row>
    <row r="71" spans="1:18" s="1844" customFormat="1" ht="13.5" thickBot="1">
      <c r="A71" s="1192" t="s">
        <v>1033</v>
      </c>
      <c r="B71" s="1193" t="s">
        <v>1487</v>
      </c>
      <c r="C71" s="381" t="e">
        <f ca="1">ROUND(C68/F71,0)</f>
        <v>#DIV/0!</v>
      </c>
      <c r="D71" s="1194" t="s">
        <v>1488</v>
      </c>
      <c r="E71" s="1195" t="s">
        <v>1489</v>
      </c>
      <c r="F71" s="384">
        <f ca="1">F43</f>
        <v>0</v>
      </c>
      <c r="O71" s="1896" t="s">
        <v>1050</v>
      </c>
      <c r="P71" s="1936" t="s">
        <v>1586</v>
      </c>
      <c r="Q71" s="1899">
        <f ca="1">C76</f>
        <v>0</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5" t="s">
        <v>1506</v>
      </c>
      <c r="C75" s="386">
        <f ca="1">ROUND(C13*C76,0)</f>
        <v>0</v>
      </c>
      <c r="D75" s="1844"/>
      <c r="E75" s="1844"/>
      <c r="F75" s="1844"/>
      <c r="K75" s="1870"/>
      <c r="L75" s="1844"/>
      <c r="O75" s="1886" t="s">
        <v>1046</v>
      </c>
      <c r="P75" s="1887" t="s">
        <v>1549</v>
      </c>
      <c r="Q75" s="1888" t="e">
        <f ca="1">Q65+Q66</f>
        <v>#DIV/0!</v>
      </c>
      <c r="R75" s="1888" t="s">
        <v>1047</v>
      </c>
    </row>
    <row r="76" spans="1:18">
      <c r="B76" s="387" t="s">
        <v>1507</v>
      </c>
      <c r="C76" s="388">
        <f ca="1">INDIRECT("'数据-取费表'!j"&amp;$G$1)</f>
        <v>0</v>
      </c>
      <c r="I76" s="1844"/>
      <c r="J76" s="1844"/>
      <c r="K76" s="1870"/>
      <c r="L76" s="1844"/>
    </row>
    <row r="77" spans="1:18">
      <c r="B77" s="389" t="s">
        <v>1508</v>
      </c>
      <c r="C77" s="390"/>
      <c r="I77" s="1844"/>
      <c r="J77" s="1844"/>
      <c r="K77" s="1870"/>
      <c r="L77" s="1844"/>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5" type="noConversion"/>
  <conditionalFormatting sqref="K55 K60">
    <cfRule type="expression" dxfId="90" priority="4">
      <formula>$L$48&gt;$J$51</formula>
    </cfRule>
  </conditionalFormatting>
  <conditionalFormatting sqref="I55 I60">
    <cfRule type="expression" dxfId="89" priority="5">
      <formula>$J$51&gt;$L$48</formula>
    </cfRule>
  </conditionalFormatting>
  <conditionalFormatting sqref="C11">
    <cfRule type="expression" dxfId="88" priority="3">
      <formula>$F$10="自定义"</formula>
    </cfRule>
  </conditionalFormatting>
  <conditionalFormatting sqref="J11">
    <cfRule type="expression" dxfId="87" priority="2">
      <formula>$M$10="自定义"</formula>
    </cfRule>
  </conditionalFormatting>
  <conditionalFormatting sqref="C54">
    <cfRule type="expression" dxfId="8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21" sqref="D21"/>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25" t="s">
        <v>2497</v>
      </c>
      <c r="B1" s="2526"/>
      <c r="C1" s="2526"/>
      <c r="D1" s="2526"/>
      <c r="E1" s="2527"/>
    </row>
    <row r="2" spans="1:6" ht="15.75">
      <c r="A2" s="2528" t="s">
        <v>2298</v>
      </c>
      <c r="B2" s="2529">
        <f ca="1">SUMIF(B6:B13,"&lt;&gt;#ref!",B6:B13)</f>
        <v>1665970</v>
      </c>
      <c r="C2" s="2530" t="s">
        <v>2490</v>
      </c>
      <c r="D2" s="2531" t="s">
        <v>2491</v>
      </c>
      <c r="E2" s="2532">
        <f>SUM(E6:E13)</f>
        <v>143997.76999999999</v>
      </c>
    </row>
    <row r="3" spans="1:6" ht="15.75">
      <c r="A3" s="2528" t="s">
        <v>1395</v>
      </c>
      <c r="B3" s="2529">
        <f ca="1">ROUND(B2*10000/E2,0)</f>
        <v>115694</v>
      </c>
      <c r="C3" s="2530" t="s">
        <v>2498</v>
      </c>
      <c r="D3" s="2533"/>
      <c r="E3" s="2534"/>
    </row>
    <row r="4" spans="1:6" ht="15.75">
      <c r="A4" s="2535"/>
      <c r="B4" s="2533"/>
      <c r="C4" s="2533"/>
      <c r="D4" s="2533"/>
      <c r="E4" s="2534"/>
    </row>
    <row r="5" spans="1:6" ht="15">
      <c r="A5" s="2536" t="s">
        <v>2492</v>
      </c>
      <c r="B5" s="3389" t="s">
        <v>2493</v>
      </c>
      <c r="C5" s="3389"/>
      <c r="D5" s="2537"/>
      <c r="E5" s="2538" t="s">
        <v>2494</v>
      </c>
      <c r="F5" s="2539" t="s">
        <v>2495</v>
      </c>
    </row>
    <row r="6" spans="1:6">
      <c r="A6" s="2540" t="str">
        <f>'数据-取费表'!AN6</f>
        <v>收益法 (商业)</v>
      </c>
      <c r="B6" s="2539">
        <f ca="1">IF(F6="是",'数据-取费表'!AO6,0)</f>
        <v>95859</v>
      </c>
      <c r="C6" s="2530" t="s">
        <v>2490</v>
      </c>
      <c r="D6" s="2533"/>
      <c r="E6" s="2541">
        <f>IF(OR(A6=0,F6="否"),0,'数据-取费表'!K6+'数据-取费表'!S6)</f>
        <v>10755.880000000001</v>
      </c>
      <c r="F6" s="2542" t="s">
        <v>2496</v>
      </c>
    </row>
    <row r="7" spans="1:6">
      <c r="A7" s="2540" t="str">
        <f>'数据-取费表'!AN7</f>
        <v>收益法 (办公)</v>
      </c>
      <c r="B7" s="2539">
        <f ca="1">IF(F7="是",'数据-取费表'!AO7,0)</f>
        <v>1521591</v>
      </c>
      <c r="C7" s="2530" t="s">
        <v>2490</v>
      </c>
      <c r="D7" s="2533"/>
      <c r="E7" s="2541">
        <f>IF(OR(A7=0,F7="否"),0,'数据-取费表'!K7+'数据-取费表'!S7)</f>
        <v>109434.01</v>
      </c>
      <c r="F7" s="2542" t="s">
        <v>2496</v>
      </c>
    </row>
    <row r="8" spans="1:6">
      <c r="A8" s="2540" t="str">
        <f>'数据-取费表'!AN8</f>
        <v>收益法（地下车库）</v>
      </c>
      <c r="B8" s="2539">
        <f ca="1">IF(F8="是",'数据-取费表'!AO8,0)</f>
        <v>48520</v>
      </c>
      <c r="C8" s="2530" t="s">
        <v>2490</v>
      </c>
      <c r="D8" s="2533"/>
      <c r="E8" s="2541">
        <f>IF(OR(A8=0,F8="否"),0,'数据-取费表'!K8+'数据-取费表'!S8)</f>
        <v>23807.88</v>
      </c>
      <c r="F8" s="2542" t="s">
        <v>2496</v>
      </c>
    </row>
    <row r="9" spans="1:6">
      <c r="A9" s="2540">
        <f>'数据-取费表'!AN9</f>
        <v>0</v>
      </c>
      <c r="B9" s="2539" t="e">
        <f ca="1">IF(F9="是",'数据-取费表'!AO9,0)</f>
        <v>#REF!</v>
      </c>
      <c r="C9" s="2530" t="s">
        <v>2490</v>
      </c>
      <c r="D9" s="2533"/>
      <c r="E9" s="2541">
        <f>IF(OR(A9=0,F9="否"),0,'数据-取费表'!K9+'数据-取费表'!S9)</f>
        <v>0</v>
      </c>
      <c r="F9" s="2542" t="s">
        <v>2496</v>
      </c>
    </row>
    <row r="10" spans="1:6">
      <c r="A10" s="2540">
        <f>'数据-取费表'!AN10</f>
        <v>0</v>
      </c>
      <c r="B10" s="2539" t="e">
        <f ca="1">IF(F10="是",'数据-取费表'!AO10,0)</f>
        <v>#REF!</v>
      </c>
      <c r="C10" s="2530" t="s">
        <v>2490</v>
      </c>
      <c r="D10" s="2533"/>
      <c r="E10" s="2541">
        <f>IF(OR(A10=0,F10="否"),0,'数据-取费表'!K10+'数据-取费表'!S10)</f>
        <v>0</v>
      </c>
      <c r="F10" s="2542" t="s">
        <v>2496</v>
      </c>
    </row>
    <row r="11" spans="1:6">
      <c r="A11" s="2540">
        <f>'数据-取费表'!AN11</f>
        <v>0</v>
      </c>
      <c r="B11" s="2539" t="e">
        <f ca="1">IF(F11="是",'数据-取费表'!AO11,0)</f>
        <v>#REF!</v>
      </c>
      <c r="C11" s="2530" t="s">
        <v>2490</v>
      </c>
      <c r="D11" s="2533"/>
      <c r="E11" s="2541">
        <f>IF(OR(A11=0,F11="否"),0,'数据-取费表'!K11+'数据-取费表'!S11)</f>
        <v>0</v>
      </c>
      <c r="F11" s="2542" t="s">
        <v>2496</v>
      </c>
    </row>
    <row r="12" spans="1:6">
      <c r="A12" s="2540">
        <f>'数据-取费表'!AN12</f>
        <v>0</v>
      </c>
      <c r="B12" s="2539" t="e">
        <f ca="1">IF(F12="是",'数据-取费表'!AO12,0)</f>
        <v>#REF!</v>
      </c>
      <c r="C12" s="2530" t="s">
        <v>2490</v>
      </c>
      <c r="D12" s="2533"/>
      <c r="E12" s="2541">
        <f>IF(OR(A12=0,F12="否"),0,'数据-取费表'!K12+'数据-取费表'!S12)</f>
        <v>0</v>
      </c>
      <c r="F12" s="2542" t="s">
        <v>2496</v>
      </c>
    </row>
    <row r="13" spans="1:6" ht="15" thickBot="1">
      <c r="A13" s="2543">
        <f>'数据-取费表'!AN13</f>
        <v>0</v>
      </c>
      <c r="B13" s="2539" t="e">
        <f ca="1">IF(F13="是",'数据-取费表'!AO13,0)</f>
        <v>#REF!</v>
      </c>
      <c r="C13" s="2544" t="s">
        <v>2490</v>
      </c>
      <c r="D13" s="2545"/>
      <c r="E13" s="2541">
        <f>IF(OR(A13=0,F13="否"),0,'数据-取费表'!K13+'数据-取费表'!S13)</f>
        <v>0</v>
      </c>
      <c r="F13" s="2542" t="s">
        <v>2496</v>
      </c>
    </row>
  </sheetData>
  <sheetProtection password="C66D" sheet="1" objects="1" scenarios="1" formatCell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40" sqref="C40"/>
    </sheetView>
  </sheetViews>
  <sheetFormatPr defaultRowHeight="13.5"/>
  <cols>
    <col min="1" max="1" width="10.5" customWidth="1"/>
    <col min="2" max="2" width="12.875" customWidth="1"/>
    <col min="3" max="3" width="8.75" customWidth="1"/>
  </cols>
  <sheetData>
    <row r="1" spans="1:9" ht="14.25">
      <c r="A1" s="3406" t="s">
        <v>1076</v>
      </c>
      <c r="B1" s="3407"/>
      <c r="C1" s="3408"/>
      <c r="D1" s="3409">
        <f>SUM(I10,I15,I20,I21,I23)</f>
        <v>0</v>
      </c>
      <c r="E1" s="3409"/>
      <c r="F1" s="3409"/>
      <c r="G1" s="3409"/>
      <c r="H1" s="3409"/>
      <c r="I1" s="3410"/>
    </row>
    <row r="2" spans="1:9">
      <c r="A2" s="3396" t="s">
        <v>1077</v>
      </c>
      <c r="B2" s="3397" t="s">
        <v>1078</v>
      </c>
      <c r="C2" s="3397"/>
      <c r="D2" s="1303" t="s">
        <v>1079</v>
      </c>
      <c r="E2" s="1303" t="s">
        <v>1080</v>
      </c>
      <c r="F2" s="1303" t="s">
        <v>1081</v>
      </c>
      <c r="G2" s="1303" t="s">
        <v>1082</v>
      </c>
      <c r="H2" s="1303" t="s">
        <v>1083</v>
      </c>
      <c r="I2" s="1304" t="s">
        <v>1084</v>
      </c>
    </row>
    <row r="3" spans="1:9">
      <c r="A3" s="3396"/>
      <c r="B3" s="3397" t="s">
        <v>1085</v>
      </c>
      <c r="C3" s="3397"/>
      <c r="D3" s="1305"/>
      <c r="E3" s="1303"/>
      <c r="F3" s="1306"/>
      <c r="G3" s="1306"/>
      <c r="H3" s="1307"/>
      <c r="I3" s="1308">
        <f>ROUND(D3*E3*F3*G3*H3/10000,0)</f>
        <v>0</v>
      </c>
    </row>
    <row r="4" spans="1:9">
      <c r="A4" s="3396"/>
      <c r="B4" s="3397" t="s">
        <v>1086</v>
      </c>
      <c r="C4" s="3397"/>
      <c r="D4" s="1305"/>
      <c r="E4" s="1303"/>
      <c r="F4" s="1306"/>
      <c r="G4" s="1306"/>
      <c r="H4" s="1307"/>
      <c r="I4" s="1308">
        <f t="shared" ref="I4:I9" si="0">ROUND(D4*E4*F4*G4*H4/10000,0)</f>
        <v>0</v>
      </c>
    </row>
    <row r="5" spans="1:9">
      <c r="A5" s="3396"/>
      <c r="B5" s="3397" t="s">
        <v>1087</v>
      </c>
      <c r="C5" s="3397"/>
      <c r="D5" s="1305"/>
      <c r="E5" s="1303"/>
      <c r="F5" s="1306"/>
      <c r="G5" s="1306"/>
      <c r="H5" s="1307"/>
      <c r="I5" s="1308">
        <f t="shared" si="0"/>
        <v>0</v>
      </c>
    </row>
    <row r="6" spans="1:9">
      <c r="A6" s="3396"/>
      <c r="B6" s="3397" t="s">
        <v>1088</v>
      </c>
      <c r="C6" s="3397"/>
      <c r="D6" s="1305"/>
      <c r="E6" s="1303"/>
      <c r="F6" s="1306"/>
      <c r="G6" s="1306"/>
      <c r="H6" s="1307"/>
      <c r="I6" s="1308">
        <f t="shared" si="0"/>
        <v>0</v>
      </c>
    </row>
    <row r="7" spans="1:9">
      <c r="A7" s="3396"/>
      <c r="B7" s="3397" t="s">
        <v>1089</v>
      </c>
      <c r="C7" s="3397"/>
      <c r="D7" s="1305"/>
      <c r="E7" s="1303"/>
      <c r="F7" s="1306"/>
      <c r="G7" s="1306"/>
      <c r="H7" s="1307"/>
      <c r="I7" s="1308">
        <f t="shared" si="0"/>
        <v>0</v>
      </c>
    </row>
    <row r="8" spans="1:9">
      <c r="A8" s="3396"/>
      <c r="B8" s="3397" t="s">
        <v>1090</v>
      </c>
      <c r="C8" s="3397"/>
      <c r="D8" s="1305"/>
      <c r="E8" s="1303"/>
      <c r="F8" s="1306"/>
      <c r="G8" s="1306"/>
      <c r="H8" s="1307"/>
      <c r="I8" s="1308">
        <f t="shared" si="0"/>
        <v>0</v>
      </c>
    </row>
    <row r="9" spans="1:9">
      <c r="A9" s="3396"/>
      <c r="B9" s="3397" t="s">
        <v>1091</v>
      </c>
      <c r="C9" s="3397"/>
      <c r="D9" s="1305"/>
      <c r="E9" s="1303"/>
      <c r="F9" s="1306"/>
      <c r="G9" s="1306"/>
      <c r="H9" s="1307"/>
      <c r="I9" s="1308">
        <f t="shared" si="0"/>
        <v>0</v>
      </c>
    </row>
    <row r="10" spans="1:9">
      <c r="A10" s="3396"/>
      <c r="B10" s="3398" t="s">
        <v>1092</v>
      </c>
      <c r="C10" s="3398"/>
      <c r="D10" s="1309"/>
      <c r="E10" s="1309" t="e">
        <f>ROUND(D1*10000/D10/H9,0)</f>
        <v>#DIV/0!</v>
      </c>
      <c r="F10" s="1310"/>
      <c r="G10" s="1310"/>
      <c r="H10" s="1311"/>
      <c r="I10" s="1312">
        <f>SUM(I3:I9)</f>
        <v>0</v>
      </c>
    </row>
    <row r="11" spans="1:9" ht="14.25">
      <c r="A11" s="3396" t="s">
        <v>1093</v>
      </c>
      <c r="B11" s="3397" t="s">
        <v>1094</v>
      </c>
      <c r="C11" s="3397"/>
      <c r="D11" s="1305" t="s">
        <v>1095</v>
      </c>
      <c r="E11" s="1305" t="s">
        <v>1096</v>
      </c>
      <c r="F11" s="1306" t="s">
        <v>1097</v>
      </c>
      <c r="G11" s="1306" t="s">
        <v>1083</v>
      </c>
      <c r="H11" s="1313" t="s">
        <v>1098</v>
      </c>
      <c r="I11" s="1304" t="s">
        <v>1084</v>
      </c>
    </row>
    <row r="12" spans="1:9">
      <c r="A12" s="3396"/>
      <c r="B12" s="3397" t="s">
        <v>1099</v>
      </c>
      <c r="C12" s="3397"/>
      <c r="D12" s="1305"/>
      <c r="E12" s="1305"/>
      <c r="F12" s="1306"/>
      <c r="G12" s="1307"/>
      <c r="H12" s="1314"/>
      <c r="I12" s="1304">
        <f>ROUND(D12*E12*F12*G12/10000,0)</f>
        <v>0</v>
      </c>
    </row>
    <row r="13" spans="1:9">
      <c r="A13" s="3396"/>
      <c r="B13" s="3397" t="s">
        <v>1100</v>
      </c>
      <c r="C13" s="3397"/>
      <c r="D13" s="1305"/>
      <c r="E13" s="1305"/>
      <c r="F13" s="1306"/>
      <c r="G13" s="1307"/>
      <c r="H13" s="1314"/>
      <c r="I13" s="1304">
        <f>ROUND(D13*E13*F13*G13/10000,0)</f>
        <v>0</v>
      </c>
    </row>
    <row r="14" spans="1:9">
      <c r="A14" s="3396"/>
      <c r="B14" s="3397" t="s">
        <v>1101</v>
      </c>
      <c r="C14" s="3397"/>
      <c r="D14" s="1305"/>
      <c r="E14" s="1305"/>
      <c r="F14" s="1306"/>
      <c r="G14" s="1307"/>
      <c r="H14" s="1314"/>
      <c r="I14" s="1304">
        <f>ROUND(D14*E14*F14*G14/10000,0)</f>
        <v>0</v>
      </c>
    </row>
    <row r="15" spans="1:9">
      <c r="A15" s="3396"/>
      <c r="B15" s="3398" t="s">
        <v>1092</v>
      </c>
      <c r="C15" s="3398"/>
      <c r="D15" s="1309"/>
      <c r="E15" s="1309">
        <f>SUM(E12:E14)</f>
        <v>0</v>
      </c>
      <c r="F15" s="1310"/>
      <c r="G15" s="1307"/>
      <c r="H15" s="1314"/>
      <c r="I15" s="1315">
        <f>SUM(I12:I14)</f>
        <v>0</v>
      </c>
    </row>
    <row r="16" spans="1:9" ht="24">
      <c r="A16" s="3396" t="s">
        <v>1102</v>
      </c>
      <c r="B16" s="3397" t="s">
        <v>1103</v>
      </c>
      <c r="C16" s="3397"/>
      <c r="D16" s="1305" t="s">
        <v>1079</v>
      </c>
      <c r="E16" s="1316" t="s">
        <v>1104</v>
      </c>
      <c r="F16" s="1306" t="s">
        <v>1105</v>
      </c>
      <c r="G16" s="1307" t="s">
        <v>1083</v>
      </c>
      <c r="H16" s="1313" t="s">
        <v>1098</v>
      </c>
      <c r="I16" s="1304" t="s">
        <v>1084</v>
      </c>
    </row>
    <row r="17" spans="1:9" ht="14.25">
      <c r="A17" s="3396"/>
      <c r="B17" s="3397" t="s">
        <v>1106</v>
      </c>
      <c r="C17" s="3397"/>
      <c r="D17" s="1305"/>
      <c r="E17" s="1305"/>
      <c r="F17" s="1306"/>
      <c r="G17" s="1307"/>
      <c r="H17" s="1317"/>
      <c r="I17" s="1318">
        <f>ROUND(D17*E17*F17*G17/10000,0)</f>
        <v>0</v>
      </c>
    </row>
    <row r="18" spans="1:9" ht="14.25">
      <c r="A18" s="3396"/>
      <c r="B18" s="3397" t="s">
        <v>1107</v>
      </c>
      <c r="C18" s="3397"/>
      <c r="D18" s="1305"/>
      <c r="E18" s="1305"/>
      <c r="F18" s="1306"/>
      <c r="G18" s="1307"/>
      <c r="H18" s="1317"/>
      <c r="I18" s="1318">
        <f>ROUND(D18*E18*F18*G18/10000,0)</f>
        <v>0</v>
      </c>
    </row>
    <row r="19" spans="1:9" ht="14.25">
      <c r="A19" s="3396"/>
      <c r="B19" s="3397" t="s">
        <v>1108</v>
      </c>
      <c r="C19" s="3397"/>
      <c r="D19" s="1305"/>
      <c r="E19" s="1305"/>
      <c r="F19" s="1306"/>
      <c r="G19" s="1307"/>
      <c r="H19" s="1317"/>
      <c r="I19" s="1318">
        <f>ROUND(D19*E19*F19*G19/10000,0)</f>
        <v>0</v>
      </c>
    </row>
    <row r="20" spans="1:9">
      <c r="A20" s="3396"/>
      <c r="B20" s="3398" t="s">
        <v>1092</v>
      </c>
      <c r="C20" s="3398"/>
      <c r="D20" s="1309">
        <f>SUM(D17:D19)</f>
        <v>0</v>
      </c>
      <c r="E20" s="1309"/>
      <c r="F20" s="1310"/>
      <c r="G20" s="1307"/>
      <c r="H20" s="1314"/>
      <c r="I20" s="1315">
        <f>SUM(I17:I19)</f>
        <v>0</v>
      </c>
    </row>
    <row r="21" spans="1:9">
      <c r="A21" s="3396" t="s">
        <v>1109</v>
      </c>
      <c r="B21" s="3399"/>
      <c r="C21" s="3399"/>
      <c r="D21" s="3399"/>
      <c r="E21" s="3399"/>
      <c r="F21" s="3399"/>
      <c r="G21" s="3399"/>
      <c r="H21" s="1767">
        <v>0.1</v>
      </c>
      <c r="I21" s="1312">
        <f>ROUND(I10*H21,0)</f>
        <v>0</v>
      </c>
    </row>
    <row r="22" spans="1:9" ht="14.25">
      <c r="A22" s="3400" t="s">
        <v>1110</v>
      </c>
      <c r="B22" s="3401"/>
      <c r="C22" s="3402"/>
      <c r="D22" s="1319" t="s">
        <v>1111</v>
      </c>
      <c r="E22" s="1319" t="s">
        <v>1112</v>
      </c>
      <c r="F22" s="1320" t="s">
        <v>1113</v>
      </c>
      <c r="G22" s="1320" t="s">
        <v>1114</v>
      </c>
      <c r="H22" s="1313" t="s">
        <v>1115</v>
      </c>
      <c r="I22" s="1304" t="s">
        <v>1116</v>
      </c>
    </row>
    <row r="23" spans="1:9" ht="14.25" thickBot="1">
      <c r="A23" s="3403"/>
      <c r="B23" s="3404"/>
      <c r="C23" s="3405"/>
      <c r="D23" s="1321"/>
      <c r="E23" s="1321"/>
      <c r="F23" s="1321"/>
      <c r="G23" s="1322"/>
      <c r="H23" s="1323"/>
      <c r="I23" s="1324">
        <f>ROUND(E23*D23*F23*(1-G23)/10000,0)</f>
        <v>0</v>
      </c>
    </row>
    <row r="26" spans="1:9">
      <c r="A26" s="1325" t="s">
        <v>1117</v>
      </c>
      <c r="B26" s="1325"/>
      <c r="C26" s="1325"/>
      <c r="D26" s="1325"/>
      <c r="E26" s="3393">
        <f>C27-C30-C31-C32</f>
        <v>0</v>
      </c>
      <c r="F26" s="3393"/>
      <c r="G26" s="3393"/>
      <c r="H26" s="1739" t="s">
        <v>1340</v>
      </c>
    </row>
    <row r="27" spans="1:9">
      <c r="A27" s="1326">
        <v>1</v>
      </c>
      <c r="B27" s="1327" t="s">
        <v>1118</v>
      </c>
      <c r="C27" s="1327">
        <f>C28+C29</f>
        <v>0</v>
      </c>
      <c r="D27" s="1327"/>
      <c r="E27" s="3394"/>
      <c r="F27" s="3394"/>
      <c r="G27" s="3394"/>
    </row>
    <row r="28" spans="1:9">
      <c r="A28" s="1328" t="s">
        <v>1119</v>
      </c>
      <c r="B28" s="1327" t="s">
        <v>1120</v>
      </c>
      <c r="C28" s="1327"/>
      <c r="D28" s="1327"/>
      <c r="E28" s="3394"/>
      <c r="F28" s="3394"/>
      <c r="G28" s="3394"/>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395"/>
      <c r="F32" s="3395"/>
      <c r="G32" s="3395"/>
    </row>
    <row r="33" spans="1:7" hidden="1">
      <c r="A33" s="3390" t="s">
        <v>1129</v>
      </c>
      <c r="B33" s="3391"/>
      <c r="C33" s="3391"/>
      <c r="D33" s="3392"/>
      <c r="E33" s="3393"/>
      <c r="F33" s="3393"/>
      <c r="G33" s="3393"/>
    </row>
    <row r="34" spans="1:7" hidden="1">
      <c r="A34" s="1330">
        <v>1</v>
      </c>
      <c r="B34" s="1327" t="s">
        <v>1130</v>
      </c>
      <c r="C34" s="1327"/>
      <c r="D34" s="1327"/>
      <c r="E34" s="3394"/>
      <c r="F34" s="3394"/>
      <c r="G34" s="3394"/>
    </row>
    <row r="35" spans="1:7" hidden="1">
      <c r="A35" s="1330">
        <v>2</v>
      </c>
      <c r="B35" s="1327" t="s">
        <v>1131</v>
      </c>
      <c r="C35" s="1327"/>
      <c r="D35" s="1327"/>
      <c r="E35" s="3394"/>
      <c r="F35" s="3394"/>
      <c r="G35" s="3394"/>
    </row>
    <row r="36" spans="1:7" hidden="1">
      <c r="A36" s="1330">
        <v>3</v>
      </c>
      <c r="B36" s="1327" t="s">
        <v>1132</v>
      </c>
      <c r="C36" s="1327"/>
      <c r="D36" s="1327"/>
      <c r="E36" s="3394"/>
      <c r="F36" s="3394"/>
      <c r="G36" s="3394"/>
    </row>
    <row r="37" spans="1:7" hidden="1">
      <c r="A37" s="1330">
        <v>4</v>
      </c>
      <c r="B37" s="1327" t="s">
        <v>1133</v>
      </c>
      <c r="C37" s="1327"/>
      <c r="D37" s="1327"/>
      <c r="E37" s="3394"/>
      <c r="F37" s="3394"/>
      <c r="G37" s="3394"/>
    </row>
    <row r="38" spans="1:7" hidden="1">
      <c r="A38" s="3390" t="s">
        <v>1134</v>
      </c>
      <c r="B38" s="3391"/>
      <c r="C38" s="3391"/>
      <c r="D38" s="3392"/>
      <c r="E38" s="3393"/>
      <c r="F38" s="3393"/>
      <c r="G38" s="339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2"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40" sqref="C40"/>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58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2499</v>
      </c>
      <c r="B1" s="2546" t="s">
        <v>2500</v>
      </c>
      <c r="C1" s="1636" t="s">
        <v>2501</v>
      </c>
      <c r="D1" s="1623"/>
      <c r="E1" s="2547"/>
      <c r="F1" s="2548" t="s">
        <v>2502</v>
      </c>
      <c r="G1" s="1633" t="s">
        <v>2503</v>
      </c>
      <c r="H1" s="1632"/>
      <c r="I1" s="1632"/>
      <c r="J1" s="1632"/>
      <c r="K1" s="1634"/>
      <c r="L1" s="1635"/>
      <c r="M1" s="1636"/>
      <c r="N1" s="1636"/>
      <c r="O1" s="1636"/>
      <c r="P1" s="2549"/>
      <c r="Q1" s="1622"/>
      <c r="R1" s="1622"/>
      <c r="S1" s="1622"/>
      <c r="T1" s="1622"/>
      <c r="U1" s="1622"/>
      <c r="V1" s="1622"/>
      <c r="W1" s="1622"/>
      <c r="X1" s="1622"/>
      <c r="Y1" s="1622"/>
      <c r="Z1" s="1622"/>
      <c r="AA1" s="1622"/>
      <c r="AB1" s="1622"/>
      <c r="AC1" s="1630"/>
    </row>
    <row r="2" spans="1:29" s="392" customFormat="1" ht="28.5" customHeight="1" thickTop="1">
      <c r="A2" s="1619" t="s">
        <v>1394</v>
      </c>
      <c r="B2" s="1420" t="e">
        <f ca="1">IF(C2="——",ROUND(C49*D3/10000,0),ROUND(C49*D3/10000,0)-D2)</f>
        <v>#DIV/0!</v>
      </c>
      <c r="C2" s="2550"/>
      <c r="D2" s="1367" t="e">
        <f ca="1">SUMIF(INDIRECT("'"&amp;F2&amp;"'"&amp;"!A:A"),"承租人权益价值",INDIRECT("'"&amp;F2&amp;"'"&amp;"!c:c"))</f>
        <v>#REF!</v>
      </c>
      <c r="E2" s="2551" t="s">
        <v>2504</v>
      </c>
      <c r="F2" s="2552"/>
      <c r="G2" s="1126"/>
      <c r="H2" s="1126"/>
      <c r="I2" s="1126"/>
      <c r="J2" s="1126"/>
      <c r="K2" s="2553"/>
      <c r="L2" s="2554"/>
      <c r="M2" s="2555"/>
      <c r="N2" s="2555"/>
      <c r="O2" s="2555"/>
      <c r="P2" s="2556"/>
      <c r="Q2" s="2557"/>
      <c r="R2" s="2557"/>
      <c r="S2" s="2557"/>
      <c r="T2" s="2557"/>
      <c r="U2" s="2557"/>
      <c r="V2" s="2557"/>
      <c r="W2" s="2557"/>
      <c r="X2" s="2557"/>
      <c r="Y2" s="2557"/>
      <c r="Z2" s="2557"/>
      <c r="AA2" s="2557"/>
      <c r="AB2" s="2557"/>
      <c r="AC2" s="2558"/>
    </row>
    <row r="3" spans="1:29" s="392" customFormat="1" ht="28.5" customHeight="1" thickBot="1">
      <c r="A3" s="246" t="s">
        <v>1395</v>
      </c>
      <c r="B3" s="398" t="e">
        <f ca="1">IF(C2="——",C49,ROUND(B2*10000/D3,0))</f>
        <v>#DIV/0!</v>
      </c>
      <c r="C3" s="399" t="s">
        <v>2505</v>
      </c>
      <c r="D3" s="398">
        <f>IF(D1="",'数据-汇总表'!E3,SUMIF('数据-汇总表'!$C19:$C33,D1,'数据-汇总表'!$E19:$E33))</f>
        <v>143997.77000000002</v>
      </c>
      <c r="E3" s="1126"/>
      <c r="F3" s="2559"/>
      <c r="G3" s="1126"/>
      <c r="H3" s="1126"/>
      <c r="I3" s="1126"/>
      <c r="J3" s="1126"/>
      <c r="K3" s="2553"/>
      <c r="L3" s="2554"/>
      <c r="M3" s="2555"/>
      <c r="N3" s="2555"/>
      <c r="O3" s="2555"/>
      <c r="P3" s="2556"/>
      <c r="Q3" s="2557"/>
      <c r="R3" s="2557"/>
      <c r="S3" s="2557"/>
      <c r="T3" s="2557"/>
      <c r="U3" s="2557"/>
      <c r="V3" s="2557"/>
      <c r="W3" s="2557"/>
      <c r="X3" s="2557"/>
      <c r="Y3" s="2557"/>
      <c r="Z3" s="2557"/>
      <c r="AA3" s="2557"/>
      <c r="AB3" s="2557"/>
      <c r="AC3" s="1284"/>
    </row>
    <row r="4" spans="1:29" ht="15">
      <c r="A4" s="400" t="s">
        <v>2506</v>
      </c>
      <c r="B4" s="401"/>
      <c r="C4" s="3310" t="s">
        <v>2507</v>
      </c>
      <c r="D4" s="3311"/>
      <c r="E4" s="3312" t="s">
        <v>2508</v>
      </c>
      <c r="F4" s="3313"/>
      <c r="G4" s="3310" t="s">
        <v>2509</v>
      </c>
      <c r="H4" s="3311"/>
      <c r="I4" s="3310" t="s">
        <v>2510</v>
      </c>
      <c r="J4" s="3311"/>
      <c r="K4" s="2560" t="s">
        <v>2511</v>
      </c>
      <c r="L4" s="1132"/>
      <c r="M4" s="1133"/>
      <c r="N4" s="1133"/>
      <c r="O4" s="1133"/>
      <c r="P4" s="3355" t="s">
        <v>2512</v>
      </c>
      <c r="Q4" s="3356"/>
      <c r="R4" s="3359" t="s">
        <v>2508</v>
      </c>
      <c r="S4" s="3360"/>
      <c r="T4" s="3359" t="s">
        <v>2509</v>
      </c>
      <c r="U4" s="3360"/>
      <c r="V4" s="3327" t="s">
        <v>2510</v>
      </c>
      <c r="W4" s="3327"/>
      <c r="X4" s="1815"/>
      <c r="Y4" s="3359" t="s">
        <v>2512</v>
      </c>
      <c r="Z4" s="3360"/>
      <c r="AA4" s="3354" t="s">
        <v>2508</v>
      </c>
      <c r="AB4" s="3354" t="s">
        <v>2509</v>
      </c>
      <c r="AC4" s="3354" t="s">
        <v>2510</v>
      </c>
    </row>
    <row r="5" spans="1:29" ht="15">
      <c r="A5" s="403"/>
      <c r="B5" s="404"/>
      <c r="C5" s="3363" t="s">
        <v>2513</v>
      </c>
      <c r="D5" s="3364"/>
      <c r="E5" s="3367" t="s">
        <v>2514</v>
      </c>
      <c r="F5" s="3368"/>
      <c r="G5" s="3363" t="s">
        <v>2515</v>
      </c>
      <c r="H5" s="3364"/>
      <c r="I5" s="3363" t="s">
        <v>2516</v>
      </c>
      <c r="J5" s="3364"/>
      <c r="K5" s="2561"/>
      <c r="L5" s="1132"/>
      <c r="M5" s="1133"/>
      <c r="N5" s="1133"/>
      <c r="O5" s="1133"/>
      <c r="P5" s="3357"/>
      <c r="Q5" s="3317"/>
      <c r="R5" s="3322"/>
      <c r="S5" s="3323"/>
      <c r="T5" s="3322"/>
      <c r="U5" s="3323"/>
      <c r="V5" s="3327"/>
      <c r="W5" s="3327"/>
      <c r="X5" s="1815"/>
      <c r="Y5" s="3322"/>
      <c r="Z5" s="3323"/>
      <c r="AA5" s="3339"/>
      <c r="AB5" s="3339"/>
      <c r="AC5" s="3339"/>
    </row>
    <row r="6" spans="1:29" ht="15.75" thickBot="1">
      <c r="A6" s="405"/>
      <c r="B6" s="406"/>
      <c r="C6" s="3361" t="s">
        <v>2517</v>
      </c>
      <c r="D6" s="3362"/>
      <c r="E6" s="3365" t="s">
        <v>2517</v>
      </c>
      <c r="F6" s="3366"/>
      <c r="G6" s="3361" t="s">
        <v>2517</v>
      </c>
      <c r="H6" s="3362"/>
      <c r="I6" s="3361" t="s">
        <v>2517</v>
      </c>
      <c r="J6" s="3362"/>
      <c r="K6" s="2561" t="s">
        <v>2518</v>
      </c>
      <c r="L6" s="1132"/>
      <c r="M6" s="1133"/>
      <c r="N6" s="1133"/>
      <c r="O6" s="1133"/>
      <c r="P6" s="3358"/>
      <c r="Q6" s="3319"/>
      <c r="R6" s="3322"/>
      <c r="S6" s="3323"/>
      <c r="T6" s="3324"/>
      <c r="U6" s="3325"/>
      <c r="V6" s="3327"/>
      <c r="W6" s="3327"/>
      <c r="X6" s="1815"/>
      <c r="Y6" s="3324"/>
      <c r="Z6" s="3325"/>
      <c r="AA6" s="3340"/>
      <c r="AB6" s="3340"/>
      <c r="AC6" s="3340"/>
    </row>
    <row r="7" spans="1:29" s="117" customFormat="1" ht="15.75" thickBot="1">
      <c r="A7" s="407" t="s">
        <v>2519</v>
      </c>
      <c r="B7" s="408"/>
      <c r="C7" s="409">
        <f>'数据-取费表'!B2</f>
        <v>43395</v>
      </c>
      <c r="D7" s="410">
        <v>100</v>
      </c>
      <c r="E7" s="411"/>
      <c r="F7" s="412">
        <f>SUMIF(58:58,YEAR(E7)&amp;"-"&amp;MONTH(E7),59:59)</f>
        <v>0</v>
      </c>
      <c r="G7" s="411"/>
      <c r="H7" s="410">
        <f>SUMIF(58:58,YEAR(G7)&amp;"-"&amp;MONTH(G7),59:59)</f>
        <v>0</v>
      </c>
      <c r="I7" s="411"/>
      <c r="J7" s="410">
        <f>SUMIF(58:58,YEAR(I7)&amp;"-"&amp;MONTH(I7),59:59)</f>
        <v>0</v>
      </c>
      <c r="K7" s="2562"/>
      <c r="L7" s="1134"/>
      <c r="M7" s="1135"/>
      <c r="N7" s="1135"/>
      <c r="O7" s="1135"/>
      <c r="P7" s="3334" t="s">
        <v>2520</v>
      </c>
      <c r="Q7" s="3335"/>
      <c r="R7" s="769" t="s">
        <v>23</v>
      </c>
      <c r="S7" s="770">
        <f t="shared" ref="S7:S15" si="0">F7</f>
        <v>0</v>
      </c>
      <c r="T7" s="769" t="s">
        <v>23</v>
      </c>
      <c r="U7" s="770">
        <f t="shared" ref="U7:U15" si="1">H7</f>
        <v>0</v>
      </c>
      <c r="V7" s="769" t="s">
        <v>23</v>
      </c>
      <c r="W7" s="770">
        <f t="shared" ref="W7:W15" si="2">J7</f>
        <v>0</v>
      </c>
      <c r="X7" s="771"/>
      <c r="Y7" s="3334" t="s">
        <v>2520</v>
      </c>
      <c r="Z7" s="3333"/>
      <c r="AA7" s="772" t="e">
        <f>D7/F7</f>
        <v>#DIV/0!</v>
      </c>
      <c r="AB7" s="772" t="e">
        <f>D7/H7</f>
        <v>#DIV/0!</v>
      </c>
      <c r="AC7" s="772" t="e">
        <f>D7/J7</f>
        <v>#DIV/0!</v>
      </c>
    </row>
    <row r="8" spans="1:29" s="117" customFormat="1" ht="15.75" thickBot="1">
      <c r="A8" s="407" t="s">
        <v>2521</v>
      </c>
      <c r="B8" s="408"/>
      <c r="C8" s="413" t="s">
        <v>2522</v>
      </c>
      <c r="D8" s="410">
        <v>100</v>
      </c>
      <c r="E8" s="2563"/>
      <c r="F8" s="412">
        <f>SUMIF(61:61,E8,62:62)-SUMIF(61:61,C8,62:62)+100</f>
        <v>0</v>
      </c>
      <c r="G8" s="413"/>
      <c r="H8" s="410">
        <f>SUMIF(61:61,G8,62:62)-SUMIF(61:61,C8,62:62)+100</f>
        <v>0</v>
      </c>
      <c r="I8" s="2563"/>
      <c r="J8" s="410">
        <f>SUMIF(61:61,I8,62:62)-SUMIF(61:61,C8,62:62)+100</f>
        <v>0</v>
      </c>
      <c r="K8" s="2562"/>
      <c r="L8" s="1134"/>
      <c r="M8" s="1135"/>
      <c r="N8" s="1135"/>
      <c r="O8" s="1135"/>
      <c r="P8" s="3334" t="s">
        <v>2523</v>
      </c>
      <c r="Q8" s="3333"/>
      <c r="R8" s="769" t="s">
        <v>23</v>
      </c>
      <c r="S8" s="770">
        <f t="shared" si="0"/>
        <v>0</v>
      </c>
      <c r="T8" s="769" t="s">
        <v>23</v>
      </c>
      <c r="U8" s="770">
        <f t="shared" si="1"/>
        <v>0</v>
      </c>
      <c r="V8" s="769" t="s">
        <v>23</v>
      </c>
      <c r="W8" s="770">
        <f t="shared" si="2"/>
        <v>0</v>
      </c>
      <c r="X8" s="771"/>
      <c r="Y8" s="3334" t="s">
        <v>2523</v>
      </c>
      <c r="Z8" s="3333"/>
      <c r="AA8" s="772" t="e">
        <f t="shared" ref="AA8:AA19" si="3">D8/F8</f>
        <v>#DIV/0!</v>
      </c>
      <c r="AB8" s="772" t="e">
        <f t="shared" ref="AB8:AB19" si="4">D8/H8</f>
        <v>#DIV/0!</v>
      </c>
      <c r="AC8" s="772" t="e">
        <f t="shared" ref="AC8:AC19" si="5">D8/J8</f>
        <v>#DIV/0!</v>
      </c>
    </row>
    <row r="9" spans="1:29" s="117" customFormat="1">
      <c r="A9" s="414" t="s">
        <v>2524</v>
      </c>
      <c r="B9" s="71" t="s">
        <v>2525</v>
      </c>
      <c r="C9" s="415"/>
      <c r="D9" s="134">
        <v>100</v>
      </c>
      <c r="E9" s="416"/>
      <c r="F9" s="417">
        <f>SUMIF(63:63,E9,64:64)-SUMIF(63:63,C9,64:64)+100</f>
        <v>100</v>
      </c>
      <c r="G9" s="418"/>
      <c r="H9" s="134">
        <f>SUMIF(63:63,G9,64:64)-SUMIF(63:63,C9,64:64)+100</f>
        <v>100</v>
      </c>
      <c r="I9" s="418"/>
      <c r="J9" s="134">
        <f>SUMIF(63:63,I9,64:64)-SUMIF(63:63,C9,64:64)+100</f>
        <v>100</v>
      </c>
      <c r="K9" s="2562"/>
      <c r="L9" s="1134"/>
      <c r="M9" s="1135"/>
      <c r="N9" s="1135"/>
      <c r="O9" s="1135"/>
      <c r="P9" s="3292" t="s">
        <v>2526</v>
      </c>
      <c r="Q9" s="1797" t="str">
        <f t="shared" ref="Q9:Q15" si="6">B9</f>
        <v>用途</v>
      </c>
      <c r="R9" s="769" t="s">
        <v>17</v>
      </c>
      <c r="S9" s="770">
        <f t="shared" si="0"/>
        <v>100</v>
      </c>
      <c r="T9" s="769" t="s">
        <v>17</v>
      </c>
      <c r="U9" s="770">
        <f t="shared" si="1"/>
        <v>100</v>
      </c>
      <c r="V9" s="769" t="s">
        <v>17</v>
      </c>
      <c r="W9" s="770">
        <f t="shared" si="2"/>
        <v>100</v>
      </c>
      <c r="X9" s="771"/>
      <c r="Y9" s="3150" t="s">
        <v>2527</v>
      </c>
      <c r="Z9" s="55" t="str">
        <f t="shared" ref="Z9:Z15" si="7">Q9</f>
        <v>用途</v>
      </c>
      <c r="AA9" s="772">
        <f t="shared" si="3"/>
        <v>1</v>
      </c>
      <c r="AB9" s="772">
        <f t="shared" si="4"/>
        <v>1</v>
      </c>
      <c r="AC9" s="772">
        <f t="shared" si="5"/>
        <v>1</v>
      </c>
    </row>
    <row r="10" spans="1:29" s="426" customFormat="1" ht="27">
      <c r="A10" s="420"/>
      <c r="B10" s="421" t="s">
        <v>2528</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292"/>
      <c r="Q10" s="1797" t="str">
        <f t="shared" si="6"/>
        <v>土地使用年限（年）</v>
      </c>
      <c r="R10" s="769" t="s">
        <v>17</v>
      </c>
      <c r="S10" s="770">
        <f t="shared" si="0"/>
        <v>100</v>
      </c>
      <c r="T10" s="769" t="s">
        <v>17</v>
      </c>
      <c r="U10" s="770">
        <f t="shared" si="1"/>
        <v>100</v>
      </c>
      <c r="V10" s="769" t="s">
        <v>17</v>
      </c>
      <c r="W10" s="770">
        <f t="shared" si="2"/>
        <v>100</v>
      </c>
      <c r="X10" s="771"/>
      <c r="Y10" s="3150"/>
      <c r="Z10" s="55" t="str">
        <f t="shared" si="7"/>
        <v>土地使用年限（年）</v>
      </c>
      <c r="AA10" s="772">
        <f t="shared" si="3"/>
        <v>1</v>
      </c>
      <c r="AB10" s="772">
        <f t="shared" si="4"/>
        <v>1</v>
      </c>
      <c r="AC10" s="772">
        <f t="shared" si="5"/>
        <v>1</v>
      </c>
    </row>
    <row r="11" spans="1:29" ht="15">
      <c r="A11" s="427"/>
      <c r="B11" s="421" t="s">
        <v>2529</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292"/>
      <c r="Q11" s="1797" t="str">
        <f t="shared" si="6"/>
        <v>容积率</v>
      </c>
      <c r="R11" s="769" t="s">
        <v>21</v>
      </c>
      <c r="S11" s="770" t="e">
        <f t="shared" si="0"/>
        <v>#N/A</v>
      </c>
      <c r="T11" s="769" t="s">
        <v>21</v>
      </c>
      <c r="U11" s="770" t="e">
        <f t="shared" si="1"/>
        <v>#N/A</v>
      </c>
      <c r="V11" s="769" t="s">
        <v>21</v>
      </c>
      <c r="W11" s="770" t="e">
        <f t="shared" si="2"/>
        <v>#N/A</v>
      </c>
      <c r="X11" s="771"/>
      <c r="Y11" s="3150"/>
      <c r="Z11" s="55" t="str">
        <f t="shared" si="7"/>
        <v>容积率</v>
      </c>
      <c r="AA11" s="772" t="e">
        <f t="shared" si="3"/>
        <v>#N/A</v>
      </c>
      <c r="AB11" s="772" t="e">
        <f t="shared" si="4"/>
        <v>#N/A</v>
      </c>
      <c r="AC11" s="772" t="e">
        <f t="shared" si="5"/>
        <v>#N/A</v>
      </c>
    </row>
    <row r="12" spans="1:29" s="117" customFormat="1" ht="15">
      <c r="A12" s="430"/>
      <c r="B12" s="2564">
        <v>111</v>
      </c>
      <c r="C12" s="431"/>
      <c r="D12" s="432">
        <v>100</v>
      </c>
      <c r="E12" s="431"/>
      <c r="F12" s="424">
        <f>SUMIF(70:70,E12,71:71)-SUMIF(70:70,C12,71:71)+100</f>
        <v>100</v>
      </c>
      <c r="G12" s="431"/>
      <c r="H12" s="135">
        <f>SUMIF(70:70,G12,71:71)-SUMIF(70:70,C12,71:71)+100</f>
        <v>100</v>
      </c>
      <c r="I12" s="431"/>
      <c r="J12" s="135">
        <f>SUMIF(70:70,I12,71:71)-SUMIF(70:70,C12,71:71)+100</f>
        <v>100</v>
      </c>
      <c r="K12" s="2565"/>
      <c r="L12" s="1134"/>
      <c r="M12" s="1135"/>
      <c r="N12" s="1135"/>
      <c r="O12" s="1135"/>
      <c r="P12" s="3292"/>
      <c r="Q12" s="1797">
        <f t="shared" si="6"/>
        <v>111</v>
      </c>
      <c r="R12" s="769" t="s">
        <v>21</v>
      </c>
      <c r="S12" s="770">
        <f t="shared" si="0"/>
        <v>100</v>
      </c>
      <c r="T12" s="769" t="s">
        <v>21</v>
      </c>
      <c r="U12" s="770">
        <f t="shared" si="1"/>
        <v>100</v>
      </c>
      <c r="V12" s="769" t="s">
        <v>21</v>
      </c>
      <c r="W12" s="770">
        <f t="shared" si="2"/>
        <v>100</v>
      </c>
      <c r="X12" s="771"/>
      <c r="Y12" s="3150"/>
      <c r="Z12" s="55">
        <f t="shared" si="7"/>
        <v>111</v>
      </c>
      <c r="AA12" s="772">
        <f>D12/F12</f>
        <v>1</v>
      </c>
      <c r="AB12" s="772">
        <f>D12/H12</f>
        <v>1</v>
      </c>
      <c r="AC12" s="772">
        <f>D12/J12</f>
        <v>1</v>
      </c>
    </row>
    <row r="13" spans="1:29" ht="15">
      <c r="A13" s="427"/>
      <c r="B13" s="2564">
        <v>111</v>
      </c>
      <c r="C13" s="433"/>
      <c r="D13" s="434">
        <v>100</v>
      </c>
      <c r="E13" s="433"/>
      <c r="F13" s="424">
        <f>SUMIF(72:72,E13,73:73)-SUMIF(72:72,C13,73:73)+100</f>
        <v>100</v>
      </c>
      <c r="G13" s="433"/>
      <c r="H13" s="434">
        <f>SUMIF(72:72,G13,73:73)-SUMIF(72:72,C13,73:73)+100</f>
        <v>100</v>
      </c>
      <c r="I13" s="433"/>
      <c r="J13" s="434">
        <f>SUMIF(72:72,I13,73:73)-SUMIF(72:72,C13,73:73)+100</f>
        <v>100</v>
      </c>
      <c r="K13" s="2565"/>
      <c r="L13" s="1142"/>
      <c r="M13" s="1133"/>
      <c r="N13" s="1133"/>
      <c r="O13" s="1133"/>
      <c r="P13" s="3292"/>
      <c r="Q13" s="1797">
        <f t="shared" si="6"/>
        <v>111</v>
      </c>
      <c r="R13" s="769" t="s">
        <v>21</v>
      </c>
      <c r="S13" s="770">
        <f t="shared" si="0"/>
        <v>100</v>
      </c>
      <c r="T13" s="769" t="s">
        <v>21</v>
      </c>
      <c r="U13" s="770">
        <f t="shared" si="1"/>
        <v>100</v>
      </c>
      <c r="V13" s="769" t="s">
        <v>21</v>
      </c>
      <c r="W13" s="770">
        <f t="shared" si="2"/>
        <v>100</v>
      </c>
      <c r="X13" s="771"/>
      <c r="Y13" s="3150"/>
      <c r="Z13" s="55">
        <f t="shared" si="7"/>
        <v>111</v>
      </c>
      <c r="AA13" s="772">
        <f t="shared" si="3"/>
        <v>1</v>
      </c>
      <c r="AB13" s="772">
        <f t="shared" si="4"/>
        <v>1</v>
      </c>
      <c r="AC13" s="772">
        <f t="shared" si="5"/>
        <v>1</v>
      </c>
    </row>
    <row r="14" spans="1:29" ht="15.75" thickBot="1">
      <c r="A14" s="435"/>
      <c r="B14" s="2566">
        <v>111</v>
      </c>
      <c r="C14" s="436"/>
      <c r="D14" s="437">
        <v>100</v>
      </c>
      <c r="E14" s="436"/>
      <c r="F14" s="438">
        <f>SUMIF(74:74,E14,75:75)-SUMIF(74:74,C14,75:75)+100</f>
        <v>100</v>
      </c>
      <c r="G14" s="436"/>
      <c r="H14" s="437">
        <f>SUMIF(74:74,G14,75:75)-SUMIF(74:74,C14,75:75)+100</f>
        <v>100</v>
      </c>
      <c r="I14" s="436"/>
      <c r="J14" s="437">
        <f>SUMIF(74:74,I14,75:75)-SUMIF(74:74,C14,75:75)+100</f>
        <v>100</v>
      </c>
      <c r="K14" s="2565"/>
      <c r="L14" s="1142"/>
      <c r="M14" s="1133"/>
      <c r="N14" s="1133"/>
      <c r="O14" s="1133"/>
      <c r="P14" s="3292"/>
      <c r="Q14" s="1797">
        <f t="shared" si="6"/>
        <v>111</v>
      </c>
      <c r="R14" s="769" t="s">
        <v>21</v>
      </c>
      <c r="S14" s="770">
        <f t="shared" si="0"/>
        <v>100</v>
      </c>
      <c r="T14" s="769" t="s">
        <v>21</v>
      </c>
      <c r="U14" s="770">
        <f t="shared" si="1"/>
        <v>100</v>
      </c>
      <c r="V14" s="769" t="s">
        <v>21</v>
      </c>
      <c r="W14" s="770">
        <f t="shared" si="2"/>
        <v>100</v>
      </c>
      <c r="X14" s="771"/>
      <c r="Y14" s="3150"/>
      <c r="Z14" s="55">
        <f t="shared" si="7"/>
        <v>111</v>
      </c>
      <c r="AA14" s="772">
        <f t="shared" si="3"/>
        <v>1</v>
      </c>
      <c r="AB14" s="772">
        <f t="shared" si="4"/>
        <v>1</v>
      </c>
      <c r="AC14" s="772">
        <f t="shared" si="5"/>
        <v>1</v>
      </c>
    </row>
    <row r="15" spans="1:29" ht="15">
      <c r="A15" s="439" t="s">
        <v>2530</v>
      </c>
      <c r="B15" s="69" t="s">
        <v>2083</v>
      </c>
      <c r="C15" s="2567">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98" t="s">
        <v>2531</v>
      </c>
      <c r="Q15" s="1812" t="str">
        <f t="shared" si="6"/>
        <v>居住社区成熟度</v>
      </c>
      <c r="R15" s="773" t="s">
        <v>21</v>
      </c>
      <c r="S15" s="774">
        <f t="shared" si="0"/>
        <v>100</v>
      </c>
      <c r="T15" s="773" t="s">
        <v>21</v>
      </c>
      <c r="U15" s="774">
        <f t="shared" si="1"/>
        <v>100</v>
      </c>
      <c r="V15" s="773" t="s">
        <v>21</v>
      </c>
      <c r="W15" s="774">
        <f t="shared" si="2"/>
        <v>100</v>
      </c>
      <c r="X15" s="1815"/>
      <c r="Y15" s="3300" t="s">
        <v>2531</v>
      </c>
      <c r="Z15" s="1816" t="str">
        <f t="shared" si="7"/>
        <v>居住社区成熟度</v>
      </c>
      <c r="AA15" s="1813">
        <f t="shared" si="3"/>
        <v>1</v>
      </c>
      <c r="AB15" s="1813">
        <f t="shared" si="4"/>
        <v>1</v>
      </c>
      <c r="AC15" s="1813">
        <f t="shared" si="5"/>
        <v>1</v>
      </c>
    </row>
    <row r="16" spans="1:29" ht="15">
      <c r="A16" s="427"/>
      <c r="B16" s="445"/>
      <c r="C16" s="446"/>
      <c r="D16" s="447"/>
      <c r="E16" s="2568"/>
      <c r="F16" s="447"/>
      <c r="G16" s="2569"/>
      <c r="H16" s="449"/>
      <c r="I16" s="2569"/>
      <c r="J16" s="447"/>
      <c r="K16" s="2570"/>
      <c r="L16" s="1142"/>
      <c r="M16" s="1133"/>
      <c r="N16" s="1133"/>
      <c r="O16" s="1133"/>
      <c r="P16" s="3299"/>
      <c r="Q16" s="1812"/>
      <c r="R16" s="773"/>
      <c r="S16" s="774"/>
      <c r="T16" s="773"/>
      <c r="U16" s="774"/>
      <c r="V16" s="773"/>
      <c r="W16" s="774"/>
      <c r="X16" s="1815"/>
      <c r="Y16" s="3301"/>
      <c r="Z16" s="1816"/>
      <c r="AA16" s="1813">
        <v>1</v>
      </c>
      <c r="AB16" s="1813">
        <v>1</v>
      </c>
      <c r="AC16" s="1813">
        <v>1</v>
      </c>
    </row>
    <row r="17" spans="1:29" ht="15">
      <c r="A17" s="427"/>
      <c r="B17" s="450" t="s">
        <v>2085</v>
      </c>
      <c r="C17" s="2571" t="str">
        <f>估价对象房地状况!C6</f>
        <v>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99"/>
      <c r="Q17" s="1812" t="str">
        <f>B17</f>
        <v>交通便捷度</v>
      </c>
      <c r="R17" s="773" t="s">
        <v>21</v>
      </c>
      <c r="S17" s="774">
        <f>F17</f>
        <v>100</v>
      </c>
      <c r="T17" s="773" t="s">
        <v>21</v>
      </c>
      <c r="U17" s="774">
        <f>H17</f>
        <v>100</v>
      </c>
      <c r="V17" s="773" t="s">
        <v>21</v>
      </c>
      <c r="W17" s="774">
        <f>J17</f>
        <v>100</v>
      </c>
      <c r="X17" s="1815"/>
      <c r="Y17" s="3301"/>
      <c r="Z17" s="1816" t="str">
        <f>Q17</f>
        <v>交通便捷度</v>
      </c>
      <c r="AA17" s="1813">
        <f t="shared" si="3"/>
        <v>1</v>
      </c>
      <c r="AB17" s="1813">
        <f t="shared" si="4"/>
        <v>1</v>
      </c>
      <c r="AC17" s="1813">
        <f t="shared" si="5"/>
        <v>1</v>
      </c>
    </row>
    <row r="18" spans="1:29" ht="15">
      <c r="A18" s="427"/>
      <c r="B18" s="455"/>
      <c r="C18" s="2572"/>
      <c r="D18" s="449"/>
      <c r="E18" s="2573"/>
      <c r="F18" s="449"/>
      <c r="G18" s="2574"/>
      <c r="H18" s="447"/>
      <c r="I18" s="2574"/>
      <c r="J18" s="447"/>
      <c r="K18" s="2570"/>
      <c r="L18" s="1142"/>
      <c r="M18" s="1133"/>
      <c r="N18" s="1133"/>
      <c r="O18" s="1133"/>
      <c r="P18" s="3299"/>
      <c r="Q18" s="1812"/>
      <c r="R18" s="773"/>
      <c r="S18" s="774"/>
      <c r="T18" s="773"/>
      <c r="U18" s="774"/>
      <c r="V18" s="773"/>
      <c r="W18" s="774"/>
      <c r="X18" s="1815"/>
      <c r="Y18" s="3301"/>
      <c r="Z18" s="1816"/>
      <c r="AA18" s="1813">
        <v>1</v>
      </c>
      <c r="AB18" s="1813">
        <v>1</v>
      </c>
      <c r="AC18" s="1813">
        <v>1</v>
      </c>
    </row>
    <row r="19" spans="1:29" ht="15">
      <c r="A19" s="427"/>
      <c r="B19" s="450" t="s">
        <v>2084</v>
      </c>
      <c r="C19" s="2571" t="str">
        <f>估价对象房地状况!C7</f>
        <v>好</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99"/>
      <c r="Q19" s="1812" t="str">
        <f>B19</f>
        <v>公共配套设施</v>
      </c>
      <c r="R19" s="773" t="s">
        <v>21</v>
      </c>
      <c r="S19" s="774">
        <f>F19</f>
        <v>100</v>
      </c>
      <c r="T19" s="773" t="s">
        <v>21</v>
      </c>
      <c r="U19" s="774">
        <f>H19</f>
        <v>100</v>
      </c>
      <c r="V19" s="773" t="s">
        <v>21</v>
      </c>
      <c r="W19" s="774">
        <f>J19</f>
        <v>100</v>
      </c>
      <c r="X19" s="1815"/>
      <c r="Y19" s="3301"/>
      <c r="Z19" s="1816" t="str">
        <f>Q19</f>
        <v>公共配套设施</v>
      </c>
      <c r="AA19" s="1813">
        <f t="shared" si="3"/>
        <v>1</v>
      </c>
      <c r="AB19" s="1813">
        <f t="shared" si="4"/>
        <v>1</v>
      </c>
      <c r="AC19" s="1813">
        <f t="shared" si="5"/>
        <v>1</v>
      </c>
    </row>
    <row r="20" spans="1:29" ht="15">
      <c r="A20" s="427"/>
      <c r="B20" s="455"/>
      <c r="C20" s="446"/>
      <c r="D20" s="447"/>
      <c r="E20" s="2568"/>
      <c r="F20" s="447"/>
      <c r="G20" s="2569"/>
      <c r="H20" s="447"/>
      <c r="I20" s="2569"/>
      <c r="J20" s="447"/>
      <c r="K20" s="2570"/>
      <c r="L20" s="1142"/>
      <c r="M20" s="1133"/>
      <c r="N20" s="1133"/>
      <c r="O20" s="1133"/>
      <c r="P20" s="3299"/>
      <c r="Q20" s="1812"/>
      <c r="R20" s="773"/>
      <c r="S20" s="774"/>
      <c r="T20" s="773"/>
      <c r="U20" s="774"/>
      <c r="V20" s="773"/>
      <c r="W20" s="774"/>
      <c r="X20" s="1815"/>
      <c r="Y20" s="3301"/>
      <c r="Z20" s="1816"/>
      <c r="AA20" s="1813">
        <v>1</v>
      </c>
      <c r="AB20" s="1813">
        <v>1</v>
      </c>
      <c r="AC20" s="1813">
        <v>1</v>
      </c>
    </row>
    <row r="21" spans="1:29" ht="15">
      <c r="A21" s="427"/>
      <c r="B21" s="1386" t="s">
        <v>2086</v>
      </c>
      <c r="C21" s="2571" t="str">
        <f>估价对象房地状况!C8</f>
        <v>七通</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99"/>
      <c r="Q21" s="1812" t="str">
        <f>B21</f>
        <v>基础设施水平</v>
      </c>
      <c r="R21" s="773" t="s">
        <v>17</v>
      </c>
      <c r="S21" s="774">
        <f>F21</f>
        <v>100</v>
      </c>
      <c r="T21" s="773" t="s">
        <v>17</v>
      </c>
      <c r="U21" s="774">
        <f>H21</f>
        <v>100</v>
      </c>
      <c r="V21" s="773" t="s">
        <v>17</v>
      </c>
      <c r="W21" s="774">
        <f>J21</f>
        <v>100</v>
      </c>
      <c r="X21" s="1815"/>
      <c r="Y21" s="3301"/>
      <c r="Z21" s="1816" t="str">
        <f>Q21</f>
        <v>基础设施水平</v>
      </c>
      <c r="AA21" s="1813">
        <f t="shared" ref="AA21" si="8">D21/F21</f>
        <v>1</v>
      </c>
      <c r="AB21" s="1813">
        <f t="shared" ref="AB21" si="9">D21/H21</f>
        <v>1</v>
      </c>
      <c r="AC21" s="1813">
        <f t="shared" ref="AC21" si="10">D21/J21</f>
        <v>1</v>
      </c>
    </row>
    <row r="22" spans="1:29" ht="15">
      <c r="A22" s="427"/>
      <c r="B22" s="1386"/>
      <c r="C22" s="2572"/>
      <c r="D22" s="447"/>
      <c r="E22" s="446"/>
      <c r="F22" s="447"/>
      <c r="G22" s="2575"/>
      <c r="H22" s="447"/>
      <c r="I22" s="446"/>
      <c r="J22" s="447"/>
      <c r="K22" s="2576"/>
      <c r="L22" s="1142"/>
      <c r="M22" s="1133"/>
      <c r="N22" s="1133"/>
      <c r="O22" s="1133"/>
      <c r="P22" s="3299"/>
      <c r="Q22" s="1812"/>
      <c r="R22" s="773"/>
      <c r="S22" s="774"/>
      <c r="T22" s="773"/>
      <c r="U22" s="774"/>
      <c r="V22" s="773"/>
      <c r="W22" s="774"/>
      <c r="X22" s="1815"/>
      <c r="Y22" s="3301"/>
      <c r="Z22" s="1816"/>
      <c r="AA22" s="1813">
        <v>1</v>
      </c>
      <c r="AB22" s="1813">
        <v>1</v>
      </c>
      <c r="AC22" s="1813">
        <v>1</v>
      </c>
    </row>
    <row r="23" spans="1:29" ht="15">
      <c r="A23" s="427"/>
      <c r="B23" s="450" t="s">
        <v>2087</v>
      </c>
      <c r="C23" s="2571" t="str">
        <f>估价对象房地状况!C9</f>
        <v>好</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99"/>
      <c r="Q23" s="1812" t="str">
        <f>B23</f>
        <v>自然及人文环境</v>
      </c>
      <c r="R23" s="773" t="s">
        <v>21</v>
      </c>
      <c r="S23" s="774">
        <f>F23</f>
        <v>100</v>
      </c>
      <c r="T23" s="773" t="s">
        <v>21</v>
      </c>
      <c r="U23" s="774">
        <f>H23</f>
        <v>100</v>
      </c>
      <c r="V23" s="773" t="s">
        <v>21</v>
      </c>
      <c r="W23" s="774">
        <f>J23</f>
        <v>100</v>
      </c>
      <c r="X23" s="1815"/>
      <c r="Y23" s="3301"/>
      <c r="Z23" s="1816" t="str">
        <f>Q23</f>
        <v>自然及人文环境</v>
      </c>
      <c r="AA23" s="1813">
        <f>D23/F23</f>
        <v>1</v>
      </c>
      <c r="AB23" s="1813">
        <f>D23/H23</f>
        <v>1</v>
      </c>
      <c r="AC23" s="1813">
        <f>D23/J23</f>
        <v>1</v>
      </c>
    </row>
    <row r="24" spans="1:29" ht="15">
      <c r="A24" s="427"/>
      <c r="B24" s="455"/>
      <c r="C24" s="446"/>
      <c r="D24" s="447"/>
      <c r="E24" s="2568"/>
      <c r="F24" s="447"/>
      <c r="G24" s="2569"/>
      <c r="H24" s="447"/>
      <c r="I24" s="2569"/>
      <c r="J24" s="447"/>
      <c r="K24" s="2570"/>
      <c r="L24" s="1142"/>
      <c r="M24" s="1133"/>
      <c r="N24" s="1133"/>
      <c r="O24" s="1133"/>
      <c r="P24" s="3299"/>
      <c r="Q24" s="1812"/>
      <c r="R24" s="773"/>
      <c r="S24" s="774"/>
      <c r="T24" s="773"/>
      <c r="U24" s="774"/>
      <c r="V24" s="773"/>
      <c r="W24" s="774"/>
      <c r="X24" s="1815"/>
      <c r="Y24" s="3301"/>
      <c r="Z24" s="1816"/>
      <c r="AA24" s="1813">
        <v>1</v>
      </c>
      <c r="AB24" s="1813">
        <v>1</v>
      </c>
      <c r="AC24" s="1813">
        <v>1</v>
      </c>
    </row>
    <row r="25" spans="1:29" ht="15">
      <c r="A25" s="427"/>
      <c r="B25" s="421" t="s">
        <v>2532</v>
      </c>
      <c r="C25" s="459"/>
      <c r="D25" s="434">
        <v>100</v>
      </c>
      <c r="E25" s="2577"/>
      <c r="F25" s="434">
        <f>SUMIF(86:86,E25,87:87)-SUMIF(86:86,C25,87:87)+100</f>
        <v>100</v>
      </c>
      <c r="G25" s="2578"/>
      <c r="H25" s="434">
        <f>SUMIF(86:86,G25,87:87)-SUMIF(86:86,C25,87:87)+100</f>
        <v>100</v>
      </c>
      <c r="I25" s="2578"/>
      <c r="J25" s="434">
        <f>SUMIF(86:86,I25,87:87)-SUMIF(86:86,C25,87:87)+100</f>
        <v>100</v>
      </c>
      <c r="K25" s="425"/>
      <c r="L25" s="1142"/>
      <c r="M25" s="1133"/>
      <c r="N25" s="1133"/>
      <c r="O25" s="1133"/>
      <c r="P25" s="3299"/>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301"/>
      <c r="Z25" s="1816" t="str">
        <f>Q25</f>
        <v>楼层-1</v>
      </c>
      <c r="AA25" s="1813">
        <f t="shared" ref="AA25:AA46" si="15">D25/F25</f>
        <v>1</v>
      </c>
      <c r="AB25" s="1813">
        <f t="shared" ref="AB25:AB46" si="16">D25/H25</f>
        <v>1</v>
      </c>
      <c r="AC25" s="1813">
        <f t="shared" ref="AC25:AC46" si="17">D25/J25</f>
        <v>1</v>
      </c>
    </row>
    <row r="26" spans="1:29" ht="15">
      <c r="A26" s="427"/>
      <c r="B26" s="421" t="s">
        <v>2533</v>
      </c>
      <c r="C26" s="459"/>
      <c r="D26" s="434">
        <v>100</v>
      </c>
      <c r="E26" s="2577"/>
      <c r="F26" s="434">
        <f>SUMIF(88:88,E26,89:89)-SUMIF(88:88,C26,89:89)+100</f>
        <v>100</v>
      </c>
      <c r="G26" s="2578"/>
      <c r="H26" s="434">
        <f>SUMIF(88:88,G26,89:89)-SUMIF(88:88,C26,89:89)+100</f>
        <v>100</v>
      </c>
      <c r="I26" s="2578"/>
      <c r="J26" s="434">
        <f>SUMIF(88:88,I26,89:89)-SUMIF(88:88,C26,89:89)+100</f>
        <v>100</v>
      </c>
      <c r="K26" s="425"/>
      <c r="L26" s="1142"/>
      <c r="M26" s="1133"/>
      <c r="N26" s="1133"/>
      <c r="O26" s="1133"/>
      <c r="P26" s="3299"/>
      <c r="Q26" s="1812" t="str">
        <f t="shared" si="11"/>
        <v>朝向</v>
      </c>
      <c r="R26" s="773" t="s">
        <v>21</v>
      </c>
      <c r="S26" s="774">
        <f t="shared" si="12"/>
        <v>100</v>
      </c>
      <c r="T26" s="773" t="s">
        <v>21</v>
      </c>
      <c r="U26" s="774">
        <f t="shared" si="13"/>
        <v>100</v>
      </c>
      <c r="V26" s="773" t="s">
        <v>21</v>
      </c>
      <c r="W26" s="774">
        <f t="shared" si="14"/>
        <v>100</v>
      </c>
      <c r="X26" s="1815"/>
      <c r="Y26" s="3301"/>
      <c r="Z26" s="1816" t="str">
        <f>Q26</f>
        <v>朝向</v>
      </c>
      <c r="AA26" s="1813">
        <f t="shared" si="15"/>
        <v>1</v>
      </c>
      <c r="AB26" s="1813">
        <f t="shared" si="16"/>
        <v>1</v>
      </c>
      <c r="AC26" s="1813">
        <f t="shared" si="17"/>
        <v>1</v>
      </c>
    </row>
    <row r="27" spans="1:29" s="117"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565"/>
      <c r="L27" s="1134"/>
      <c r="M27" s="1135"/>
      <c r="N27" s="1135"/>
      <c r="O27" s="1135"/>
      <c r="P27" s="3299"/>
      <c r="Q27" s="1797">
        <f t="shared" si="11"/>
        <v>111</v>
      </c>
      <c r="R27" s="769" t="s">
        <v>21</v>
      </c>
      <c r="S27" s="770">
        <f t="shared" si="12"/>
        <v>100</v>
      </c>
      <c r="T27" s="769" t="s">
        <v>21</v>
      </c>
      <c r="U27" s="770">
        <f t="shared" si="13"/>
        <v>100</v>
      </c>
      <c r="V27" s="769" t="s">
        <v>21</v>
      </c>
      <c r="W27" s="770">
        <f t="shared" si="14"/>
        <v>100</v>
      </c>
      <c r="X27" s="771"/>
      <c r="Y27" s="3301"/>
      <c r="Z27" s="55">
        <f>Q27</f>
        <v>111</v>
      </c>
      <c r="AA27" s="1813">
        <f t="shared" si="15"/>
        <v>1</v>
      </c>
      <c r="AB27" s="1813">
        <f t="shared" si="16"/>
        <v>1</v>
      </c>
      <c r="AC27" s="1813">
        <f t="shared" si="17"/>
        <v>1</v>
      </c>
    </row>
    <row r="28" spans="1:29" ht="15">
      <c r="A28" s="427"/>
      <c r="B28" s="1388">
        <v>111</v>
      </c>
      <c r="C28" s="433"/>
      <c r="D28" s="434">
        <v>100</v>
      </c>
      <c r="E28" s="433"/>
      <c r="F28" s="434">
        <f>SUMIF(92:92,E28,93:93)-SUMIF(92:92,C28,93:93)+100</f>
        <v>100</v>
      </c>
      <c r="G28" s="2579"/>
      <c r="H28" s="434">
        <f>SUMIF(92:92,G28,93:93)-SUMIF(92:92,C28,93:93)+100</f>
        <v>100</v>
      </c>
      <c r="I28" s="433"/>
      <c r="J28" s="434">
        <f>SUMIF(92:92,I28,93:93)-SUMIF(92:92,C28,93:93)+100</f>
        <v>100</v>
      </c>
      <c r="K28" s="2565"/>
      <c r="L28" s="1142"/>
      <c r="M28" s="1133"/>
      <c r="N28" s="1133"/>
      <c r="O28" s="1133"/>
      <c r="P28" s="3299"/>
      <c r="Q28" s="1812">
        <f t="shared" si="11"/>
        <v>111</v>
      </c>
      <c r="R28" s="773" t="s">
        <v>21</v>
      </c>
      <c r="S28" s="774">
        <f t="shared" si="12"/>
        <v>100</v>
      </c>
      <c r="T28" s="773" t="s">
        <v>21</v>
      </c>
      <c r="U28" s="774">
        <f t="shared" si="13"/>
        <v>100</v>
      </c>
      <c r="V28" s="773" t="s">
        <v>21</v>
      </c>
      <c r="W28" s="774">
        <f t="shared" si="14"/>
        <v>100</v>
      </c>
      <c r="X28" s="1815"/>
      <c r="Y28" s="3301"/>
      <c r="Z28" s="1816">
        <f t="shared" ref="Z28:Z46" si="18">Q28</f>
        <v>111</v>
      </c>
      <c r="AA28" s="1813">
        <f t="shared" si="15"/>
        <v>1</v>
      </c>
      <c r="AB28" s="1813">
        <f t="shared" si="16"/>
        <v>1</v>
      </c>
      <c r="AC28" s="1813">
        <f t="shared" si="17"/>
        <v>1</v>
      </c>
    </row>
    <row r="29" spans="1:29" ht="15">
      <c r="A29" s="427"/>
      <c r="B29" s="1388">
        <v>111</v>
      </c>
      <c r="C29" s="433"/>
      <c r="D29" s="434">
        <v>100</v>
      </c>
      <c r="E29" s="433"/>
      <c r="F29" s="434">
        <f>SUMIF(94:94,E29,95:95)-SUMIF(94:94,C29,95:95)+100</f>
        <v>100</v>
      </c>
      <c r="G29" s="2579"/>
      <c r="H29" s="434">
        <f>SUMIF(94:94,G29,95:95)-SUMIF(94:94,C29,95:95)+100</f>
        <v>100</v>
      </c>
      <c r="I29" s="433"/>
      <c r="J29" s="434">
        <f>SUMIF(94:94,I29,95:95)-SUMIF(94:94,C29,95:95)+100</f>
        <v>100</v>
      </c>
      <c r="K29" s="2565"/>
      <c r="L29" s="1142"/>
      <c r="M29" s="1133"/>
      <c r="N29" s="1133"/>
      <c r="O29" s="1133"/>
      <c r="P29" s="3299"/>
      <c r="Q29" s="1812">
        <f t="shared" si="11"/>
        <v>111</v>
      </c>
      <c r="R29" s="773" t="s">
        <v>21</v>
      </c>
      <c r="S29" s="774">
        <f t="shared" si="12"/>
        <v>100</v>
      </c>
      <c r="T29" s="773" t="s">
        <v>21</v>
      </c>
      <c r="U29" s="774">
        <f t="shared" si="13"/>
        <v>100</v>
      </c>
      <c r="V29" s="773" t="s">
        <v>21</v>
      </c>
      <c r="W29" s="774">
        <f t="shared" si="14"/>
        <v>100</v>
      </c>
      <c r="X29" s="1815"/>
      <c r="Y29" s="3301"/>
      <c r="Z29" s="1816">
        <f t="shared" si="18"/>
        <v>111</v>
      </c>
      <c r="AA29" s="1813">
        <f t="shared" si="15"/>
        <v>1</v>
      </c>
      <c r="AB29" s="1813">
        <f t="shared" si="16"/>
        <v>1</v>
      </c>
      <c r="AC29" s="1813">
        <f t="shared" si="17"/>
        <v>1</v>
      </c>
    </row>
    <row r="30" spans="1:29" ht="15">
      <c r="A30" s="427"/>
      <c r="B30" s="1388">
        <v>111</v>
      </c>
      <c r="C30" s="433"/>
      <c r="D30" s="434">
        <v>100</v>
      </c>
      <c r="E30" s="433"/>
      <c r="F30" s="434">
        <f>SUMIF(96:96,E30,97:97)-SUMIF(96:96,C30,97:97)+100</f>
        <v>100</v>
      </c>
      <c r="G30" s="2579"/>
      <c r="H30" s="434">
        <f>SUMIF(96:96,G30,97:97)-SUMIF(96:96,C30,97:97)+100</f>
        <v>100</v>
      </c>
      <c r="I30" s="433"/>
      <c r="J30" s="434">
        <f>SUMIF(96:96,I30,97:97)-SUMIF(96:96,C30,97:97)+100</f>
        <v>100</v>
      </c>
      <c r="K30" s="2565"/>
      <c r="L30" s="1142"/>
      <c r="M30" s="1133"/>
      <c r="N30" s="1133"/>
      <c r="O30" s="1133"/>
      <c r="P30" s="3299"/>
      <c r="Q30" s="1812">
        <f t="shared" si="11"/>
        <v>111</v>
      </c>
      <c r="R30" s="773" t="s">
        <v>21</v>
      </c>
      <c r="S30" s="774">
        <f t="shared" si="12"/>
        <v>100</v>
      </c>
      <c r="T30" s="773" t="s">
        <v>21</v>
      </c>
      <c r="U30" s="774">
        <f t="shared" si="13"/>
        <v>100</v>
      </c>
      <c r="V30" s="773" t="s">
        <v>21</v>
      </c>
      <c r="W30" s="774">
        <f t="shared" si="14"/>
        <v>100</v>
      </c>
      <c r="X30" s="1815"/>
      <c r="Y30" s="3301"/>
      <c r="Z30" s="1816">
        <f t="shared" si="18"/>
        <v>111</v>
      </c>
      <c r="AA30" s="1813">
        <f t="shared" si="15"/>
        <v>1</v>
      </c>
      <c r="AB30" s="1813">
        <f t="shared" si="16"/>
        <v>1</v>
      </c>
      <c r="AC30" s="1813">
        <f t="shared" si="17"/>
        <v>1</v>
      </c>
    </row>
    <row r="31" spans="1:29" ht="15.75" thickBot="1">
      <c r="A31" s="435"/>
      <c r="B31" s="1388">
        <v>111</v>
      </c>
      <c r="C31" s="436"/>
      <c r="D31" s="437">
        <v>100</v>
      </c>
      <c r="E31" s="436"/>
      <c r="F31" s="437">
        <f>SUMIF(98:98,E31,99:99)-SUMIF(98:98,C31,99:99)+100</f>
        <v>100</v>
      </c>
      <c r="G31" s="2580"/>
      <c r="H31" s="437">
        <f>SUMIF(98:98,G31,99:99)-SUMIF(98:98,C31,99:99)+100</f>
        <v>100</v>
      </c>
      <c r="I31" s="436"/>
      <c r="J31" s="437">
        <f>SUMIF(98:98,I31,99:99)-SUMIF(98:98,C31,99:99)+100</f>
        <v>100</v>
      </c>
      <c r="K31" s="2565"/>
      <c r="L31" s="1142"/>
      <c r="M31" s="1133"/>
      <c r="N31" s="1133"/>
      <c r="O31" s="1133"/>
      <c r="P31" s="3299"/>
      <c r="Q31" s="1812">
        <f t="shared" si="11"/>
        <v>111</v>
      </c>
      <c r="R31" s="773" t="s">
        <v>21</v>
      </c>
      <c r="S31" s="774">
        <f t="shared" si="12"/>
        <v>100</v>
      </c>
      <c r="T31" s="773" t="s">
        <v>21</v>
      </c>
      <c r="U31" s="774">
        <f t="shared" si="13"/>
        <v>100</v>
      </c>
      <c r="V31" s="773" t="s">
        <v>21</v>
      </c>
      <c r="W31" s="774">
        <f t="shared" si="14"/>
        <v>100</v>
      </c>
      <c r="X31" s="1815"/>
      <c r="Y31" s="3301"/>
      <c r="Z31" s="1816">
        <f t="shared" si="18"/>
        <v>111</v>
      </c>
      <c r="AA31" s="1813">
        <f t="shared" si="15"/>
        <v>1</v>
      </c>
      <c r="AB31" s="1813">
        <f t="shared" si="16"/>
        <v>1</v>
      </c>
      <c r="AC31" s="1813">
        <f t="shared" si="17"/>
        <v>1</v>
      </c>
    </row>
    <row r="32" spans="1:29" ht="15">
      <c r="A32" s="439" t="s">
        <v>2534</v>
      </c>
      <c r="B32" s="71" t="s">
        <v>2535</v>
      </c>
      <c r="C32" s="2581"/>
      <c r="D32" s="466">
        <v>100</v>
      </c>
      <c r="E32" s="2582"/>
      <c r="F32" s="460">
        <f>SUMIF(100:100,E32,101:101)-SUMIF(100:100,C32,101:101)+100</f>
        <v>100</v>
      </c>
      <c r="G32" s="2581"/>
      <c r="H32" s="466">
        <f>SUMIF(100:100,G32,101:101)-SUMIF(100:100,C32,101:101)+100</f>
        <v>100</v>
      </c>
      <c r="I32" s="2582"/>
      <c r="J32" s="434">
        <f>SUMIF(100:100,I32,101:101)-SUMIF(100:100,C32,101:101)+100</f>
        <v>100</v>
      </c>
      <c r="K32" s="425"/>
      <c r="L32" s="1142"/>
      <c r="M32" s="1133"/>
      <c r="N32" s="1133"/>
      <c r="O32" s="1133"/>
      <c r="P32" s="3302" t="s">
        <v>2536</v>
      </c>
      <c r="Q32" s="1812" t="str">
        <f t="shared" si="11"/>
        <v>建筑类型</v>
      </c>
      <c r="R32" s="773" t="s">
        <v>21</v>
      </c>
      <c r="S32" s="774">
        <f t="shared" si="12"/>
        <v>100</v>
      </c>
      <c r="T32" s="773" t="s">
        <v>21</v>
      </c>
      <c r="U32" s="774">
        <f t="shared" si="13"/>
        <v>100</v>
      </c>
      <c r="V32" s="773" t="s">
        <v>21</v>
      </c>
      <c r="W32" s="774">
        <f t="shared" si="14"/>
        <v>100</v>
      </c>
      <c r="X32" s="1815"/>
      <c r="Y32" s="3305" t="s">
        <v>2536</v>
      </c>
      <c r="Z32" s="1816" t="str">
        <f t="shared" si="18"/>
        <v>建筑类型</v>
      </c>
      <c r="AA32" s="1813">
        <f t="shared" si="15"/>
        <v>1</v>
      </c>
      <c r="AB32" s="1813">
        <f t="shared" si="16"/>
        <v>1</v>
      </c>
      <c r="AC32" s="1813">
        <f t="shared" si="17"/>
        <v>1</v>
      </c>
    </row>
    <row r="33" spans="1:29" s="470" customFormat="1" ht="15">
      <c r="A33" s="467"/>
      <c r="B33" s="421" t="s">
        <v>2537</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65"/>
      <c r="L33" s="1140"/>
      <c r="M33" s="1143"/>
      <c r="N33" s="1143"/>
      <c r="O33" s="1143"/>
      <c r="P33" s="3303"/>
      <c r="Q33" s="775" t="str">
        <f t="shared" si="11"/>
        <v>项目建筑规模</v>
      </c>
      <c r="R33" s="776" t="s">
        <v>21</v>
      </c>
      <c r="S33" s="777" t="e">
        <f t="shared" si="12"/>
        <v>#N/A</v>
      </c>
      <c r="T33" s="776" t="s">
        <v>21</v>
      </c>
      <c r="U33" s="777" t="e">
        <f t="shared" si="13"/>
        <v>#N/A</v>
      </c>
      <c r="V33" s="776" t="s">
        <v>21</v>
      </c>
      <c r="W33" s="777" t="e">
        <f t="shared" si="14"/>
        <v>#N/A</v>
      </c>
      <c r="X33" s="778"/>
      <c r="Y33" s="3305"/>
      <c r="Z33" s="779" t="str">
        <f t="shared" si="18"/>
        <v>项目建筑规模</v>
      </c>
      <c r="AA33" s="1813" t="e">
        <f t="shared" si="15"/>
        <v>#N/A</v>
      </c>
      <c r="AB33" s="1813" t="e">
        <f t="shared" si="16"/>
        <v>#N/A</v>
      </c>
      <c r="AC33" s="1813" t="e">
        <f t="shared" si="17"/>
        <v>#N/A</v>
      </c>
    </row>
    <row r="34" spans="1:29" ht="15">
      <c r="A34" s="471"/>
      <c r="B34" s="421" t="s">
        <v>2538</v>
      </c>
      <c r="C34" s="2583"/>
      <c r="D34" s="434">
        <v>100</v>
      </c>
      <c r="E34" s="2584"/>
      <c r="F34" s="460">
        <f>SUMIF(105:105,E34,106:106)-SUMIF(105:105,C34,106:106)+100</f>
        <v>100</v>
      </c>
      <c r="G34" s="2583"/>
      <c r="H34" s="434">
        <f>SUMIF(105:105,G34,106:106)-SUMIF(105:105,C34,106:106)+100</f>
        <v>100</v>
      </c>
      <c r="I34" s="2584"/>
      <c r="J34" s="434">
        <f>SUMIF(105:105,I34,106:106)-SUMIF(105:105,C34,106:106)+100</f>
        <v>100</v>
      </c>
      <c r="K34" s="425"/>
      <c r="L34" s="1142"/>
      <c r="M34" s="1133"/>
      <c r="N34" s="1133"/>
      <c r="O34" s="1133"/>
      <c r="P34" s="3303"/>
      <c r="Q34" s="1812" t="str">
        <f t="shared" si="11"/>
        <v>建筑结构</v>
      </c>
      <c r="R34" s="773" t="s">
        <v>21</v>
      </c>
      <c r="S34" s="774">
        <f t="shared" si="12"/>
        <v>100</v>
      </c>
      <c r="T34" s="773" t="s">
        <v>21</v>
      </c>
      <c r="U34" s="774">
        <f t="shared" si="13"/>
        <v>100</v>
      </c>
      <c r="V34" s="773" t="s">
        <v>21</v>
      </c>
      <c r="W34" s="774">
        <f t="shared" si="14"/>
        <v>100</v>
      </c>
      <c r="X34" s="1815"/>
      <c r="Y34" s="3305"/>
      <c r="Z34" s="1816" t="str">
        <f t="shared" si="18"/>
        <v>建筑结构</v>
      </c>
      <c r="AA34" s="1813">
        <f t="shared" si="15"/>
        <v>1</v>
      </c>
      <c r="AB34" s="1813">
        <f t="shared" si="16"/>
        <v>1</v>
      </c>
      <c r="AC34" s="1813">
        <f t="shared" si="17"/>
        <v>1</v>
      </c>
    </row>
    <row r="35" spans="1:29" ht="15">
      <c r="A35" s="471"/>
      <c r="B35" s="421" t="s">
        <v>2539</v>
      </c>
      <c r="C35" s="2577"/>
      <c r="D35" s="434">
        <v>100</v>
      </c>
      <c r="E35" s="2578"/>
      <c r="F35" s="460">
        <f>SUMIF(107:107,E35,108:108)-SUMIF(107:107,C35,108:108)+100</f>
        <v>100</v>
      </c>
      <c r="G35" s="2577"/>
      <c r="H35" s="434">
        <f>SUMIF(107:107,G35,108:108)-SUMIF(107:107,C35,108:108)+100</f>
        <v>100</v>
      </c>
      <c r="I35" s="2578"/>
      <c r="J35" s="434">
        <f>SUMIF(107:107,I35,108:108)-SUMIF(107:107,C35,108:108)+100</f>
        <v>100</v>
      </c>
      <c r="K35" s="425"/>
      <c r="L35" s="1142"/>
      <c r="M35" s="1133"/>
      <c r="N35" s="1133"/>
      <c r="O35" s="1133"/>
      <c r="P35" s="3303"/>
      <c r="Q35" s="1812" t="str">
        <f t="shared" si="11"/>
        <v>建筑品质</v>
      </c>
      <c r="R35" s="773" t="s">
        <v>21</v>
      </c>
      <c r="S35" s="774">
        <f t="shared" si="12"/>
        <v>100</v>
      </c>
      <c r="T35" s="773" t="s">
        <v>21</v>
      </c>
      <c r="U35" s="774">
        <f t="shared" si="13"/>
        <v>100</v>
      </c>
      <c r="V35" s="773" t="s">
        <v>21</v>
      </c>
      <c r="W35" s="774">
        <f t="shared" si="14"/>
        <v>100</v>
      </c>
      <c r="X35" s="1815"/>
      <c r="Y35" s="3305"/>
      <c r="Z35" s="1816" t="str">
        <f t="shared" si="18"/>
        <v>建筑品质</v>
      </c>
      <c r="AA35" s="1813">
        <f t="shared" si="15"/>
        <v>1</v>
      </c>
      <c r="AB35" s="1813">
        <f t="shared" si="16"/>
        <v>1</v>
      </c>
      <c r="AC35" s="1813">
        <f t="shared" si="17"/>
        <v>1</v>
      </c>
    </row>
    <row r="36" spans="1:29" ht="15">
      <c r="A36" s="471"/>
      <c r="B36" s="421" t="s">
        <v>2540</v>
      </c>
      <c r="C36" s="2577"/>
      <c r="D36" s="434">
        <v>100</v>
      </c>
      <c r="E36" s="2578"/>
      <c r="F36" s="460">
        <f>SUMIF(109:109,E36,110:110)-SUMIF(109:109,C36,110:110)+100</f>
        <v>100</v>
      </c>
      <c r="G36" s="2577"/>
      <c r="H36" s="434">
        <f>SUMIF(109:109,G36,110:110)-SUMIF(109:109,C36,110:110)+100</f>
        <v>100</v>
      </c>
      <c r="I36" s="2578"/>
      <c r="J36" s="434">
        <f>SUMIF(109:109,I36,110:110)-SUMIF(109:109,C36,110:110)+100</f>
        <v>100</v>
      </c>
      <c r="K36" s="425"/>
      <c r="L36" s="1142"/>
      <c r="M36" s="1133"/>
      <c r="N36" s="1133"/>
      <c r="O36" s="1133"/>
      <c r="P36" s="3303"/>
      <c r="Q36" s="1812" t="str">
        <f t="shared" si="11"/>
        <v>公共部分装修</v>
      </c>
      <c r="R36" s="773" t="s">
        <v>21</v>
      </c>
      <c r="S36" s="774">
        <f t="shared" si="12"/>
        <v>100</v>
      </c>
      <c r="T36" s="773" t="s">
        <v>21</v>
      </c>
      <c r="U36" s="774">
        <f t="shared" si="13"/>
        <v>100</v>
      </c>
      <c r="V36" s="773" t="s">
        <v>21</v>
      </c>
      <c r="W36" s="774">
        <f t="shared" si="14"/>
        <v>100</v>
      </c>
      <c r="X36" s="1815"/>
      <c r="Y36" s="3305"/>
      <c r="Z36" s="1816" t="str">
        <f t="shared" si="18"/>
        <v>公共部分装修</v>
      </c>
      <c r="AA36" s="1813">
        <f t="shared" si="15"/>
        <v>1</v>
      </c>
      <c r="AB36" s="1813">
        <f t="shared" si="16"/>
        <v>1</v>
      </c>
      <c r="AC36" s="1813">
        <f t="shared" si="17"/>
        <v>1</v>
      </c>
    </row>
    <row r="37" spans="1:29" s="117" customFormat="1" ht="15">
      <c r="A37" s="472"/>
      <c r="B37" s="421" t="s">
        <v>2541</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303"/>
      <c r="Q37" s="1797" t="str">
        <f t="shared" si="11"/>
        <v>成新度</v>
      </c>
      <c r="R37" s="769" t="s">
        <v>21</v>
      </c>
      <c r="S37" s="770" t="e">
        <f t="shared" si="12"/>
        <v>#N/A</v>
      </c>
      <c r="T37" s="769" t="s">
        <v>21</v>
      </c>
      <c r="U37" s="770" t="e">
        <f t="shared" si="13"/>
        <v>#N/A</v>
      </c>
      <c r="V37" s="769" t="s">
        <v>21</v>
      </c>
      <c r="W37" s="770" t="e">
        <f t="shared" si="14"/>
        <v>#N/A</v>
      </c>
      <c r="X37" s="771"/>
      <c r="Y37" s="3305"/>
      <c r="Z37" s="55" t="str">
        <f t="shared" si="18"/>
        <v>成新度</v>
      </c>
      <c r="AA37" s="772" t="e">
        <f t="shared" si="15"/>
        <v>#N/A</v>
      </c>
      <c r="AB37" s="772" t="e">
        <f t="shared" si="16"/>
        <v>#N/A</v>
      </c>
      <c r="AC37" s="772" t="e">
        <f t="shared" si="17"/>
        <v>#N/A</v>
      </c>
    </row>
    <row r="38" spans="1:29" ht="15">
      <c r="A38" s="471"/>
      <c r="B38" s="421" t="s">
        <v>2542</v>
      </c>
      <c r="C38" s="2577"/>
      <c r="D38" s="434">
        <v>100</v>
      </c>
      <c r="E38" s="2578"/>
      <c r="F38" s="460">
        <f>SUMIF(114:114,E38,115:115)-SUMIF(114:114,C38,115:115)+100</f>
        <v>100</v>
      </c>
      <c r="G38" s="2577"/>
      <c r="H38" s="434">
        <f>SUMIF(114:114,G38,115:115)-SUMIF(114:114,C38,115:115)+100</f>
        <v>100</v>
      </c>
      <c r="I38" s="2578"/>
      <c r="J38" s="434">
        <f>SUMIF(114:114,I38,115:115)-SUMIF(114:114,C38,115:115)+100</f>
        <v>100</v>
      </c>
      <c r="K38" s="425"/>
      <c r="L38" s="1142"/>
      <c r="M38" s="1133"/>
      <c r="N38" s="1133"/>
      <c r="O38" s="1133"/>
      <c r="P38" s="3303" t="s">
        <v>2536</v>
      </c>
      <c r="Q38" s="1812" t="str">
        <f t="shared" si="11"/>
        <v>物业管理</v>
      </c>
      <c r="R38" s="773" t="s">
        <v>21</v>
      </c>
      <c r="S38" s="774">
        <f t="shared" si="12"/>
        <v>100</v>
      </c>
      <c r="T38" s="773" t="s">
        <v>21</v>
      </c>
      <c r="U38" s="774">
        <f t="shared" si="13"/>
        <v>100</v>
      </c>
      <c r="V38" s="773" t="s">
        <v>21</v>
      </c>
      <c r="W38" s="774">
        <f t="shared" si="14"/>
        <v>100</v>
      </c>
      <c r="X38" s="1815"/>
      <c r="Y38" s="3305" t="s">
        <v>2536</v>
      </c>
      <c r="Z38" s="1816" t="str">
        <f t="shared" si="18"/>
        <v>物业管理</v>
      </c>
      <c r="AA38" s="1813">
        <f t="shared" si="15"/>
        <v>1</v>
      </c>
      <c r="AB38" s="1813">
        <f t="shared" si="16"/>
        <v>1</v>
      </c>
      <c r="AC38" s="1813">
        <f t="shared" si="17"/>
        <v>1</v>
      </c>
    </row>
    <row r="39" spans="1:29" ht="15">
      <c r="A39" s="471"/>
      <c r="B39" s="421" t="s">
        <v>2543</v>
      </c>
      <c r="C39" s="2577"/>
      <c r="D39" s="434">
        <v>100</v>
      </c>
      <c r="E39" s="2578"/>
      <c r="F39" s="460">
        <f>SUMIF(116:116,E39,117:117)-SUMIF(116:116,C39,117:117)+100</f>
        <v>100</v>
      </c>
      <c r="G39" s="2577"/>
      <c r="H39" s="434">
        <f>SUMIF(116:116,G39,117:117)-SUMIF(116:116,C39,117:117)+100</f>
        <v>100</v>
      </c>
      <c r="I39" s="2578"/>
      <c r="J39" s="434">
        <f>SUMIF(116:116,I39,117:117)-SUMIF(116:116,C39,117:117)+100</f>
        <v>100</v>
      </c>
      <c r="K39" s="425"/>
      <c r="L39" s="1142"/>
      <c r="M39" s="1133"/>
      <c r="N39" s="1133"/>
      <c r="O39" s="1133"/>
      <c r="P39" s="3303"/>
      <c r="Q39" s="1812" t="str">
        <f t="shared" si="11"/>
        <v>市政基础设施</v>
      </c>
      <c r="R39" s="773" t="s">
        <v>21</v>
      </c>
      <c r="S39" s="774">
        <f t="shared" si="12"/>
        <v>100</v>
      </c>
      <c r="T39" s="773" t="s">
        <v>21</v>
      </c>
      <c r="U39" s="774">
        <f t="shared" si="13"/>
        <v>100</v>
      </c>
      <c r="V39" s="773" t="s">
        <v>21</v>
      </c>
      <c r="W39" s="774">
        <f t="shared" si="14"/>
        <v>100</v>
      </c>
      <c r="X39" s="1815"/>
      <c r="Y39" s="3305"/>
      <c r="Z39" s="1816" t="str">
        <f t="shared" si="18"/>
        <v>市政基础设施</v>
      </c>
      <c r="AA39" s="1813">
        <f t="shared" si="15"/>
        <v>1</v>
      </c>
      <c r="AB39" s="1813">
        <f t="shared" si="16"/>
        <v>1</v>
      </c>
      <c r="AC39" s="1813">
        <f t="shared" si="17"/>
        <v>1</v>
      </c>
    </row>
    <row r="40" spans="1:29" ht="15">
      <c r="A40" s="471"/>
      <c r="B40" s="421" t="s">
        <v>2544</v>
      </c>
      <c r="C40" s="2577"/>
      <c r="D40" s="434">
        <v>100</v>
      </c>
      <c r="E40" s="2578"/>
      <c r="F40" s="460">
        <f>SUMIF(118:118,E40,119:119)-SUMIF(118:118,C40,119:119)+100</f>
        <v>100</v>
      </c>
      <c r="G40" s="2577"/>
      <c r="H40" s="434">
        <f>SUMIF(118:118,G40,119:119)-SUMIF(118:118,C40,119:119)+100</f>
        <v>100</v>
      </c>
      <c r="I40" s="2578"/>
      <c r="J40" s="434">
        <f>SUMIF(118:118,I40,119:119)-SUMIF(118:118,C40,119:119)+100</f>
        <v>100</v>
      </c>
      <c r="K40" s="425"/>
      <c r="L40" s="1142"/>
      <c r="M40" s="1133"/>
      <c r="N40" s="1133"/>
      <c r="O40" s="1133"/>
      <c r="P40" s="3303"/>
      <c r="Q40" s="1812" t="str">
        <f t="shared" si="11"/>
        <v>房型</v>
      </c>
      <c r="R40" s="773" t="s">
        <v>21</v>
      </c>
      <c r="S40" s="774">
        <f t="shared" si="12"/>
        <v>100</v>
      </c>
      <c r="T40" s="773" t="s">
        <v>21</v>
      </c>
      <c r="U40" s="774">
        <f t="shared" si="13"/>
        <v>100</v>
      </c>
      <c r="V40" s="773" t="s">
        <v>21</v>
      </c>
      <c r="W40" s="774">
        <f t="shared" si="14"/>
        <v>100</v>
      </c>
      <c r="X40" s="1815"/>
      <c r="Y40" s="3305"/>
      <c r="Z40" s="1816" t="str">
        <f t="shared" si="18"/>
        <v>房型</v>
      </c>
      <c r="AA40" s="1813">
        <f t="shared" si="15"/>
        <v>1</v>
      </c>
      <c r="AB40" s="1813">
        <f t="shared" si="16"/>
        <v>1</v>
      </c>
      <c r="AC40" s="1813">
        <f t="shared" si="17"/>
        <v>1</v>
      </c>
    </row>
    <row r="41" spans="1:29" s="470" customFormat="1" ht="28.5">
      <c r="A41" s="467"/>
      <c r="B41" s="421" t="s">
        <v>2545</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65"/>
      <c r="L41" s="1140"/>
      <c r="M41" s="1143"/>
      <c r="N41" s="1143"/>
      <c r="O41" s="1143"/>
      <c r="P41" s="3303"/>
      <c r="Q41" s="775" t="str">
        <f t="shared" si="11"/>
        <v>单套/主力户型建筑面积</v>
      </c>
      <c r="R41" s="776" t="s">
        <v>21</v>
      </c>
      <c r="S41" s="777">
        <f t="shared" si="12"/>
        <v>100</v>
      </c>
      <c r="T41" s="776" t="s">
        <v>21</v>
      </c>
      <c r="U41" s="777">
        <f t="shared" si="13"/>
        <v>100</v>
      </c>
      <c r="V41" s="776" t="s">
        <v>21</v>
      </c>
      <c r="W41" s="777">
        <f t="shared" si="14"/>
        <v>100</v>
      </c>
      <c r="X41" s="778"/>
      <c r="Y41" s="3305"/>
      <c r="Z41" s="779" t="str">
        <f t="shared" si="18"/>
        <v>单套/主力户型建筑面积</v>
      </c>
      <c r="AA41" s="1813">
        <f t="shared" si="15"/>
        <v>1</v>
      </c>
      <c r="AB41" s="1813">
        <f t="shared" si="16"/>
        <v>1</v>
      </c>
      <c r="AC41" s="1813">
        <f t="shared" si="17"/>
        <v>1</v>
      </c>
    </row>
    <row r="42" spans="1:29" ht="15">
      <c r="A42" s="471"/>
      <c r="B42" s="421" t="s">
        <v>2546</v>
      </c>
      <c r="C42" s="2577"/>
      <c r="D42" s="434">
        <v>100</v>
      </c>
      <c r="E42" s="2578"/>
      <c r="F42" s="460">
        <f>SUMIF(122:122,E42,123:123)-SUMIF(122:122,C42,123:123)+100</f>
        <v>100</v>
      </c>
      <c r="G42" s="2577"/>
      <c r="H42" s="434">
        <f>SUMIF(122:122,G42,123:123)-SUMIF(122:122,C42,123:123)+100</f>
        <v>100</v>
      </c>
      <c r="I42" s="2578"/>
      <c r="J42" s="434">
        <f>SUMIF(122:122,I42,123:123)-SUMIF(122:122,C42,123:123)+100</f>
        <v>100</v>
      </c>
      <c r="K42" s="425"/>
      <c r="L42" s="1142"/>
      <c r="M42" s="1133"/>
      <c r="N42" s="1133"/>
      <c r="O42" s="1133"/>
      <c r="P42" s="3303"/>
      <c r="Q42" s="1812" t="str">
        <f t="shared" si="11"/>
        <v>内部装修</v>
      </c>
      <c r="R42" s="773" t="s">
        <v>21</v>
      </c>
      <c r="S42" s="774">
        <f t="shared" si="12"/>
        <v>100</v>
      </c>
      <c r="T42" s="773" t="s">
        <v>21</v>
      </c>
      <c r="U42" s="774">
        <f t="shared" si="13"/>
        <v>100</v>
      </c>
      <c r="V42" s="773" t="s">
        <v>21</v>
      </c>
      <c r="W42" s="774">
        <f t="shared" si="14"/>
        <v>100</v>
      </c>
      <c r="X42" s="1815"/>
      <c r="Y42" s="3305"/>
      <c r="Z42" s="1816" t="str">
        <f t="shared" si="18"/>
        <v>内部装修</v>
      </c>
      <c r="AA42" s="1813">
        <f t="shared" si="15"/>
        <v>1</v>
      </c>
      <c r="AB42" s="1813">
        <f t="shared" si="16"/>
        <v>1</v>
      </c>
      <c r="AC42" s="1813">
        <f t="shared" si="17"/>
        <v>1</v>
      </c>
    </row>
    <row r="43" spans="1:29" ht="15">
      <c r="A43" s="471"/>
      <c r="B43" s="421" t="s">
        <v>2547</v>
      </c>
      <c r="C43" s="2577"/>
      <c r="D43" s="434">
        <v>100</v>
      </c>
      <c r="E43" s="2578"/>
      <c r="F43" s="460">
        <f>SUMIF(124:124,E43,125:125)-SUMIF(124:124,C43,125:125)+100</f>
        <v>100</v>
      </c>
      <c r="G43" s="2577"/>
      <c r="H43" s="434">
        <f>SUMIF(124:124,G43,125:125)-SUMIF(124:124,C43,125:125)+100</f>
        <v>100</v>
      </c>
      <c r="I43" s="2578"/>
      <c r="J43" s="434">
        <f>SUMIF(124:124,I43,125:125)-SUMIF(124:124,C43,125:125)+100</f>
        <v>100</v>
      </c>
      <c r="K43" s="425"/>
      <c r="L43" s="1142"/>
      <c r="M43" s="1133"/>
      <c r="N43" s="1133"/>
      <c r="O43" s="1133"/>
      <c r="P43" s="3303"/>
      <c r="Q43" s="1812" t="str">
        <f t="shared" si="11"/>
        <v>内部装修维护情况</v>
      </c>
      <c r="R43" s="773" t="s">
        <v>21</v>
      </c>
      <c r="S43" s="774">
        <f t="shared" si="12"/>
        <v>100</v>
      </c>
      <c r="T43" s="773" t="s">
        <v>21</v>
      </c>
      <c r="U43" s="774">
        <f t="shared" si="13"/>
        <v>100</v>
      </c>
      <c r="V43" s="773" t="s">
        <v>21</v>
      </c>
      <c r="W43" s="774">
        <f t="shared" si="14"/>
        <v>100</v>
      </c>
      <c r="X43" s="1815"/>
      <c r="Y43" s="3305"/>
      <c r="Z43" s="1816" t="str">
        <f t="shared" si="18"/>
        <v>内部装修维护情况</v>
      </c>
      <c r="AA43" s="1813">
        <f t="shared" si="15"/>
        <v>1</v>
      </c>
      <c r="AB43" s="1813">
        <f t="shared" si="16"/>
        <v>1</v>
      </c>
      <c r="AC43" s="1813">
        <f t="shared" si="17"/>
        <v>1</v>
      </c>
    </row>
    <row r="44" spans="1:29" s="117"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65"/>
      <c r="L44" s="1134"/>
      <c r="M44" s="1135"/>
      <c r="N44" s="1135"/>
      <c r="O44" s="1135"/>
      <c r="P44" s="3303"/>
      <c r="Q44" s="1797">
        <f t="shared" si="11"/>
        <v>111</v>
      </c>
      <c r="R44" s="769" t="s">
        <v>21</v>
      </c>
      <c r="S44" s="770">
        <f t="shared" si="12"/>
        <v>100</v>
      </c>
      <c r="T44" s="769" t="s">
        <v>21</v>
      </c>
      <c r="U44" s="770">
        <f t="shared" si="13"/>
        <v>100</v>
      </c>
      <c r="V44" s="769" t="s">
        <v>21</v>
      </c>
      <c r="W44" s="770">
        <f t="shared" si="14"/>
        <v>100</v>
      </c>
      <c r="X44" s="771"/>
      <c r="Y44" s="3305"/>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65"/>
      <c r="L45" s="1142"/>
      <c r="M45" s="1133"/>
      <c r="N45" s="1133"/>
      <c r="O45" s="1133"/>
      <c r="P45" s="3303"/>
      <c r="Q45" s="1812">
        <f t="shared" si="11"/>
        <v>111</v>
      </c>
      <c r="R45" s="773" t="s">
        <v>21</v>
      </c>
      <c r="S45" s="774">
        <f t="shared" si="12"/>
        <v>100</v>
      </c>
      <c r="T45" s="773" t="s">
        <v>21</v>
      </c>
      <c r="U45" s="774">
        <f t="shared" si="13"/>
        <v>100</v>
      </c>
      <c r="V45" s="773" t="s">
        <v>21</v>
      </c>
      <c r="W45" s="774">
        <f t="shared" si="14"/>
        <v>100</v>
      </c>
      <c r="X45" s="1815"/>
      <c r="Y45" s="3305"/>
      <c r="Z45" s="1816">
        <f t="shared" si="18"/>
        <v>111</v>
      </c>
      <c r="AA45" s="1813">
        <f t="shared" si="15"/>
        <v>1</v>
      </c>
      <c r="AB45" s="1813">
        <f t="shared" si="16"/>
        <v>1</v>
      </c>
      <c r="AC45" s="1813">
        <f t="shared" si="17"/>
        <v>1</v>
      </c>
    </row>
    <row r="46" spans="1:29" ht="15.75" thickBot="1">
      <c r="A46" s="477"/>
      <c r="B46" s="2566">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65"/>
      <c r="L46" s="1142"/>
      <c r="M46" s="1133"/>
      <c r="N46" s="1133"/>
      <c r="O46" s="1133"/>
      <c r="P46" s="3304"/>
      <c r="Q46" s="1812">
        <f t="shared" si="11"/>
        <v>111</v>
      </c>
      <c r="R46" s="773" t="s">
        <v>20</v>
      </c>
      <c r="S46" s="774">
        <f t="shared" si="12"/>
        <v>100</v>
      </c>
      <c r="T46" s="773" t="s">
        <v>20</v>
      </c>
      <c r="U46" s="774">
        <f t="shared" si="13"/>
        <v>100</v>
      </c>
      <c r="V46" s="773" t="s">
        <v>20</v>
      </c>
      <c r="W46" s="774">
        <f t="shared" si="14"/>
        <v>100</v>
      </c>
      <c r="X46" s="1815"/>
      <c r="Y46" s="3306"/>
      <c r="Z46" s="1816">
        <f t="shared" si="18"/>
        <v>111</v>
      </c>
      <c r="AA46" s="1813">
        <f t="shared" si="15"/>
        <v>1</v>
      </c>
      <c r="AB46" s="1813">
        <f t="shared" si="16"/>
        <v>1</v>
      </c>
      <c r="AC46" s="1813">
        <f t="shared" si="17"/>
        <v>1</v>
      </c>
    </row>
    <row r="47" spans="1:29" ht="15">
      <c r="A47" s="478" t="s">
        <v>2548</v>
      </c>
      <c r="B47" s="479"/>
      <c r="C47" s="1409" t="s">
        <v>19</v>
      </c>
      <c r="D47" s="1410"/>
      <c r="E47" s="1411"/>
      <c r="F47" s="1412"/>
      <c r="G47" s="1413"/>
      <c r="H47" s="1414"/>
      <c r="I47" s="1411"/>
      <c r="J47" s="1414"/>
      <c r="K47" s="2585"/>
      <c r="L47" s="1145"/>
      <c r="M47" s="1146"/>
      <c r="N47" s="1133"/>
      <c r="O47" s="1146"/>
      <c r="P47" s="3293" t="str">
        <f>A47</f>
        <v>成交单价（元/平方米）</v>
      </c>
      <c r="Q47" s="3293"/>
      <c r="R47" s="3294">
        <f>E47</f>
        <v>0</v>
      </c>
      <c r="S47" s="3294"/>
      <c r="T47" s="3294">
        <f>G47</f>
        <v>0</v>
      </c>
      <c r="U47" s="3294"/>
      <c r="V47" s="3294">
        <f>I47</f>
        <v>0</v>
      </c>
      <c r="W47" s="3294"/>
      <c r="X47" s="758"/>
      <c r="Y47" s="780"/>
      <c r="Z47" s="758"/>
      <c r="AA47" s="758"/>
      <c r="AB47" s="758"/>
      <c r="AC47" s="758"/>
    </row>
    <row r="48" spans="1:29" ht="15.75" thickBot="1">
      <c r="A48" s="485" t="s">
        <v>2549</v>
      </c>
      <c r="B48" s="486"/>
      <c r="C48" s="1415" t="e">
        <f>R49</f>
        <v>#DIV/0!</v>
      </c>
      <c r="D48" s="1416"/>
      <c r="E48" s="1417" t="e">
        <f>R48</f>
        <v>#DIV/0!</v>
      </c>
      <c r="F48" s="1417"/>
      <c r="G48" s="1415" t="e">
        <f>T48</f>
        <v>#DIV/0!</v>
      </c>
      <c r="H48" s="1416"/>
      <c r="I48" s="1417" t="e">
        <f>V48</f>
        <v>#DIV/0!</v>
      </c>
      <c r="J48" s="1416"/>
      <c r="K48" s="2586"/>
      <c r="L48" s="1145"/>
      <c r="M48" s="1146"/>
      <c r="N48" s="1146"/>
      <c r="O48" s="1146"/>
      <c r="P48" s="3293" t="str">
        <f>A48</f>
        <v>比较价值（元/平方米）</v>
      </c>
      <c r="Q48" s="3293"/>
      <c r="R48" s="3294" t="e">
        <f>IF(F1="售价",ROUND(PRODUCT(R47,AA7:AA46),0),ROUND(PRODUCT(R47,AA7:AA46),1))</f>
        <v>#DIV/0!</v>
      </c>
      <c r="S48" s="3294"/>
      <c r="T48" s="3294" t="e">
        <f>IF(F1="售价",ROUND(PRODUCT(T47,AB7:AB46),0),ROUND(PRODUCT(T47,AB7:AB46),1))</f>
        <v>#DIV/0!</v>
      </c>
      <c r="U48" s="3294"/>
      <c r="V48" s="3294" t="e">
        <f>IF(F1="售价",ROUND(PRODUCT(V47,AC7:AC46),0),ROUND(PRODUCT(V47,AC7:AC46),1))</f>
        <v>#DIV/0!</v>
      </c>
      <c r="W48" s="3294"/>
      <c r="X48" s="758"/>
      <c r="Y48" s="758"/>
      <c r="Z48" s="758"/>
      <c r="AA48" s="758"/>
      <c r="AB48" s="758"/>
      <c r="AC48" s="758"/>
    </row>
    <row r="49" spans="1:29" ht="15.75" thickBot="1">
      <c r="A49" s="491" t="s">
        <v>2550</v>
      </c>
      <c r="B49" s="492"/>
      <c r="C49" s="1418" t="e">
        <f>R49</f>
        <v>#DIV/0!</v>
      </c>
      <c r="D49" s="1419"/>
      <c r="E49" s="1419"/>
      <c r="F49" s="1419"/>
      <c r="G49" s="1419"/>
      <c r="H49" s="1419"/>
      <c r="I49" s="1419"/>
      <c r="J49" s="1419"/>
      <c r="K49" s="2587"/>
      <c r="L49" s="1145"/>
      <c r="M49" s="1146"/>
      <c r="N49" s="1146"/>
      <c r="O49" s="1146"/>
      <c r="P49" s="3351" t="str">
        <f>A49</f>
        <v>估价对象XX用房的比较价值（楼面单价，元/平方米）</v>
      </c>
      <c r="Q49" s="3352"/>
      <c r="R49" s="3353" t="e">
        <f>IF(F1="售价",ROUND(AVERAGE(R48:V48),0),ROUND(AVERAGE(R48:V48),1))</f>
        <v>#DIV/0!</v>
      </c>
      <c r="S49" s="3353"/>
      <c r="T49" s="3353"/>
      <c r="U49" s="3353"/>
      <c r="V49" s="3353"/>
      <c r="W49" s="335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2551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2552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2553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589"/>
    </row>
    <row r="55" spans="1:29" s="501" customFormat="1">
      <c r="A55" s="1147"/>
      <c r="B55" s="1148"/>
      <c r="C55" s="1152"/>
      <c r="D55" s="1147"/>
      <c r="E55" s="1147"/>
      <c r="F55" s="1147"/>
      <c r="G55" s="1147"/>
      <c r="H55" s="1147"/>
      <c r="I55" s="1147"/>
      <c r="J55" s="1147"/>
      <c r="K55" s="1150"/>
      <c r="L55" s="1151"/>
      <c r="M55" s="1147"/>
      <c r="N55" s="1147"/>
      <c r="O55" s="1147"/>
      <c r="P55" s="2589"/>
    </row>
    <row r="56" spans="1:29">
      <c r="A56" s="1146"/>
      <c r="B56" s="1148"/>
      <c r="C56" s="1152"/>
      <c r="D56" s="1146"/>
      <c r="E56" s="1146"/>
      <c r="F56" s="1146"/>
      <c r="G56" s="1146"/>
      <c r="H56" s="1146"/>
      <c r="I56" s="1146"/>
      <c r="J56" s="1146"/>
      <c r="K56" s="1107"/>
      <c r="L56" s="1108"/>
      <c r="M56" s="1146"/>
      <c r="N56" s="1146"/>
      <c r="O56" s="1146"/>
    </row>
    <row r="57" spans="1:29" ht="21.75" thickBot="1">
      <c r="A57" s="762" t="s">
        <v>2554</v>
      </c>
      <c r="B57" s="758"/>
      <c r="C57" s="763"/>
      <c r="D57" s="763"/>
      <c r="E57" s="763"/>
      <c r="F57" s="764"/>
      <c r="G57" s="764"/>
      <c r="H57" s="763"/>
      <c r="I57" s="763"/>
      <c r="J57" s="763"/>
      <c r="K57" s="1162"/>
      <c r="L57" s="1163"/>
      <c r="M57" s="1161"/>
      <c r="N57" s="1161"/>
      <c r="O57" s="1161"/>
      <c r="P57" s="2590"/>
      <c r="Q57" s="503"/>
    </row>
    <row r="58" spans="1:29" s="507" customFormat="1" ht="15">
      <c r="A58" s="504" t="s">
        <v>2555</v>
      </c>
      <c r="B58" s="505"/>
      <c r="C58" s="1578" t="str">
        <f>YEAR(C7)&amp;"-"&amp;MONTH(C7)</f>
        <v>2018-10</v>
      </c>
      <c r="D58" s="1577">
        <f>EDATE(C58,-1)</f>
        <v>43344</v>
      </c>
      <c r="E58" s="1577">
        <f>EDATE(D58,-1)</f>
        <v>43313</v>
      </c>
      <c r="F58" s="1577">
        <f t="shared" ref="F58:O58" si="19">EDATE(E58,-1)</f>
        <v>43282</v>
      </c>
      <c r="G58" s="1577">
        <f t="shared" si="19"/>
        <v>43252</v>
      </c>
      <c r="H58" s="1577">
        <f t="shared" si="19"/>
        <v>43221</v>
      </c>
      <c r="I58" s="1577">
        <f t="shared" si="19"/>
        <v>43191</v>
      </c>
      <c r="J58" s="1577">
        <f t="shared" si="19"/>
        <v>43160</v>
      </c>
      <c r="K58" s="1577">
        <f t="shared" si="19"/>
        <v>43132</v>
      </c>
      <c r="L58" s="1577">
        <f t="shared" si="19"/>
        <v>43101</v>
      </c>
      <c r="M58" s="1577">
        <f t="shared" si="19"/>
        <v>43070</v>
      </c>
      <c r="N58" s="1577">
        <f t="shared" si="19"/>
        <v>43040</v>
      </c>
      <c r="O58" s="1577">
        <f t="shared" si="19"/>
        <v>43009</v>
      </c>
      <c r="P58" s="1572"/>
    </row>
    <row r="59" spans="1:29" s="117" customFormat="1" ht="15">
      <c r="A59" s="508"/>
      <c r="B59" s="2591"/>
      <c r="C59" s="1575">
        <v>100</v>
      </c>
      <c r="D59" s="510"/>
      <c r="E59" s="511"/>
      <c r="F59" s="511"/>
      <c r="G59" s="511"/>
      <c r="H59" s="511"/>
      <c r="I59" s="511"/>
      <c r="J59" s="511"/>
      <c r="K59" s="511"/>
      <c r="L59" s="511"/>
      <c r="M59" s="512"/>
      <c r="N59" s="511"/>
      <c r="O59" s="512"/>
      <c r="P59" s="2592"/>
    </row>
    <row r="60" spans="1:29" s="117" customFormat="1" ht="15.75" thickBot="1">
      <c r="A60" s="514" t="s">
        <v>2556</v>
      </c>
      <c r="B60" s="515"/>
      <c r="C60" s="516"/>
      <c r="D60" s="517"/>
      <c r="E60" s="517"/>
      <c r="F60" s="517"/>
      <c r="G60" s="517"/>
      <c r="H60" s="517"/>
      <c r="I60" s="517"/>
      <c r="J60" s="517"/>
      <c r="K60" s="517"/>
      <c r="L60" s="517"/>
      <c r="M60" s="518"/>
      <c r="N60" s="517"/>
      <c r="O60" s="518"/>
      <c r="P60" s="2592"/>
      <c r="Q60" s="503"/>
    </row>
    <row r="61" spans="1:29" s="117" customFormat="1" ht="15">
      <c r="A61" s="520" t="s">
        <v>2557</v>
      </c>
      <c r="B61" s="509"/>
      <c r="C61" s="521" t="s">
        <v>2558</v>
      </c>
      <c r="D61" s="522"/>
      <c r="E61" s="522"/>
      <c r="F61" s="522"/>
      <c r="G61" s="522"/>
      <c r="H61" s="522"/>
      <c r="I61" s="522"/>
      <c r="J61" s="522"/>
      <c r="K61" s="522"/>
      <c r="L61" s="523"/>
      <c r="M61" s="524"/>
      <c r="N61" s="1153"/>
      <c r="O61" s="1153"/>
      <c r="P61" s="2593"/>
      <c r="Q61" s="503"/>
    </row>
    <row r="62" spans="1:29" s="117" customFormat="1" ht="15.75" thickBot="1">
      <c r="A62" s="520"/>
      <c r="B62" s="509"/>
      <c r="C62" s="510">
        <v>100</v>
      </c>
      <c r="D62" s="511"/>
      <c r="E62" s="511"/>
      <c r="F62" s="511"/>
      <c r="G62" s="511"/>
      <c r="H62" s="511"/>
      <c r="I62" s="511"/>
      <c r="J62" s="511"/>
      <c r="K62" s="511"/>
      <c r="L62" s="511"/>
      <c r="M62" s="513"/>
      <c r="N62" s="1153"/>
      <c r="O62" s="1153"/>
      <c r="P62" s="2592"/>
      <c r="Q62" s="503"/>
    </row>
    <row r="63" spans="1:29">
      <c r="A63" s="526" t="s">
        <v>2559</v>
      </c>
      <c r="B63" s="527" t="s">
        <v>2525</v>
      </c>
      <c r="C63" s="528">
        <f>C9</f>
        <v>0</v>
      </c>
      <c r="D63" s="529"/>
      <c r="E63" s="529"/>
      <c r="F63" s="529"/>
      <c r="G63" s="529"/>
      <c r="H63" s="529"/>
      <c r="I63" s="529"/>
      <c r="J63" s="529"/>
      <c r="K63" s="530"/>
      <c r="L63" s="531"/>
      <c r="M63" s="532"/>
      <c r="N63" s="1154"/>
      <c r="O63" s="1154"/>
      <c r="P63" s="2594"/>
      <c r="Q63" s="503"/>
    </row>
    <row r="64" spans="1:29" ht="15.75" thickBot="1">
      <c r="A64" s="533"/>
      <c r="B64" s="534"/>
      <c r="C64" s="535">
        <v>100</v>
      </c>
      <c r="D64" s="535"/>
      <c r="E64" s="535"/>
      <c r="F64" s="535"/>
      <c r="G64" s="535"/>
      <c r="H64" s="535"/>
      <c r="I64" s="535"/>
      <c r="J64" s="535"/>
      <c r="K64" s="535"/>
      <c r="L64" s="535"/>
      <c r="M64" s="536"/>
      <c r="N64" s="1155"/>
      <c r="O64" s="1155"/>
      <c r="P64" s="2594"/>
      <c r="Q64" s="503"/>
    </row>
    <row r="65" spans="1:17" ht="27.75" thickTop="1">
      <c r="A65" s="533"/>
      <c r="B65" s="537" t="s">
        <v>2528</v>
      </c>
      <c r="C65" s="538" t="s">
        <v>2560</v>
      </c>
      <c r="D65" s="538" t="s">
        <v>2561</v>
      </c>
      <c r="E65" s="538" t="s">
        <v>2562</v>
      </c>
      <c r="F65" s="538" t="s">
        <v>2563</v>
      </c>
      <c r="G65" s="538" t="s">
        <v>2564</v>
      </c>
      <c r="H65" s="538" t="s">
        <v>2565</v>
      </c>
      <c r="I65" s="538" t="s">
        <v>2566</v>
      </c>
      <c r="J65" s="538"/>
      <c r="K65" s="539"/>
      <c r="L65" s="540"/>
      <c r="M65" s="541"/>
      <c r="N65" s="1154"/>
      <c r="O65" s="1154"/>
      <c r="P65" s="2594"/>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594"/>
      <c r="Q66" s="503"/>
    </row>
    <row r="67" spans="1:17" ht="15.75" thickTop="1">
      <c r="A67" s="533"/>
      <c r="B67" s="545" t="s">
        <v>2529</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594"/>
      <c r="Q67" s="503"/>
    </row>
    <row r="68" spans="1:17" ht="15">
      <c r="A68" s="533"/>
      <c r="B68" s="547"/>
      <c r="C68" s="548"/>
      <c r="D68" s="548"/>
      <c r="E68" s="548"/>
      <c r="F68" s="548"/>
      <c r="G68" s="548"/>
      <c r="H68" s="548"/>
      <c r="I68" s="548"/>
      <c r="J68" s="548"/>
      <c r="K68" s="549"/>
      <c r="L68" s="550"/>
      <c r="M68" s="551"/>
      <c r="N68" s="1154"/>
      <c r="O68" s="1154"/>
      <c r="P68" s="2594"/>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594"/>
      <c r="Q69" s="503"/>
    </row>
    <row r="70" spans="1:17" s="470" customFormat="1" ht="15.75" thickTop="1">
      <c r="A70" s="552"/>
      <c r="B70" s="537">
        <f>B12</f>
        <v>111</v>
      </c>
      <c r="C70" s="553"/>
      <c r="D70" s="553"/>
      <c r="E70" s="553"/>
      <c r="F70" s="553"/>
      <c r="G70" s="553"/>
      <c r="H70" s="554"/>
      <c r="I70" s="554"/>
      <c r="J70" s="554"/>
      <c r="K70" s="554"/>
      <c r="L70" s="555"/>
      <c r="M70" s="556"/>
      <c r="N70" s="1156"/>
      <c r="O70" s="1156"/>
      <c r="P70" s="2595"/>
      <c r="Q70" s="558"/>
    </row>
    <row r="71" spans="1:17" s="470" customFormat="1" ht="15.75" thickBot="1">
      <c r="A71" s="552"/>
      <c r="B71" s="542"/>
      <c r="C71" s="559"/>
      <c r="D71" s="535"/>
      <c r="E71" s="535"/>
      <c r="F71" s="535"/>
      <c r="G71" s="535"/>
      <c r="H71" s="535"/>
      <c r="I71" s="535"/>
      <c r="J71" s="535"/>
      <c r="K71" s="535"/>
      <c r="L71" s="535"/>
      <c r="M71" s="536"/>
      <c r="N71" s="1155"/>
      <c r="O71" s="1155"/>
      <c r="P71" s="2595"/>
      <c r="Q71" s="558"/>
    </row>
    <row r="72" spans="1:17" s="470" customFormat="1" ht="15.75" thickTop="1">
      <c r="A72" s="552"/>
      <c r="B72" s="537">
        <f>B13</f>
        <v>111</v>
      </c>
      <c r="C72" s="553"/>
      <c r="D72" s="553"/>
      <c r="E72" s="553"/>
      <c r="F72" s="553"/>
      <c r="G72" s="553"/>
      <c r="H72" s="554"/>
      <c r="I72" s="554"/>
      <c r="J72" s="554"/>
      <c r="K72" s="554"/>
      <c r="L72" s="555"/>
      <c r="M72" s="556"/>
      <c r="N72" s="1156"/>
      <c r="O72" s="1156"/>
      <c r="P72" s="2596"/>
      <c r="Q72" s="560"/>
    </row>
    <row r="73" spans="1:17" s="470" customFormat="1" ht="15.75" thickBot="1">
      <c r="A73" s="552"/>
      <c r="B73" s="542"/>
      <c r="C73" s="559"/>
      <c r="D73" s="559"/>
      <c r="E73" s="559"/>
      <c r="F73" s="559"/>
      <c r="G73" s="559"/>
      <c r="H73" s="561"/>
      <c r="I73" s="561"/>
      <c r="J73" s="561"/>
      <c r="K73" s="561"/>
      <c r="L73" s="561"/>
      <c r="M73" s="562"/>
      <c r="N73" s="1156"/>
      <c r="O73" s="1156"/>
      <c r="P73" s="2595"/>
      <c r="Q73" s="558"/>
    </row>
    <row r="74" spans="1:17" s="470" customFormat="1" ht="15.75" thickTop="1">
      <c r="A74" s="552"/>
      <c r="B74" s="545">
        <f>B14</f>
        <v>111</v>
      </c>
      <c r="C74" s="553"/>
      <c r="D74" s="553"/>
      <c r="E74" s="553"/>
      <c r="F74" s="553"/>
      <c r="G74" s="522"/>
      <c r="H74" s="563"/>
      <c r="I74" s="563"/>
      <c r="J74" s="563"/>
      <c r="K74" s="563"/>
      <c r="L74" s="564"/>
      <c r="M74" s="565"/>
      <c r="N74" s="1156"/>
      <c r="O74" s="1156"/>
      <c r="P74" s="2597"/>
      <c r="Q74" s="558"/>
    </row>
    <row r="75" spans="1:17" s="470" customFormat="1" ht="15.75" thickBot="1">
      <c r="A75" s="567"/>
      <c r="B75" s="568"/>
      <c r="C75" s="569"/>
      <c r="D75" s="569"/>
      <c r="E75" s="569"/>
      <c r="F75" s="569"/>
      <c r="G75" s="569"/>
      <c r="H75" s="570"/>
      <c r="I75" s="570"/>
      <c r="J75" s="570"/>
      <c r="K75" s="570"/>
      <c r="L75" s="570"/>
      <c r="M75" s="571"/>
      <c r="N75" s="1156"/>
      <c r="O75" s="1156"/>
      <c r="P75" s="2595"/>
      <c r="Q75" s="558"/>
    </row>
    <row r="76" spans="1:17">
      <c r="A76" s="526" t="s">
        <v>2530</v>
      </c>
      <c r="B76" s="527" t="s">
        <v>2567</v>
      </c>
      <c r="C76" s="572" t="s">
        <v>2568</v>
      </c>
      <c r="D76" s="572" t="s">
        <v>2569</v>
      </c>
      <c r="E76" s="572" t="s">
        <v>2570</v>
      </c>
      <c r="F76" s="572" t="s">
        <v>2571</v>
      </c>
      <c r="G76" s="572" t="s">
        <v>2572</v>
      </c>
      <c r="H76" s="528"/>
      <c r="I76" s="528"/>
      <c r="J76" s="528"/>
      <c r="K76" s="573"/>
      <c r="L76" s="574"/>
      <c r="M76" s="575"/>
      <c r="N76" s="1154"/>
      <c r="O76" s="1154"/>
      <c r="P76" s="259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594"/>
      <c r="Q77" s="503"/>
    </row>
    <row r="78" spans="1:17" ht="15.75" thickTop="1">
      <c r="A78" s="533"/>
      <c r="B78" s="537" t="s">
        <v>2573</v>
      </c>
      <c r="C78" s="577" t="s">
        <v>2568</v>
      </c>
      <c r="D78" s="577" t="s">
        <v>2569</v>
      </c>
      <c r="E78" s="577" t="s">
        <v>2570</v>
      </c>
      <c r="F78" s="577" t="s">
        <v>2571</v>
      </c>
      <c r="G78" s="577" t="s">
        <v>2572</v>
      </c>
      <c r="H78" s="538"/>
      <c r="I78" s="538"/>
      <c r="J78" s="538"/>
      <c r="K78" s="539"/>
      <c r="L78" s="540"/>
      <c r="M78" s="541"/>
      <c r="N78" s="1154"/>
      <c r="O78" s="1154"/>
      <c r="P78" s="259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594"/>
      <c r="Q79" s="503"/>
    </row>
    <row r="80" spans="1:17" ht="15.75" thickTop="1">
      <c r="A80" s="533"/>
      <c r="B80" s="537" t="s">
        <v>2574</v>
      </c>
      <c r="C80" s="577" t="s">
        <v>2568</v>
      </c>
      <c r="D80" s="577" t="s">
        <v>2569</v>
      </c>
      <c r="E80" s="577" t="s">
        <v>2570</v>
      </c>
      <c r="F80" s="577" t="s">
        <v>2571</v>
      </c>
      <c r="G80" s="577" t="s">
        <v>2572</v>
      </c>
      <c r="H80" s="538"/>
      <c r="I80" s="538"/>
      <c r="J80" s="538"/>
      <c r="K80" s="539"/>
      <c r="L80" s="540"/>
      <c r="M80" s="541"/>
      <c r="N80" s="1154"/>
      <c r="O80" s="1154"/>
      <c r="P80" s="259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594"/>
      <c r="Q81" s="503"/>
    </row>
    <row r="82" spans="1:17" ht="15.75" thickTop="1">
      <c r="A82" s="533"/>
      <c r="B82" s="545" t="s">
        <v>2086</v>
      </c>
      <c r="C82" s="538" t="s">
        <v>2575</v>
      </c>
      <c r="D82" s="538" t="s">
        <v>2576</v>
      </c>
      <c r="E82" s="538" t="s">
        <v>2577</v>
      </c>
      <c r="F82" s="538" t="s">
        <v>2578</v>
      </c>
      <c r="G82" s="538" t="s">
        <v>2579</v>
      </c>
      <c r="H82" s="538"/>
      <c r="I82" s="538"/>
      <c r="J82" s="538"/>
      <c r="K82" s="538"/>
      <c r="L82" s="538"/>
      <c r="M82" s="1384"/>
      <c r="N82" s="1155"/>
      <c r="O82" s="1155"/>
      <c r="P82" s="2594"/>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594"/>
      <c r="Q83" s="503"/>
    </row>
    <row r="84" spans="1:17" ht="15.75" thickTop="1">
      <c r="A84" s="533"/>
      <c r="B84" s="537" t="s">
        <v>2580</v>
      </c>
      <c r="C84" s="577" t="s">
        <v>2568</v>
      </c>
      <c r="D84" s="577" t="s">
        <v>2569</v>
      </c>
      <c r="E84" s="577" t="s">
        <v>2570</v>
      </c>
      <c r="F84" s="577" t="s">
        <v>2571</v>
      </c>
      <c r="G84" s="577" t="s">
        <v>2572</v>
      </c>
      <c r="H84" s="538"/>
      <c r="I84" s="538"/>
      <c r="J84" s="538"/>
      <c r="K84" s="539"/>
      <c r="L84" s="540"/>
      <c r="M84" s="541"/>
      <c r="N84" s="1154"/>
      <c r="O84" s="1154"/>
      <c r="P84" s="259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594"/>
      <c r="Q85" s="503"/>
    </row>
    <row r="86" spans="1:17" s="117" customFormat="1" ht="15.75" thickTop="1">
      <c r="A86" s="578"/>
      <c r="B86" s="537" t="s">
        <v>2581</v>
      </c>
      <c r="C86" s="553"/>
      <c r="D86" s="553"/>
      <c r="E86" s="553"/>
      <c r="F86" s="553"/>
      <c r="G86" s="553"/>
      <c r="H86" s="553"/>
      <c r="I86" s="553"/>
      <c r="J86" s="553"/>
      <c r="K86" s="553"/>
      <c r="L86" s="579"/>
      <c r="M86" s="580"/>
      <c r="N86" s="1153"/>
      <c r="O86" s="1153"/>
      <c r="P86" s="2594"/>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594"/>
      <c r="Q87" s="503"/>
    </row>
    <row r="88" spans="1:17" s="117" customFormat="1" ht="15.75" thickTop="1">
      <c r="A88" s="578"/>
      <c r="B88" s="537" t="s">
        <v>2582</v>
      </c>
      <c r="C88" s="553"/>
      <c r="D88" s="553"/>
      <c r="E88" s="553"/>
      <c r="F88" s="2599"/>
      <c r="G88" s="553"/>
      <c r="H88" s="553"/>
      <c r="I88" s="553"/>
      <c r="J88" s="553"/>
      <c r="K88" s="553"/>
      <c r="L88" s="553"/>
      <c r="M88" s="580"/>
      <c r="N88" s="1153"/>
      <c r="O88" s="1153"/>
      <c r="P88" s="2594"/>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594"/>
      <c r="Q89" s="503"/>
    </row>
    <row r="90" spans="1:17" s="470" customFormat="1" ht="15.75" thickTop="1">
      <c r="A90" s="552"/>
      <c r="B90" s="537">
        <f>B27</f>
        <v>111</v>
      </c>
      <c r="C90" s="553"/>
      <c r="D90" s="553"/>
      <c r="E90" s="553"/>
      <c r="F90" s="553"/>
      <c r="G90" s="553"/>
      <c r="H90" s="554"/>
      <c r="I90" s="554"/>
      <c r="J90" s="554"/>
      <c r="K90" s="554"/>
      <c r="L90" s="555"/>
      <c r="M90" s="556"/>
      <c r="N90" s="1156"/>
      <c r="O90" s="1156"/>
      <c r="P90" s="2595"/>
      <c r="Q90" s="558"/>
    </row>
    <row r="91" spans="1:17" s="470" customFormat="1" ht="15.75" thickBot="1">
      <c r="A91" s="552"/>
      <c r="B91" s="542"/>
      <c r="C91" s="559"/>
      <c r="D91" s="559"/>
      <c r="E91" s="559"/>
      <c r="F91" s="559"/>
      <c r="G91" s="559"/>
      <c r="H91" s="561"/>
      <c r="I91" s="561"/>
      <c r="J91" s="561"/>
      <c r="K91" s="561"/>
      <c r="L91" s="561"/>
      <c r="M91" s="562"/>
      <c r="N91" s="1156"/>
      <c r="O91" s="1156"/>
      <c r="P91" s="2595"/>
      <c r="Q91" s="558"/>
    </row>
    <row r="92" spans="1:17" ht="15.75" thickTop="1">
      <c r="A92" s="533"/>
      <c r="B92" s="537">
        <f>B28</f>
        <v>111</v>
      </c>
      <c r="C92" s="553"/>
      <c r="D92" s="553"/>
      <c r="E92" s="553"/>
      <c r="F92" s="553"/>
      <c r="G92" s="582"/>
      <c r="H92" s="582"/>
      <c r="I92" s="582"/>
      <c r="J92" s="582"/>
      <c r="K92" s="583"/>
      <c r="L92" s="584"/>
      <c r="M92" s="585"/>
      <c r="N92" s="1154"/>
      <c r="O92" s="1154"/>
      <c r="P92" s="2594"/>
      <c r="Q92" s="503"/>
    </row>
    <row r="93" spans="1:17" ht="15.75" thickBot="1">
      <c r="A93" s="533"/>
      <c r="B93" s="542"/>
      <c r="C93" s="559"/>
      <c r="D93" s="535"/>
      <c r="E93" s="535"/>
      <c r="F93" s="535"/>
      <c r="G93" s="535"/>
      <c r="H93" s="535"/>
      <c r="I93" s="535"/>
      <c r="J93" s="535"/>
      <c r="K93" s="535"/>
      <c r="L93" s="535"/>
      <c r="M93" s="536"/>
      <c r="N93" s="1155"/>
      <c r="O93" s="1155"/>
      <c r="P93" s="2594"/>
      <c r="Q93" s="503"/>
    </row>
    <row r="94" spans="1:17" ht="15.75" thickTop="1">
      <c r="A94" s="533"/>
      <c r="B94" s="537">
        <f>B29</f>
        <v>111</v>
      </c>
      <c r="C94" s="553"/>
      <c r="D94" s="553"/>
      <c r="E94" s="553"/>
      <c r="F94" s="553"/>
      <c r="G94" s="582"/>
      <c r="H94" s="582"/>
      <c r="I94" s="582"/>
      <c r="J94" s="582"/>
      <c r="K94" s="583"/>
      <c r="L94" s="584"/>
      <c r="M94" s="585"/>
      <c r="N94" s="1154"/>
      <c r="O94" s="1154"/>
      <c r="P94" s="2594"/>
      <c r="Q94" s="503"/>
    </row>
    <row r="95" spans="1:17" ht="15.75" thickBot="1">
      <c r="A95" s="533"/>
      <c r="B95" s="542"/>
      <c r="C95" s="559"/>
      <c r="D95" s="559"/>
      <c r="E95" s="559"/>
      <c r="F95" s="559"/>
      <c r="G95" s="535"/>
      <c r="H95" s="535"/>
      <c r="I95" s="535"/>
      <c r="J95" s="535"/>
      <c r="K95" s="535"/>
      <c r="L95" s="535"/>
      <c r="M95" s="536"/>
      <c r="N95" s="1155"/>
      <c r="O95" s="1155"/>
      <c r="P95" s="2594"/>
      <c r="Q95" s="503"/>
    </row>
    <row r="96" spans="1:17" ht="15.75" thickTop="1">
      <c r="A96" s="533"/>
      <c r="B96" s="537">
        <f>B30</f>
        <v>111</v>
      </c>
      <c r="C96" s="553"/>
      <c r="D96" s="553"/>
      <c r="E96" s="553"/>
      <c r="F96" s="553"/>
      <c r="G96" s="582"/>
      <c r="H96" s="582"/>
      <c r="I96" s="582"/>
      <c r="J96" s="582"/>
      <c r="K96" s="583"/>
      <c r="L96" s="584"/>
      <c r="M96" s="585"/>
      <c r="N96" s="1154"/>
      <c r="O96" s="1154"/>
      <c r="P96" s="2594"/>
      <c r="Q96" s="503"/>
    </row>
    <row r="97" spans="1:17" ht="15.75" thickBot="1">
      <c r="A97" s="533"/>
      <c r="B97" s="542"/>
      <c r="C97" s="569"/>
      <c r="D97" s="569"/>
      <c r="E97" s="569"/>
      <c r="F97" s="569"/>
      <c r="G97" s="535"/>
      <c r="H97" s="535"/>
      <c r="I97" s="535"/>
      <c r="J97" s="535"/>
      <c r="K97" s="535"/>
      <c r="L97" s="535"/>
      <c r="M97" s="536"/>
      <c r="N97" s="1155"/>
      <c r="O97" s="1155"/>
      <c r="P97" s="2594"/>
      <c r="Q97" s="503"/>
    </row>
    <row r="98" spans="1:17" ht="15.75" thickTop="1">
      <c r="A98" s="533"/>
      <c r="B98" s="545">
        <f>B31</f>
        <v>111</v>
      </c>
      <c r="C98" s="586"/>
      <c r="D98" s="586"/>
      <c r="E98" s="586"/>
      <c r="F98" s="586"/>
      <c r="G98" s="586"/>
      <c r="H98" s="586"/>
      <c r="I98" s="586"/>
      <c r="J98" s="586"/>
      <c r="K98" s="587"/>
      <c r="L98" s="588"/>
      <c r="M98" s="589"/>
      <c r="N98" s="1154"/>
      <c r="O98" s="1154"/>
      <c r="P98" s="2594"/>
      <c r="Q98" s="503"/>
    </row>
    <row r="99" spans="1:17" ht="15.75" thickBot="1">
      <c r="A99" s="2600"/>
      <c r="B99" s="568"/>
      <c r="C99" s="590"/>
      <c r="D99" s="590"/>
      <c r="E99" s="590"/>
      <c r="F99" s="590"/>
      <c r="G99" s="590"/>
      <c r="H99" s="590"/>
      <c r="I99" s="590"/>
      <c r="J99" s="590"/>
      <c r="K99" s="590"/>
      <c r="L99" s="590"/>
      <c r="M99" s="591"/>
      <c r="N99" s="1155"/>
      <c r="O99" s="1155"/>
      <c r="P99" s="2594"/>
      <c r="Q99" s="503"/>
    </row>
    <row r="100" spans="1:17">
      <c r="A100" s="526" t="s">
        <v>2534</v>
      </c>
      <c r="B100" s="527" t="s">
        <v>2583</v>
      </c>
      <c r="C100" s="529"/>
      <c r="D100" s="529"/>
      <c r="E100" s="529"/>
      <c r="F100" s="529"/>
      <c r="G100" s="529"/>
      <c r="H100" s="529"/>
      <c r="I100" s="529"/>
      <c r="J100" s="529"/>
      <c r="K100" s="530"/>
      <c r="L100" s="531"/>
      <c r="M100" s="532"/>
      <c r="N100" s="1154"/>
      <c r="O100" s="1154"/>
      <c r="P100" s="2594"/>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594"/>
      <c r="Q101" s="503"/>
    </row>
    <row r="102" spans="1:17" ht="15.75" thickTop="1">
      <c r="A102" s="533"/>
      <c r="B102" s="537" t="s">
        <v>2584</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594"/>
      <c r="Q102" s="503"/>
    </row>
    <row r="103" spans="1:17" s="470" customFormat="1">
      <c r="A103" s="592"/>
      <c r="B103" s="593"/>
      <c r="C103" s="594"/>
      <c r="D103" s="594"/>
      <c r="E103" s="594"/>
      <c r="F103" s="594"/>
      <c r="G103" s="594"/>
      <c r="H103" s="594"/>
      <c r="I103" s="594"/>
      <c r="J103" s="595"/>
      <c r="K103" s="595"/>
      <c r="L103" s="596"/>
      <c r="M103" s="597"/>
      <c r="N103" s="1156"/>
      <c r="O103" s="1156"/>
      <c r="P103" s="2595"/>
      <c r="Q103" s="558"/>
    </row>
    <row r="104" spans="1:17" s="470" customFormat="1" ht="15.75" thickBot="1">
      <c r="A104" s="552"/>
      <c r="B104" s="542"/>
      <c r="C104" s="559"/>
      <c r="D104" s="535"/>
      <c r="E104" s="535"/>
      <c r="F104" s="535"/>
      <c r="G104" s="535"/>
      <c r="H104" s="535"/>
      <c r="I104" s="535"/>
      <c r="J104" s="535"/>
      <c r="K104" s="535"/>
      <c r="L104" s="535"/>
      <c r="M104" s="535"/>
      <c r="N104" s="1155"/>
      <c r="O104" s="1155"/>
      <c r="P104" s="2595"/>
      <c r="Q104" s="558"/>
    </row>
    <row r="105" spans="1:17" ht="15" thickTop="1">
      <c r="A105" s="598"/>
      <c r="B105" s="537" t="s">
        <v>2585</v>
      </c>
      <c r="C105" s="553"/>
      <c r="D105" s="553"/>
      <c r="E105" s="582"/>
      <c r="F105" s="582"/>
      <c r="G105" s="582"/>
      <c r="H105" s="582"/>
      <c r="I105" s="582"/>
      <c r="J105" s="582"/>
      <c r="K105" s="583"/>
      <c r="L105" s="584"/>
      <c r="M105" s="585"/>
      <c r="N105" s="1154"/>
      <c r="O105" s="1154"/>
      <c r="P105" s="2594"/>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594"/>
      <c r="Q106" s="503"/>
    </row>
    <row r="107" spans="1:17" ht="15" thickTop="1">
      <c r="A107" s="598"/>
      <c r="B107" s="537" t="s">
        <v>2586</v>
      </c>
      <c r="C107" s="582"/>
      <c r="D107" s="582"/>
      <c r="E107" s="582"/>
      <c r="F107" s="582"/>
      <c r="G107" s="582"/>
      <c r="H107" s="582"/>
      <c r="I107" s="582"/>
      <c r="J107" s="582"/>
      <c r="K107" s="583"/>
      <c r="L107" s="584"/>
      <c r="M107" s="585"/>
      <c r="N107" s="1154"/>
      <c r="O107" s="1154"/>
      <c r="P107" s="2594"/>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594"/>
      <c r="Q108" s="503"/>
    </row>
    <row r="109" spans="1:17" ht="15" thickTop="1">
      <c r="A109" s="598"/>
      <c r="B109" s="537" t="s">
        <v>2587</v>
      </c>
      <c r="C109" s="553"/>
      <c r="D109" s="553"/>
      <c r="E109" s="553"/>
      <c r="F109" s="582"/>
      <c r="G109" s="582"/>
      <c r="H109" s="582"/>
      <c r="I109" s="582"/>
      <c r="J109" s="582"/>
      <c r="K109" s="583"/>
      <c r="L109" s="584"/>
      <c r="M109" s="585"/>
      <c r="N109" s="1154"/>
      <c r="O109" s="1154"/>
      <c r="P109" s="2594"/>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594"/>
      <c r="Q110" s="503"/>
    </row>
    <row r="111" spans="1:17" s="470" customFormat="1" ht="15" thickTop="1">
      <c r="A111" s="592"/>
      <c r="B111" s="537" t="s">
        <v>1997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59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595"/>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595"/>
      <c r="Q113" s="558"/>
    </row>
    <row r="114" spans="1:17" ht="15" thickTop="1">
      <c r="A114" s="598"/>
      <c r="B114" s="537" t="s">
        <v>2588</v>
      </c>
      <c r="C114" s="553"/>
      <c r="D114" s="553"/>
      <c r="E114" s="582"/>
      <c r="F114" s="582"/>
      <c r="G114" s="582"/>
      <c r="H114" s="582"/>
      <c r="I114" s="582"/>
      <c r="J114" s="582"/>
      <c r="K114" s="583"/>
      <c r="L114" s="584"/>
      <c r="M114" s="585"/>
      <c r="N114" s="1154"/>
      <c r="O114" s="1154"/>
      <c r="P114" s="2594"/>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594"/>
      <c r="Q115" s="503"/>
    </row>
    <row r="116" spans="1:17" ht="15" thickTop="1">
      <c r="A116" s="598"/>
      <c r="B116" s="537" t="s">
        <v>2589</v>
      </c>
      <c r="C116" s="553"/>
      <c r="D116" s="553"/>
      <c r="E116" s="553"/>
      <c r="F116" s="553"/>
      <c r="G116" s="553"/>
      <c r="H116" s="582"/>
      <c r="I116" s="582"/>
      <c r="J116" s="582"/>
      <c r="K116" s="583"/>
      <c r="L116" s="584"/>
      <c r="M116" s="585"/>
      <c r="N116" s="1154"/>
      <c r="O116" s="1154"/>
      <c r="P116" s="259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594"/>
      <c r="Q117" s="503"/>
    </row>
    <row r="118" spans="1:17" ht="15" thickTop="1">
      <c r="A118" s="598"/>
      <c r="B118" s="537" t="s">
        <v>2590</v>
      </c>
      <c r="C118" s="582"/>
      <c r="D118" s="582"/>
      <c r="E118" s="582"/>
      <c r="F118" s="582"/>
      <c r="G118" s="582"/>
      <c r="H118" s="582"/>
      <c r="I118" s="582"/>
      <c r="J118" s="582"/>
      <c r="K118" s="583"/>
      <c r="L118" s="584"/>
      <c r="M118" s="585"/>
      <c r="N118" s="1154"/>
      <c r="O118" s="1154"/>
      <c r="P118" s="2594"/>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594"/>
      <c r="Q119" s="503"/>
    </row>
    <row r="120" spans="1:17" s="470" customFormat="1" ht="28.5" thickTop="1">
      <c r="A120" s="592"/>
      <c r="B120" s="537" t="s">
        <v>2545</v>
      </c>
      <c r="C120" s="553"/>
      <c r="D120" s="553"/>
      <c r="E120" s="553"/>
      <c r="F120" s="553"/>
      <c r="G120" s="553"/>
      <c r="H120" s="553"/>
      <c r="I120" s="553"/>
      <c r="J120" s="553"/>
      <c r="K120" s="553"/>
      <c r="L120" s="579"/>
      <c r="M120" s="580"/>
      <c r="N120" s="1156"/>
      <c r="O120" s="1156"/>
      <c r="P120" s="2595"/>
      <c r="Q120" s="558"/>
    </row>
    <row r="121" spans="1:17" s="470" customFormat="1" ht="15.75" thickBot="1">
      <c r="A121" s="552"/>
      <c r="B121" s="534"/>
      <c r="C121" s="559"/>
      <c r="D121" s="535"/>
      <c r="E121" s="535"/>
      <c r="F121" s="535"/>
      <c r="G121" s="535"/>
      <c r="H121" s="535"/>
      <c r="I121" s="535"/>
      <c r="J121" s="535"/>
      <c r="K121" s="535"/>
      <c r="L121" s="535"/>
      <c r="M121" s="535"/>
      <c r="N121" s="1156"/>
      <c r="O121" s="1156"/>
      <c r="P121" s="2595"/>
      <c r="Q121" s="558"/>
    </row>
    <row r="122" spans="1:17" ht="15" thickTop="1">
      <c r="A122" s="598"/>
      <c r="B122" s="537" t="s">
        <v>2591</v>
      </c>
      <c r="C122" s="553"/>
      <c r="D122" s="553"/>
      <c r="E122" s="553"/>
      <c r="F122" s="582"/>
      <c r="G122" s="582"/>
      <c r="H122" s="582"/>
      <c r="I122" s="582"/>
      <c r="J122" s="582"/>
      <c r="K122" s="583"/>
      <c r="L122" s="584"/>
      <c r="M122" s="585"/>
      <c r="N122" s="1154"/>
      <c r="O122" s="1154"/>
      <c r="P122" s="2594"/>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594"/>
      <c r="Q123" s="503"/>
    </row>
    <row r="124" spans="1:17" ht="15" thickTop="1">
      <c r="A124" s="598"/>
      <c r="B124" s="537" t="s">
        <v>2592</v>
      </c>
      <c r="C124" s="577" t="s">
        <v>2568</v>
      </c>
      <c r="D124" s="577" t="s">
        <v>2569</v>
      </c>
      <c r="E124" s="577" t="s">
        <v>2570</v>
      </c>
      <c r="F124" s="577" t="s">
        <v>2571</v>
      </c>
      <c r="G124" s="577" t="s">
        <v>2572</v>
      </c>
      <c r="H124" s="538"/>
      <c r="I124" s="538"/>
      <c r="J124" s="538"/>
      <c r="K124" s="539"/>
      <c r="L124" s="540"/>
      <c r="M124" s="541"/>
      <c r="N124" s="1154"/>
      <c r="O124" s="1154"/>
      <c r="P124" s="259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59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59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595"/>
      <c r="Q127" s="558"/>
    </row>
    <row r="128" spans="1:17" ht="15" thickTop="1">
      <c r="A128" s="598"/>
      <c r="B128" s="537">
        <f>B45</f>
        <v>111</v>
      </c>
      <c r="C128" s="553"/>
      <c r="D128" s="553"/>
      <c r="E128" s="553"/>
      <c r="F128" s="553"/>
      <c r="G128" s="582"/>
      <c r="H128" s="582"/>
      <c r="I128" s="582"/>
      <c r="J128" s="582"/>
      <c r="K128" s="583"/>
      <c r="L128" s="584"/>
      <c r="M128" s="585"/>
      <c r="N128" s="1154"/>
      <c r="O128" s="1154"/>
      <c r="P128" s="2594"/>
      <c r="Q128" s="503"/>
    </row>
    <row r="129" spans="1:17" ht="15.75" thickBot="1">
      <c r="A129" s="533"/>
      <c r="B129" s="542"/>
      <c r="C129" s="559"/>
      <c r="D129" s="559"/>
      <c r="E129" s="559"/>
      <c r="F129" s="559"/>
      <c r="G129" s="535"/>
      <c r="H129" s="535"/>
      <c r="I129" s="535"/>
      <c r="J129" s="535"/>
      <c r="K129" s="535"/>
      <c r="L129" s="535"/>
      <c r="M129" s="536"/>
      <c r="N129" s="1155"/>
      <c r="O129" s="1155"/>
      <c r="P129" s="2594"/>
      <c r="Q129" s="503"/>
    </row>
    <row r="130" spans="1:17" ht="15" thickTop="1">
      <c r="A130" s="598"/>
      <c r="B130" s="545">
        <f>B46</f>
        <v>111</v>
      </c>
      <c r="C130" s="553"/>
      <c r="D130" s="553"/>
      <c r="E130" s="553"/>
      <c r="F130" s="553"/>
      <c r="G130" s="586"/>
      <c r="H130" s="586"/>
      <c r="I130" s="586"/>
      <c r="J130" s="586"/>
      <c r="K130" s="522"/>
      <c r="L130" s="523"/>
      <c r="M130" s="589"/>
      <c r="N130" s="1154"/>
      <c r="O130" s="1154"/>
      <c r="P130" s="2594"/>
      <c r="Q130" s="503"/>
    </row>
    <row r="131" spans="1:17" ht="15.75" thickBot="1">
      <c r="A131" s="2600"/>
      <c r="B131" s="568"/>
      <c r="C131" s="569"/>
      <c r="D131" s="569"/>
      <c r="E131" s="569"/>
      <c r="F131" s="569"/>
      <c r="G131" s="590"/>
      <c r="H131" s="590"/>
      <c r="I131" s="590"/>
      <c r="J131" s="590"/>
      <c r="K131" s="590"/>
      <c r="L131" s="590"/>
      <c r="M131" s="591"/>
      <c r="N131" s="1155"/>
      <c r="O131" s="1155"/>
      <c r="P131" s="2594"/>
      <c r="Q131" s="503"/>
    </row>
    <row r="136" spans="1:17" ht="15" thickBot="1">
      <c r="B136" s="2601" t="s">
        <v>2593</v>
      </c>
    </row>
    <row r="137" spans="1:17" ht="15">
      <c r="B137" s="2602" t="s">
        <v>2594</v>
      </c>
      <c r="C137" s="2603"/>
      <c r="D137" s="2603"/>
      <c r="E137" s="2603"/>
      <c r="F137" s="2603"/>
      <c r="G137" s="2604"/>
      <c r="H137" s="2605"/>
      <c r="I137" s="2606" t="s">
        <v>2595</v>
      </c>
      <c r="J137" s="2603"/>
      <c r="K137" s="2607"/>
    </row>
    <row r="138" spans="1:17" ht="15">
      <c r="B138" s="2608"/>
      <c r="C138" s="145" t="s">
        <v>2596</v>
      </c>
      <c r="D138" s="145" t="s">
        <v>2597</v>
      </c>
      <c r="E138" s="2609" t="s">
        <v>2598</v>
      </c>
      <c r="F138" s="2610" t="s">
        <v>2599</v>
      </c>
      <c r="G138" s="145" t="s">
        <v>2597</v>
      </c>
      <c r="H138" s="146" t="s">
        <v>2598</v>
      </c>
      <c r="I138" s="2611"/>
      <c r="J138" s="145" t="s">
        <v>2600</v>
      </c>
      <c r="K138" s="146" t="s">
        <v>2601</v>
      </c>
    </row>
    <row r="139" spans="1:17" ht="15">
      <c r="B139" s="1086">
        <v>6</v>
      </c>
      <c r="C139" s="1087">
        <v>96</v>
      </c>
      <c r="D139" s="2612" t="s">
        <v>2602</v>
      </c>
      <c r="E139" s="1088">
        <v>100</v>
      </c>
      <c r="F139" s="1089">
        <v>102.5</v>
      </c>
      <c r="G139" s="2612" t="s">
        <v>2602</v>
      </c>
      <c r="H139" s="1090">
        <v>105</v>
      </c>
      <c r="I139" s="2613" t="s">
        <v>2603</v>
      </c>
      <c r="J139" s="1087">
        <v>20</v>
      </c>
      <c r="K139" s="1091">
        <f>C145/(J139-2)</f>
        <v>4.0555555555555553E-3</v>
      </c>
    </row>
    <row r="140" spans="1:17" ht="15">
      <c r="B140" s="1092">
        <v>5</v>
      </c>
      <c r="C140" s="1093">
        <v>100</v>
      </c>
      <c r="D140" s="1093"/>
      <c r="E140" s="1094"/>
      <c r="F140" s="1095">
        <v>102</v>
      </c>
      <c r="G140" s="1093"/>
      <c r="H140" s="1096"/>
      <c r="I140" s="2614" t="s">
        <v>2604</v>
      </c>
      <c r="J140" s="314">
        <f>ROUNDUP((J139-1)/2,0)</f>
        <v>10</v>
      </c>
      <c r="K140" s="1097">
        <v>100</v>
      </c>
    </row>
    <row r="141" spans="1:17" ht="15">
      <c r="B141" s="1092">
        <v>4</v>
      </c>
      <c r="C141" s="1093">
        <v>102</v>
      </c>
      <c r="D141" s="1093"/>
      <c r="E141" s="1094"/>
      <c r="F141" s="1095">
        <v>101.5</v>
      </c>
      <c r="G141" s="1093"/>
      <c r="H141" s="1096"/>
      <c r="I141" s="2614" t="s">
        <v>2605</v>
      </c>
      <c r="J141" s="314">
        <v>1</v>
      </c>
      <c r="K141" s="1098">
        <f>ROUND(100+(J141-J140)*K139*100,1)</f>
        <v>96.4</v>
      </c>
    </row>
    <row r="142" spans="1:17" ht="15">
      <c r="B142" s="1092">
        <v>3</v>
      </c>
      <c r="C142" s="1093">
        <v>103</v>
      </c>
      <c r="D142" s="1093"/>
      <c r="E142" s="1094"/>
      <c r="F142" s="1095">
        <v>101</v>
      </c>
      <c r="G142" s="1093"/>
      <c r="H142" s="1096"/>
      <c r="I142" s="2614" t="s">
        <v>2606</v>
      </c>
      <c r="J142" s="314">
        <f>J139</f>
        <v>20</v>
      </c>
      <c r="K142" s="1099">
        <v>95</v>
      </c>
    </row>
    <row r="143" spans="1:17" ht="15">
      <c r="B143" s="1092">
        <v>2</v>
      </c>
      <c r="C143" s="1093">
        <v>100</v>
      </c>
      <c r="D143" s="1093"/>
      <c r="E143" s="1094"/>
      <c r="F143" s="1095">
        <v>100.5</v>
      </c>
      <c r="G143" s="1093"/>
      <c r="H143" s="1096"/>
      <c r="I143" s="2614" t="s">
        <v>2607</v>
      </c>
      <c r="J143" s="1093">
        <v>15</v>
      </c>
      <c r="K143" s="1098">
        <f>ROUND(100+(J143-J140)*K139*100,1)</f>
        <v>102</v>
      </c>
    </row>
    <row r="144" spans="1:17" ht="15">
      <c r="B144" s="1092">
        <v>1</v>
      </c>
      <c r="C144" s="1093">
        <v>98</v>
      </c>
      <c r="D144" s="2615" t="s">
        <v>2608</v>
      </c>
      <c r="E144" s="1094">
        <v>102</v>
      </c>
      <c r="F144" s="1100">
        <v>100</v>
      </c>
      <c r="G144" s="2615" t="s">
        <v>2608</v>
      </c>
      <c r="H144" s="1096">
        <v>105</v>
      </c>
      <c r="I144" s="2614" t="s">
        <v>2607</v>
      </c>
      <c r="J144" s="1093">
        <v>18</v>
      </c>
      <c r="K144" s="1098">
        <f>ROUND(100+(J144-J140)*K139*100,1)</f>
        <v>103.2</v>
      </c>
    </row>
    <row r="145" spans="2:11" ht="15.75" thickBot="1">
      <c r="B145" s="2616" t="s">
        <v>2609</v>
      </c>
      <c r="C145" s="1101">
        <f>ROUND(MAX(C139:C144)/MIN(C139:C144)-1,3)</f>
        <v>7.2999999999999995E-2</v>
      </c>
      <c r="D145" s="1102"/>
      <c r="E145" s="1102"/>
      <c r="F145" s="2617" t="s">
        <v>2610</v>
      </c>
      <c r="G145" s="2618"/>
      <c r="H145" s="2619"/>
      <c r="I145" s="2620" t="s">
        <v>2607</v>
      </c>
      <c r="J145" s="1103">
        <v>8</v>
      </c>
      <c r="K145" s="1104">
        <f>ROUND(100+(J145-J140)*K139*100,1)</f>
        <v>99.2</v>
      </c>
    </row>
    <row r="147" spans="2:11">
      <c r="B147" s="2601" t="s">
        <v>2611</v>
      </c>
    </row>
    <row r="148" spans="2:11">
      <c r="B148" s="2601" t="s">
        <v>2612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85" priority="15" stopIfTrue="1" operator="containsText" text="超过">
      <formula>NOT(ISERROR(SEARCH("超过",F52)))</formula>
    </cfRule>
  </conditionalFormatting>
  <conditionalFormatting sqref="J54">
    <cfRule type="containsText" dxfId="84" priority="14" stopIfTrue="1" operator="containsText" text="超过">
      <formula>NOT(ISERROR(SEARCH("超过",J54)))</formula>
    </cfRule>
  </conditionalFormatting>
  <conditionalFormatting sqref="H54">
    <cfRule type="containsText" dxfId="83" priority="13" stopIfTrue="1" operator="containsText" text="超过">
      <formula>NOT(ISERROR(SEARCH("超过",H54)))</formula>
    </cfRule>
  </conditionalFormatting>
  <conditionalFormatting sqref="F54">
    <cfRule type="containsText" dxfId="82" priority="12" stopIfTrue="1" operator="containsText" text="超过">
      <formula>NOT(ISERROR(SEARCH("超过",F54)))</formula>
    </cfRule>
  </conditionalFormatting>
  <conditionalFormatting sqref="F53 H53 J53">
    <cfRule type="containsText" dxfId="81" priority="11" stopIfTrue="1" operator="containsText" text="超过">
      <formula>NOT(ISERROR(SEARCH("超过",F53)))</formula>
    </cfRule>
  </conditionalFormatting>
  <conditionalFormatting sqref="E52">
    <cfRule type="expression" dxfId="80" priority="10" stopIfTrue="1">
      <formula>$F$52="超过30%"</formula>
    </cfRule>
  </conditionalFormatting>
  <conditionalFormatting sqref="G54">
    <cfRule type="expression" dxfId="79" priority="8" stopIfTrue="1">
      <formula>$H$54="超过30%"</formula>
    </cfRule>
  </conditionalFormatting>
  <conditionalFormatting sqref="E53">
    <cfRule type="expression" dxfId="78" priority="7" stopIfTrue="1">
      <formula>$F$53="超过20%"</formula>
    </cfRule>
  </conditionalFormatting>
  <conditionalFormatting sqref="E54">
    <cfRule type="expression" dxfId="77" priority="6" stopIfTrue="1">
      <formula>$F$54="超过30%"</formula>
    </cfRule>
  </conditionalFormatting>
  <conditionalFormatting sqref="G52">
    <cfRule type="expression" dxfId="76" priority="5" stopIfTrue="1">
      <formula>$H$52="超过30%"</formula>
    </cfRule>
  </conditionalFormatting>
  <conditionalFormatting sqref="G53">
    <cfRule type="expression" dxfId="75" priority="4" stopIfTrue="1">
      <formula>$H$53="超过20%"</formula>
    </cfRule>
  </conditionalFormatting>
  <conditionalFormatting sqref="I52">
    <cfRule type="expression" dxfId="74" priority="3" stopIfTrue="1">
      <formula>$J$52="超过30%"</formula>
    </cfRule>
  </conditionalFormatting>
  <conditionalFormatting sqref="I53">
    <cfRule type="expression" dxfId="73" priority="2" stopIfTrue="1">
      <formula>$J$53="超过20%"</formula>
    </cfRule>
  </conditionalFormatting>
  <conditionalFormatting sqref="I54">
    <cfRule type="expression" dxfId="7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2499</v>
      </c>
      <c r="B1" s="2633" t="s">
        <v>2673</v>
      </c>
      <c r="C1" s="1622" t="s">
        <v>2501</v>
      </c>
      <c r="D1" s="1623"/>
      <c r="E1" s="1632"/>
      <c r="F1" s="2548"/>
      <c r="G1" s="1633" t="s">
        <v>2614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2298</v>
      </c>
      <c r="B2" s="1420" t="e">
        <f ca="1">IF(C2="——",ROUND(C43*D3/10000,0),ROUND(C43*D3/10000,0)-D2)</f>
        <v>#DIV/0!</v>
      </c>
      <c r="C2" s="2550"/>
      <c r="D2" s="1126" t="e">
        <f ca="1">SUMIF(INDIRECT("'"&amp;F2&amp;"'"&amp;"!A:A"),"承租人权益价值",INDIRECT("'"&amp;F2&amp;"'"&amp;"!c:c"))</f>
        <v>#REF!</v>
      </c>
      <c r="E2" s="2551" t="s">
        <v>2299</v>
      </c>
      <c r="F2" s="2552"/>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2300</v>
      </c>
      <c r="B3" s="608" t="e">
        <f ca="1">IF(C2="——",C43,ROUND(B2*10000/D3,0))</f>
        <v>#DIV/0!</v>
      </c>
      <c r="C3" s="399" t="s">
        <v>2615</v>
      </c>
      <c r="D3" s="398">
        <f>IF(D1="",'数据-汇总表'!E3,SUMIF('数据-汇总表'!$C19:$C33,D1,'数据-汇总表'!$E19:$E33))</f>
        <v>143997.77000000002</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2616</v>
      </c>
      <c r="B4" s="401"/>
      <c r="C4" s="3310" t="s">
        <v>2617</v>
      </c>
      <c r="D4" s="3311"/>
      <c r="E4" s="3312" t="s">
        <v>2618</v>
      </c>
      <c r="F4" s="3313"/>
      <c r="G4" s="3310" t="s">
        <v>2619</v>
      </c>
      <c r="H4" s="3311"/>
      <c r="I4" s="3310" t="s">
        <v>2620</v>
      </c>
      <c r="J4" s="3311"/>
      <c r="K4" s="609" t="s">
        <v>2621</v>
      </c>
      <c r="L4" s="1132"/>
      <c r="M4" s="1133"/>
      <c r="N4" s="1133"/>
      <c r="O4" s="1133"/>
      <c r="P4" s="3355" t="s">
        <v>2622</v>
      </c>
      <c r="Q4" s="3356"/>
      <c r="R4" s="3359" t="s">
        <v>2618</v>
      </c>
      <c r="S4" s="3360"/>
      <c r="T4" s="3359" t="s">
        <v>2619</v>
      </c>
      <c r="U4" s="3360"/>
      <c r="V4" s="3327" t="s">
        <v>2620</v>
      </c>
      <c r="W4" s="3327"/>
      <c r="X4" s="1815"/>
      <c r="Y4" s="3359" t="s">
        <v>2622</v>
      </c>
      <c r="Z4" s="3360"/>
      <c r="AA4" s="3354" t="s">
        <v>2618</v>
      </c>
      <c r="AB4" s="3339" t="s">
        <v>2619</v>
      </c>
      <c r="AC4" s="3354" t="s">
        <v>2620</v>
      </c>
    </row>
    <row r="5" spans="1:29" ht="15">
      <c r="A5" s="403"/>
      <c r="B5" s="404"/>
      <c r="C5" s="3363" t="s">
        <v>2513</v>
      </c>
      <c r="D5" s="3364"/>
      <c r="E5" s="3367" t="s">
        <v>2514</v>
      </c>
      <c r="F5" s="3368"/>
      <c r="G5" s="3363" t="s">
        <v>2515</v>
      </c>
      <c r="H5" s="3364"/>
      <c r="I5" s="3363" t="s">
        <v>2516</v>
      </c>
      <c r="J5" s="3364"/>
      <c r="K5" s="609"/>
      <c r="L5" s="1132"/>
      <c r="M5" s="1133"/>
      <c r="N5" s="1133"/>
      <c r="O5" s="1133"/>
      <c r="P5" s="3357"/>
      <c r="Q5" s="3317"/>
      <c r="R5" s="3322"/>
      <c r="S5" s="3323"/>
      <c r="T5" s="3322"/>
      <c r="U5" s="3323"/>
      <c r="V5" s="3327"/>
      <c r="W5" s="3327"/>
      <c r="X5" s="1815"/>
      <c r="Y5" s="3322"/>
      <c r="Z5" s="3323"/>
      <c r="AA5" s="3339"/>
      <c r="AB5" s="3339"/>
      <c r="AC5" s="3339"/>
    </row>
    <row r="6" spans="1:29" ht="15.75" thickBot="1">
      <c r="A6" s="405"/>
      <c r="B6" s="406"/>
      <c r="C6" s="3361" t="s">
        <v>2517</v>
      </c>
      <c r="D6" s="3362"/>
      <c r="E6" s="3365" t="s">
        <v>2517</v>
      </c>
      <c r="F6" s="3366"/>
      <c r="G6" s="3361" t="s">
        <v>2517</v>
      </c>
      <c r="H6" s="3362"/>
      <c r="I6" s="3361" t="s">
        <v>2517</v>
      </c>
      <c r="J6" s="3362"/>
      <c r="K6" s="609" t="s">
        <v>2518</v>
      </c>
      <c r="L6" s="1132"/>
      <c r="M6" s="1133"/>
      <c r="N6" s="1133"/>
      <c r="O6" s="1133"/>
      <c r="P6" s="3358"/>
      <c r="Q6" s="3319"/>
      <c r="R6" s="3322"/>
      <c r="S6" s="3323"/>
      <c r="T6" s="3324"/>
      <c r="U6" s="3325"/>
      <c r="V6" s="3327"/>
      <c r="W6" s="3327"/>
      <c r="X6" s="1815"/>
      <c r="Y6" s="3324"/>
      <c r="Z6" s="3325"/>
      <c r="AA6" s="3340"/>
      <c r="AB6" s="3340"/>
      <c r="AC6" s="3340"/>
    </row>
    <row r="7" spans="1:29" s="117" customFormat="1" ht="15.75" thickBot="1">
      <c r="A7" s="407" t="s">
        <v>2519</v>
      </c>
      <c r="B7" s="408"/>
      <c r="C7" s="409">
        <f>'数据-取费表'!B2</f>
        <v>43395</v>
      </c>
      <c r="D7" s="410">
        <v>100</v>
      </c>
      <c r="E7" s="411"/>
      <c r="F7" s="412">
        <f>SUMIF(52:52,YEAR(E7)&amp;"-"&amp;MONTH(E7),53:53)</f>
        <v>0</v>
      </c>
      <c r="G7" s="411"/>
      <c r="H7" s="410">
        <f>SUMIF(52:52,YEAR(G7)&amp;"-"&amp;MONTH(G7),53:53)</f>
        <v>0</v>
      </c>
      <c r="I7" s="411"/>
      <c r="J7" s="410">
        <f>SUMIF(52:52,YEAR(I7)&amp;"-"&amp;MONTH(I7),53:53)</f>
        <v>0</v>
      </c>
      <c r="K7" s="610"/>
      <c r="L7" s="1134"/>
      <c r="M7" s="1135"/>
      <c r="N7" s="1135"/>
      <c r="O7" s="1135"/>
      <c r="P7" s="3334" t="s">
        <v>2520</v>
      </c>
      <c r="Q7" s="3335"/>
      <c r="R7" s="769" t="s">
        <v>17</v>
      </c>
      <c r="S7" s="770">
        <f t="shared" ref="S7:S15" si="0">F7</f>
        <v>0</v>
      </c>
      <c r="T7" s="769" t="s">
        <v>17</v>
      </c>
      <c r="U7" s="770">
        <f t="shared" ref="U7:U15" si="1">H7</f>
        <v>0</v>
      </c>
      <c r="V7" s="769" t="s">
        <v>17</v>
      </c>
      <c r="W7" s="770">
        <f t="shared" ref="W7:W15" si="2">J7</f>
        <v>0</v>
      </c>
      <c r="X7" s="771"/>
      <c r="Y7" s="3334" t="s">
        <v>2520</v>
      </c>
      <c r="Z7" s="3333"/>
      <c r="AA7" s="772" t="e">
        <f>D7/F7</f>
        <v>#DIV/0!</v>
      </c>
      <c r="AB7" s="772" t="e">
        <f>D7/H7</f>
        <v>#DIV/0!</v>
      </c>
      <c r="AC7" s="772" t="e">
        <f>D7/J7</f>
        <v>#DIV/0!</v>
      </c>
    </row>
    <row r="8" spans="1:29" s="117" customFormat="1" ht="15.75" thickBot="1">
      <c r="A8" s="407" t="s">
        <v>2521</v>
      </c>
      <c r="B8" s="408"/>
      <c r="C8" s="413" t="s">
        <v>2522</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334" t="s">
        <v>2523</v>
      </c>
      <c r="Q8" s="3333"/>
      <c r="R8" s="769" t="s">
        <v>17</v>
      </c>
      <c r="S8" s="770">
        <f t="shared" si="0"/>
        <v>0</v>
      </c>
      <c r="T8" s="769" t="s">
        <v>17</v>
      </c>
      <c r="U8" s="770">
        <f t="shared" si="1"/>
        <v>0</v>
      </c>
      <c r="V8" s="769" t="s">
        <v>17</v>
      </c>
      <c r="W8" s="770">
        <f t="shared" si="2"/>
        <v>0</v>
      </c>
      <c r="X8" s="771"/>
      <c r="Y8" s="3334" t="s">
        <v>2523</v>
      </c>
      <c r="Z8" s="3333"/>
      <c r="AA8" s="772" t="e">
        <f t="shared" ref="AA8:AA40" si="3">D8/F8</f>
        <v>#DIV/0!</v>
      </c>
      <c r="AB8" s="772" t="e">
        <f t="shared" ref="AB8:AB40" si="4">D8/H8</f>
        <v>#DIV/0!</v>
      </c>
      <c r="AC8" s="772" t="e">
        <f t="shared" ref="AC8:AC40" si="5">D8/J8</f>
        <v>#DIV/0!</v>
      </c>
    </row>
    <row r="9" spans="1:29" s="117" customFormat="1">
      <c r="A9" s="414" t="s">
        <v>2524</v>
      </c>
      <c r="B9" s="71" t="s">
        <v>2525</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293" t="s">
        <v>2526</v>
      </c>
      <c r="Q9" s="1797" t="str">
        <f t="shared" ref="Q9:Q15" si="6">B9</f>
        <v>用途</v>
      </c>
      <c r="R9" s="769" t="s">
        <v>17</v>
      </c>
      <c r="S9" s="770">
        <f t="shared" si="0"/>
        <v>100</v>
      </c>
      <c r="T9" s="769" t="s">
        <v>17</v>
      </c>
      <c r="U9" s="770">
        <f t="shared" si="1"/>
        <v>100</v>
      </c>
      <c r="V9" s="769" t="s">
        <v>17</v>
      </c>
      <c r="W9" s="770">
        <f t="shared" si="2"/>
        <v>100</v>
      </c>
      <c r="X9" s="771"/>
      <c r="Y9" s="3150" t="s">
        <v>2527</v>
      </c>
      <c r="Z9" s="55" t="str">
        <f t="shared" ref="Z9:Z15" si="7">Q9</f>
        <v>用途</v>
      </c>
      <c r="AA9" s="772">
        <f t="shared" si="3"/>
        <v>1</v>
      </c>
      <c r="AB9" s="772">
        <f t="shared" si="4"/>
        <v>1</v>
      </c>
      <c r="AC9" s="772">
        <f t="shared" si="5"/>
        <v>1</v>
      </c>
    </row>
    <row r="10" spans="1:29" s="426" customFormat="1" ht="27">
      <c r="A10" s="420"/>
      <c r="B10" s="421" t="s">
        <v>2528</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293"/>
      <c r="Q10" s="1797" t="str">
        <f t="shared" si="6"/>
        <v>土地使用年限（年）</v>
      </c>
      <c r="R10" s="769" t="s">
        <v>17</v>
      </c>
      <c r="S10" s="770">
        <f t="shared" si="0"/>
        <v>100</v>
      </c>
      <c r="T10" s="769" t="s">
        <v>17</v>
      </c>
      <c r="U10" s="770">
        <f t="shared" si="1"/>
        <v>100</v>
      </c>
      <c r="V10" s="769" t="s">
        <v>17</v>
      </c>
      <c r="W10" s="770">
        <f t="shared" si="2"/>
        <v>100</v>
      </c>
      <c r="X10" s="771"/>
      <c r="Y10" s="3150"/>
      <c r="Z10" s="55" t="str">
        <f t="shared" si="7"/>
        <v>土地使用年限（年）</v>
      </c>
      <c r="AA10" s="772">
        <f t="shared" si="3"/>
        <v>1</v>
      </c>
      <c r="AB10" s="772">
        <f t="shared" si="4"/>
        <v>1</v>
      </c>
      <c r="AC10" s="772">
        <f t="shared" si="5"/>
        <v>1</v>
      </c>
    </row>
    <row r="11" spans="1:29" ht="15">
      <c r="A11" s="427"/>
      <c r="B11" s="421" t="s">
        <v>2529</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293"/>
      <c r="Q11" s="1797" t="str">
        <f t="shared" si="6"/>
        <v>容积率</v>
      </c>
      <c r="R11" s="769" t="s">
        <v>17</v>
      </c>
      <c r="S11" s="770" t="e">
        <f t="shared" si="0"/>
        <v>#N/A</v>
      </c>
      <c r="T11" s="769" t="s">
        <v>17</v>
      </c>
      <c r="U11" s="770" t="e">
        <f t="shared" si="1"/>
        <v>#N/A</v>
      </c>
      <c r="V11" s="769" t="s">
        <v>17</v>
      </c>
      <c r="W11" s="770" t="e">
        <f t="shared" si="2"/>
        <v>#N/A</v>
      </c>
      <c r="X11" s="771"/>
      <c r="Y11" s="3150"/>
      <c r="Z11" s="55" t="str">
        <f t="shared" si="7"/>
        <v>容积率</v>
      </c>
      <c r="AA11" s="772" t="e">
        <f t="shared" si="3"/>
        <v>#N/A</v>
      </c>
      <c r="AB11" s="772" t="e">
        <f t="shared" si="4"/>
        <v>#N/A</v>
      </c>
      <c r="AC11" s="772" t="e">
        <f t="shared" si="5"/>
        <v>#N/A</v>
      </c>
    </row>
    <row r="12" spans="1:29" s="117" customFormat="1" ht="15">
      <c r="A12" s="430"/>
      <c r="B12" s="2564">
        <v>111</v>
      </c>
      <c r="C12" s="431"/>
      <c r="D12" s="432">
        <v>100</v>
      </c>
      <c r="E12" s="433"/>
      <c r="F12" s="135">
        <f>SUMIF(64:64,E12,65:65)-SUMIF(64:64,C12,65:65)+100</f>
        <v>100</v>
      </c>
      <c r="G12" s="2656"/>
      <c r="H12" s="135">
        <f>SUMIF(64:64,G12,65:65)-SUMIF(64:64,C12,65:65)+100</f>
        <v>100</v>
      </c>
      <c r="I12" s="468"/>
      <c r="J12" s="135">
        <f>SUMIF(64:64,I12,65:65)-SUMIF(64:64,C12,65:65)+100</f>
        <v>100</v>
      </c>
      <c r="K12" s="612"/>
      <c r="L12" s="1134"/>
      <c r="M12" s="1135"/>
      <c r="N12" s="1135"/>
      <c r="O12" s="1136"/>
      <c r="P12" s="3293"/>
      <c r="Q12" s="1797">
        <f t="shared" si="6"/>
        <v>111</v>
      </c>
      <c r="R12" s="769" t="s">
        <v>17</v>
      </c>
      <c r="S12" s="770">
        <f t="shared" si="0"/>
        <v>100</v>
      </c>
      <c r="T12" s="769" t="s">
        <v>17</v>
      </c>
      <c r="U12" s="770">
        <f t="shared" si="1"/>
        <v>100</v>
      </c>
      <c r="V12" s="769" t="s">
        <v>17</v>
      </c>
      <c r="W12" s="770">
        <f t="shared" si="2"/>
        <v>100</v>
      </c>
      <c r="X12" s="771"/>
      <c r="Y12" s="3150"/>
      <c r="Z12" s="55">
        <f t="shared" si="7"/>
        <v>111</v>
      </c>
      <c r="AA12" s="772">
        <f>D12/F12</f>
        <v>1</v>
      </c>
      <c r="AB12" s="772">
        <f>D12/H12</f>
        <v>1</v>
      </c>
      <c r="AC12" s="772">
        <f>D12/J12</f>
        <v>1</v>
      </c>
    </row>
    <row r="13" spans="1:29" ht="15">
      <c r="A13" s="427"/>
      <c r="B13" s="2564">
        <v>111</v>
      </c>
      <c r="C13" s="433"/>
      <c r="D13" s="434">
        <v>100</v>
      </c>
      <c r="E13" s="433"/>
      <c r="F13" s="135">
        <f>SUMIF(66:66,E13,67:67)-SUMIF(66:66,C13,67:67)+100</f>
        <v>100</v>
      </c>
      <c r="G13" s="2656"/>
      <c r="H13" s="434">
        <f>SUMIF(66:66,G13,67:67)-SUMIF(66:66,C13,67:67)+100</f>
        <v>100</v>
      </c>
      <c r="I13" s="468"/>
      <c r="J13" s="434">
        <f>SUMIF(66:66,I13,67:67)-SUMIF(66:66,C13,67:67)+100</f>
        <v>100</v>
      </c>
      <c r="K13" s="612"/>
      <c r="L13" s="1142"/>
      <c r="M13" s="1133"/>
      <c r="N13" s="1133"/>
      <c r="O13" s="1141"/>
      <c r="P13" s="3293"/>
      <c r="Q13" s="1797">
        <f t="shared" si="6"/>
        <v>111</v>
      </c>
      <c r="R13" s="769" t="s">
        <v>17</v>
      </c>
      <c r="S13" s="770">
        <f t="shared" si="0"/>
        <v>100</v>
      </c>
      <c r="T13" s="769" t="s">
        <v>17</v>
      </c>
      <c r="U13" s="770">
        <f t="shared" si="1"/>
        <v>100</v>
      </c>
      <c r="V13" s="769" t="s">
        <v>17</v>
      </c>
      <c r="W13" s="770">
        <f t="shared" si="2"/>
        <v>100</v>
      </c>
      <c r="X13" s="771"/>
      <c r="Y13" s="3150"/>
      <c r="Z13" s="55">
        <f t="shared" si="7"/>
        <v>111</v>
      </c>
      <c r="AA13" s="772">
        <f t="shared" si="3"/>
        <v>1</v>
      </c>
      <c r="AB13" s="772">
        <f t="shared" si="4"/>
        <v>1</v>
      </c>
      <c r="AC13" s="772">
        <f t="shared" si="5"/>
        <v>1</v>
      </c>
    </row>
    <row r="14" spans="1:29" ht="15.75" thickBot="1">
      <c r="A14" s="435"/>
      <c r="B14" s="2566">
        <v>111</v>
      </c>
      <c r="C14" s="436"/>
      <c r="D14" s="437">
        <v>100</v>
      </c>
      <c r="E14" s="436"/>
      <c r="F14" s="437">
        <f>SUMIF(68:68,E14,69:69)-SUMIF(68:68,C14,69:69)+100</f>
        <v>100</v>
      </c>
      <c r="G14" s="2656"/>
      <c r="H14" s="437">
        <f>SUMIF(68:68,G14,69:69)-SUMIF(68:68,C14,69:69)+100</f>
        <v>100</v>
      </c>
      <c r="I14" s="468"/>
      <c r="J14" s="437">
        <f>SUMIF(68:68,I14,69:69)-SUMIF(68:68,C14,69:69)+100</f>
        <v>100</v>
      </c>
      <c r="K14" s="612"/>
      <c r="L14" s="1142"/>
      <c r="M14" s="1133"/>
      <c r="N14" s="1133"/>
      <c r="O14" s="1141"/>
      <c r="P14" s="3293"/>
      <c r="Q14" s="1797">
        <f t="shared" si="6"/>
        <v>111</v>
      </c>
      <c r="R14" s="769" t="s">
        <v>17</v>
      </c>
      <c r="S14" s="770">
        <f t="shared" si="0"/>
        <v>100</v>
      </c>
      <c r="T14" s="769" t="s">
        <v>17</v>
      </c>
      <c r="U14" s="770">
        <f t="shared" si="1"/>
        <v>100</v>
      </c>
      <c r="V14" s="769" t="s">
        <v>17</v>
      </c>
      <c r="W14" s="770">
        <f t="shared" si="2"/>
        <v>100</v>
      </c>
      <c r="X14" s="771"/>
      <c r="Y14" s="3150"/>
      <c r="Z14" s="55">
        <f t="shared" si="7"/>
        <v>111</v>
      </c>
      <c r="AA14" s="772">
        <f t="shared" si="3"/>
        <v>1</v>
      </c>
      <c r="AB14" s="772">
        <f t="shared" si="4"/>
        <v>1</v>
      </c>
      <c r="AC14" s="772">
        <f t="shared" si="5"/>
        <v>1</v>
      </c>
    </row>
    <row r="15" spans="1:29" ht="15">
      <c r="A15" s="439" t="s">
        <v>2530</v>
      </c>
      <c r="B15" s="69" t="s">
        <v>2674</v>
      </c>
      <c r="C15" s="2657">
        <f>估价对象房地状况!G3</f>
        <v>0</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300" t="s">
        <v>2531</v>
      </c>
      <c r="Q15" s="1812" t="str">
        <f t="shared" si="6"/>
        <v>产业集聚程度</v>
      </c>
      <c r="R15" s="773" t="s">
        <v>17</v>
      </c>
      <c r="S15" s="774">
        <f t="shared" si="0"/>
        <v>100</v>
      </c>
      <c r="T15" s="773" t="s">
        <v>17</v>
      </c>
      <c r="U15" s="774">
        <f t="shared" si="1"/>
        <v>100</v>
      </c>
      <c r="V15" s="773" t="s">
        <v>17</v>
      </c>
      <c r="W15" s="774">
        <f t="shared" si="2"/>
        <v>100</v>
      </c>
      <c r="X15" s="1815"/>
      <c r="Y15" s="3300" t="s">
        <v>2531</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41"/>
      <c r="P16" s="3301"/>
      <c r="Q16" s="1812"/>
      <c r="R16" s="773"/>
      <c r="S16" s="774"/>
      <c r="T16" s="773"/>
      <c r="U16" s="774"/>
      <c r="V16" s="773"/>
      <c r="W16" s="774"/>
      <c r="X16" s="1815"/>
      <c r="Y16" s="3301"/>
      <c r="Z16" s="1816"/>
      <c r="AA16" s="1813">
        <v>1</v>
      </c>
      <c r="AB16" s="1813">
        <v>1</v>
      </c>
      <c r="AC16" s="1813">
        <v>1</v>
      </c>
    </row>
    <row r="17" spans="1:29" ht="15">
      <c r="A17" s="427"/>
      <c r="B17" s="450" t="s">
        <v>2085</v>
      </c>
      <c r="C17" s="2571">
        <f>估价对象房地状况!G4</f>
        <v>0</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301"/>
      <c r="Q17" s="1812" t="str">
        <f>B17</f>
        <v>交通便捷度</v>
      </c>
      <c r="R17" s="773" t="s">
        <v>17</v>
      </c>
      <c r="S17" s="774">
        <f>F17</f>
        <v>100</v>
      </c>
      <c r="T17" s="773" t="s">
        <v>17</v>
      </c>
      <c r="U17" s="774">
        <f>H17</f>
        <v>100</v>
      </c>
      <c r="V17" s="773" t="s">
        <v>17</v>
      </c>
      <c r="W17" s="774">
        <f>J17</f>
        <v>100</v>
      </c>
      <c r="X17" s="1815"/>
      <c r="Y17" s="3301"/>
      <c r="Z17" s="1816" t="str">
        <f>Q17</f>
        <v>交通便捷度</v>
      </c>
      <c r="AA17" s="1813">
        <f t="shared" si="3"/>
        <v>1</v>
      </c>
      <c r="AB17" s="1813">
        <f t="shared" si="4"/>
        <v>1</v>
      </c>
      <c r="AC17" s="1813">
        <f t="shared" si="5"/>
        <v>1</v>
      </c>
    </row>
    <row r="18" spans="1:29" ht="15">
      <c r="A18" s="427"/>
      <c r="B18" s="455"/>
      <c r="C18" s="2572"/>
      <c r="D18" s="449"/>
      <c r="E18" s="2574"/>
      <c r="F18" s="452"/>
      <c r="G18" s="2573"/>
      <c r="H18" s="447"/>
      <c r="I18" s="2574"/>
      <c r="J18" s="447"/>
      <c r="K18" s="614"/>
      <c r="L18" s="1142"/>
      <c r="M18" s="1133"/>
      <c r="N18" s="1133"/>
      <c r="O18" s="1141"/>
      <c r="P18" s="3301"/>
      <c r="Q18" s="1812"/>
      <c r="R18" s="773"/>
      <c r="S18" s="774"/>
      <c r="T18" s="773"/>
      <c r="U18" s="774"/>
      <c r="V18" s="773"/>
      <c r="W18" s="774"/>
      <c r="X18" s="1815"/>
      <c r="Y18" s="3301"/>
      <c r="Z18" s="1816"/>
      <c r="AA18" s="1813">
        <v>1</v>
      </c>
      <c r="AB18" s="1813">
        <v>1</v>
      </c>
      <c r="AC18" s="1813">
        <v>1</v>
      </c>
    </row>
    <row r="19" spans="1:29" ht="15">
      <c r="A19" s="427"/>
      <c r="B19" s="450" t="s">
        <v>2659</v>
      </c>
      <c r="C19" s="2571">
        <f>估价对象房地状况!G5</f>
        <v>0</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301"/>
      <c r="Q19" s="1812" t="str">
        <f>B19</f>
        <v>公共配套设施</v>
      </c>
      <c r="R19" s="773" t="s">
        <v>17</v>
      </c>
      <c r="S19" s="774">
        <f>F19</f>
        <v>100</v>
      </c>
      <c r="T19" s="773" t="s">
        <v>17</v>
      </c>
      <c r="U19" s="774">
        <f>H19</f>
        <v>100</v>
      </c>
      <c r="V19" s="773" t="s">
        <v>17</v>
      </c>
      <c r="W19" s="774">
        <f>J19</f>
        <v>100</v>
      </c>
      <c r="X19" s="1815"/>
      <c r="Y19" s="3301"/>
      <c r="Z19" s="1816" t="str">
        <f>Q19</f>
        <v>公共配套设施</v>
      </c>
      <c r="AA19" s="1813">
        <f t="shared" si="3"/>
        <v>1</v>
      </c>
      <c r="AB19" s="1813">
        <f t="shared" si="4"/>
        <v>1</v>
      </c>
      <c r="AC19" s="1813">
        <f t="shared" si="5"/>
        <v>1</v>
      </c>
    </row>
    <row r="20" spans="1:29" ht="15">
      <c r="A20" s="427"/>
      <c r="B20" s="455"/>
      <c r="C20" s="446"/>
      <c r="D20" s="447"/>
      <c r="E20" s="2569"/>
      <c r="F20" s="448"/>
      <c r="G20" s="2568"/>
      <c r="H20" s="447"/>
      <c r="I20" s="2569"/>
      <c r="J20" s="447"/>
      <c r="K20" s="614"/>
      <c r="L20" s="1142"/>
      <c r="M20" s="1133"/>
      <c r="N20" s="1133"/>
      <c r="O20" s="1141"/>
      <c r="P20" s="3301"/>
      <c r="Q20" s="1812"/>
      <c r="R20" s="773"/>
      <c r="S20" s="774"/>
      <c r="T20" s="773"/>
      <c r="U20" s="774"/>
      <c r="V20" s="773"/>
      <c r="W20" s="774"/>
      <c r="X20" s="1815"/>
      <c r="Y20" s="3301"/>
      <c r="Z20" s="1816"/>
      <c r="AA20" s="1813">
        <v>1</v>
      </c>
      <c r="AB20" s="1813">
        <v>1</v>
      </c>
      <c r="AC20" s="1813">
        <v>1</v>
      </c>
    </row>
    <row r="21" spans="1:29" ht="15">
      <c r="A21" s="427"/>
      <c r="B21" s="1386" t="s">
        <v>2660</v>
      </c>
      <c r="C21" s="2571">
        <f>估价对象房地状况!G6</f>
        <v>0</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301"/>
      <c r="Q21" s="1812" t="str">
        <f>B21</f>
        <v>基础设施水平</v>
      </c>
      <c r="R21" s="773" t="s">
        <v>17</v>
      </c>
      <c r="S21" s="774">
        <f>F21</f>
        <v>100</v>
      </c>
      <c r="T21" s="773" t="s">
        <v>17</v>
      </c>
      <c r="U21" s="774">
        <f>H21</f>
        <v>100</v>
      </c>
      <c r="V21" s="773" t="s">
        <v>17</v>
      </c>
      <c r="W21" s="774">
        <f>J21</f>
        <v>100</v>
      </c>
      <c r="X21" s="1815"/>
      <c r="Y21" s="3301"/>
      <c r="Z21" s="1816" t="str">
        <f>Q21</f>
        <v>基础设施水平</v>
      </c>
      <c r="AA21" s="1813">
        <f t="shared" ref="AA21" si="8">D21/F21</f>
        <v>1</v>
      </c>
      <c r="AB21" s="1813">
        <f t="shared" ref="AB21" si="9">D21/H21</f>
        <v>1</v>
      </c>
      <c r="AC21" s="1813">
        <f t="shared" ref="AC21" si="10">D21/J21</f>
        <v>1</v>
      </c>
    </row>
    <row r="22" spans="1:29" ht="15">
      <c r="A22" s="427"/>
      <c r="B22" s="1386"/>
      <c r="C22" s="2572"/>
      <c r="D22" s="447"/>
      <c r="E22" s="446"/>
      <c r="F22" s="448"/>
      <c r="G22" s="446"/>
      <c r="H22" s="447"/>
      <c r="I22" s="446"/>
      <c r="J22" s="447"/>
      <c r="K22" s="1385"/>
      <c r="L22" s="1142"/>
      <c r="M22" s="1133"/>
      <c r="N22" s="1133"/>
      <c r="O22" s="1141"/>
      <c r="P22" s="3301"/>
      <c r="Q22" s="1812"/>
      <c r="R22" s="773"/>
      <c r="S22" s="774"/>
      <c r="T22" s="773"/>
      <c r="U22" s="774"/>
      <c r="V22" s="773"/>
      <c r="W22" s="774"/>
      <c r="X22" s="1815"/>
      <c r="Y22" s="3301"/>
      <c r="Z22" s="1816"/>
      <c r="AA22" s="1813">
        <v>1</v>
      </c>
      <c r="AB22" s="1813">
        <v>1</v>
      </c>
      <c r="AC22" s="1813">
        <v>1</v>
      </c>
    </row>
    <row r="23" spans="1:29" ht="15">
      <c r="A23" s="427"/>
      <c r="B23" s="450" t="s">
        <v>2661</v>
      </c>
      <c r="C23" s="2571">
        <f>估价对象房地状况!G7</f>
        <v>0</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301"/>
      <c r="Q23" s="1812" t="str">
        <f>B23</f>
        <v>环境质量</v>
      </c>
      <c r="R23" s="773" t="s">
        <v>17</v>
      </c>
      <c r="S23" s="774">
        <f>F23</f>
        <v>100</v>
      </c>
      <c r="T23" s="773" t="s">
        <v>17</v>
      </c>
      <c r="U23" s="774">
        <f>H23</f>
        <v>100</v>
      </c>
      <c r="V23" s="773" t="s">
        <v>17</v>
      </c>
      <c r="W23" s="774">
        <f>J23</f>
        <v>100</v>
      </c>
      <c r="X23" s="1815"/>
      <c r="Y23" s="3301"/>
      <c r="Z23" s="1816" t="str">
        <f>Q23</f>
        <v>环境质量</v>
      </c>
      <c r="AA23" s="1813">
        <f t="shared" si="3"/>
        <v>1</v>
      </c>
      <c r="AB23" s="1813">
        <f t="shared" si="4"/>
        <v>1</v>
      </c>
      <c r="AC23" s="1813">
        <f t="shared" si="5"/>
        <v>1</v>
      </c>
    </row>
    <row r="24" spans="1:29" ht="15">
      <c r="A24" s="427"/>
      <c r="B24" s="1386"/>
      <c r="C24" s="446"/>
      <c r="D24" s="447"/>
      <c r="E24" s="2569"/>
      <c r="F24" s="448"/>
      <c r="G24" s="2568"/>
      <c r="H24" s="447"/>
      <c r="I24" s="2569"/>
      <c r="J24" s="447"/>
      <c r="K24" s="614"/>
      <c r="L24" s="1142"/>
      <c r="M24" s="1133"/>
      <c r="N24" s="1133"/>
      <c r="O24" s="1141"/>
      <c r="P24" s="3301"/>
      <c r="Q24" s="1812"/>
      <c r="R24" s="773"/>
      <c r="S24" s="774"/>
      <c r="T24" s="773"/>
      <c r="U24" s="774"/>
      <c r="V24" s="773"/>
      <c r="W24" s="774"/>
      <c r="X24" s="1815"/>
      <c r="Y24" s="3301"/>
      <c r="Z24" s="1816"/>
      <c r="AA24" s="1813">
        <v>1</v>
      </c>
      <c r="AB24" s="1813">
        <v>1</v>
      </c>
      <c r="AC24" s="1813">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301"/>
      <c r="Q25" s="1812">
        <f>B25</f>
        <v>111</v>
      </c>
      <c r="R25" s="773" t="s">
        <v>17</v>
      </c>
      <c r="S25" s="774">
        <f>F25</f>
        <v>100</v>
      </c>
      <c r="T25" s="773" t="s">
        <v>17</v>
      </c>
      <c r="U25" s="774">
        <f>H25</f>
        <v>100</v>
      </c>
      <c r="V25" s="773" t="s">
        <v>17</v>
      </c>
      <c r="W25" s="774">
        <f>J25</f>
        <v>100</v>
      </c>
      <c r="X25" s="1815"/>
      <c r="Y25" s="3301"/>
      <c r="Z25" s="1816">
        <f>Q25</f>
        <v>111</v>
      </c>
      <c r="AA25" s="1813">
        <f t="shared" si="3"/>
        <v>1</v>
      </c>
      <c r="AB25" s="1813">
        <f t="shared" si="4"/>
        <v>1</v>
      </c>
      <c r="AC25" s="1813">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301"/>
      <c r="Q26" s="1812">
        <f t="shared" ref="Q26:Q40" si="11">B26</f>
        <v>111</v>
      </c>
      <c r="R26" s="773" t="s">
        <v>17</v>
      </c>
      <c r="S26" s="774">
        <f>F26</f>
        <v>100</v>
      </c>
      <c r="T26" s="773" t="s">
        <v>17</v>
      </c>
      <c r="U26" s="774">
        <f>H26</f>
        <v>100</v>
      </c>
      <c r="V26" s="773" t="s">
        <v>17</v>
      </c>
      <c r="W26" s="774">
        <f>J26</f>
        <v>100</v>
      </c>
      <c r="X26" s="1815"/>
      <c r="Y26" s="3301"/>
      <c r="Z26" s="1816">
        <f>Q26</f>
        <v>111</v>
      </c>
      <c r="AA26" s="1813">
        <f t="shared" si="3"/>
        <v>1</v>
      </c>
      <c r="AB26" s="1813">
        <f t="shared" si="4"/>
        <v>1</v>
      </c>
      <c r="AC26" s="1813">
        <f t="shared" si="5"/>
        <v>1</v>
      </c>
    </row>
    <row r="27" spans="1:29" s="117"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301"/>
      <c r="Q27" s="1797">
        <f t="shared" si="11"/>
        <v>111</v>
      </c>
      <c r="R27" s="769" t="s">
        <v>17</v>
      </c>
      <c r="S27" s="770">
        <f>F27</f>
        <v>100</v>
      </c>
      <c r="T27" s="769" t="s">
        <v>17</v>
      </c>
      <c r="U27" s="770">
        <f>H27</f>
        <v>100</v>
      </c>
      <c r="V27" s="769" t="s">
        <v>17</v>
      </c>
      <c r="W27" s="770">
        <f>J27</f>
        <v>100</v>
      </c>
      <c r="X27" s="771"/>
      <c r="Y27" s="3301"/>
      <c r="Z27" s="55">
        <f>Q27</f>
        <v>111</v>
      </c>
      <c r="AA27" s="1813">
        <f>D27/F27</f>
        <v>1</v>
      </c>
      <c r="AB27" s="1813">
        <f>D27/H27</f>
        <v>1</v>
      </c>
      <c r="AC27" s="1813">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301"/>
      <c r="Q28" s="1812">
        <f t="shared" si="11"/>
        <v>111</v>
      </c>
      <c r="R28" s="773" t="s">
        <v>17</v>
      </c>
      <c r="S28" s="774">
        <f t="shared" ref="S28:S40" si="12">F28</f>
        <v>100</v>
      </c>
      <c r="T28" s="773" t="s">
        <v>17</v>
      </c>
      <c r="U28" s="774">
        <f t="shared" ref="U28:U40" si="13">H28</f>
        <v>100</v>
      </c>
      <c r="V28" s="773" t="s">
        <v>17</v>
      </c>
      <c r="W28" s="774">
        <f t="shared" ref="W28:W40" si="14">J28</f>
        <v>100</v>
      </c>
      <c r="X28" s="1815"/>
      <c r="Y28" s="3301"/>
      <c r="Z28" s="1816">
        <f t="shared" ref="Z28:Z40" si="15">Q28</f>
        <v>111</v>
      </c>
      <c r="AA28" s="1813">
        <f t="shared" si="3"/>
        <v>1</v>
      </c>
      <c r="AB28" s="1813">
        <f t="shared" si="4"/>
        <v>1</v>
      </c>
      <c r="AC28" s="1813">
        <f t="shared" si="5"/>
        <v>1</v>
      </c>
    </row>
    <row r="29" spans="1:29" ht="15">
      <c r="A29" s="465" t="s">
        <v>2534</v>
      </c>
      <c r="B29" s="71" t="s">
        <v>2664</v>
      </c>
      <c r="C29" s="2643"/>
      <c r="D29" s="466">
        <v>100</v>
      </c>
      <c r="E29" s="2643"/>
      <c r="F29" s="460">
        <f>SUMIF(88:88,E29,89:89)-SUMIF(88:88,C29,89:89)+100</f>
        <v>100</v>
      </c>
      <c r="G29" s="2643"/>
      <c r="H29" s="434">
        <f>SUMIF(88:88,G29,89:89)-SUMIF(88:88,C29,89:89)+100</f>
        <v>100</v>
      </c>
      <c r="I29" s="2643"/>
      <c r="J29" s="466">
        <f>SUMIF(88:88,I29,89:89)-SUMIF(88:88,C29,89:89)+100</f>
        <v>100</v>
      </c>
      <c r="K29" s="611"/>
      <c r="L29" s="1142"/>
      <c r="M29" s="1133"/>
      <c r="N29" s="1133"/>
      <c r="O29" s="1141"/>
      <c r="P29" s="3411" t="s">
        <v>2536</v>
      </c>
      <c r="Q29" s="1812" t="str">
        <f t="shared" si="11"/>
        <v>建筑类型</v>
      </c>
      <c r="R29" s="773" t="s">
        <v>17</v>
      </c>
      <c r="S29" s="774">
        <f t="shared" si="12"/>
        <v>100</v>
      </c>
      <c r="T29" s="773" t="s">
        <v>17</v>
      </c>
      <c r="U29" s="774">
        <f t="shared" si="13"/>
        <v>100</v>
      </c>
      <c r="V29" s="773" t="s">
        <v>17</v>
      </c>
      <c r="W29" s="774">
        <f t="shared" si="14"/>
        <v>100</v>
      </c>
      <c r="X29" s="1815"/>
      <c r="Y29" s="3305" t="s">
        <v>2536</v>
      </c>
      <c r="Z29" s="1816" t="str">
        <f t="shared" si="15"/>
        <v>建筑类型</v>
      </c>
      <c r="AA29" s="1813">
        <f t="shared" si="3"/>
        <v>1</v>
      </c>
      <c r="AB29" s="1813">
        <f t="shared" si="4"/>
        <v>1</v>
      </c>
      <c r="AC29" s="1813">
        <f t="shared" si="5"/>
        <v>1</v>
      </c>
    </row>
    <row r="30" spans="1:29" s="470" customFormat="1" ht="15">
      <c r="A30" s="467"/>
      <c r="B30" s="421" t="s">
        <v>2537</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305"/>
      <c r="Q30" s="775" t="str">
        <f t="shared" si="11"/>
        <v>项目建筑规模</v>
      </c>
      <c r="R30" s="776" t="s">
        <v>17</v>
      </c>
      <c r="S30" s="777" t="e">
        <f t="shared" si="12"/>
        <v>#N/A</v>
      </c>
      <c r="T30" s="776" t="s">
        <v>17</v>
      </c>
      <c r="U30" s="777" t="e">
        <f t="shared" si="13"/>
        <v>#N/A</v>
      </c>
      <c r="V30" s="776" t="s">
        <v>17</v>
      </c>
      <c r="W30" s="777" t="e">
        <f t="shared" si="14"/>
        <v>#N/A</v>
      </c>
      <c r="X30" s="778"/>
      <c r="Y30" s="3305"/>
      <c r="Z30" s="779" t="str">
        <f t="shared" si="15"/>
        <v>项目建筑规模</v>
      </c>
      <c r="AA30" s="1813" t="e">
        <f t="shared" si="3"/>
        <v>#N/A</v>
      </c>
      <c r="AB30" s="1813" t="e">
        <f t="shared" si="4"/>
        <v>#N/A</v>
      </c>
      <c r="AC30" s="1813" t="e">
        <f t="shared" si="5"/>
        <v>#N/A</v>
      </c>
    </row>
    <row r="31" spans="1:29" ht="15">
      <c r="A31" s="471"/>
      <c r="B31" s="421" t="s">
        <v>2538</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305"/>
      <c r="Q31" s="1812" t="str">
        <f t="shared" si="11"/>
        <v>建筑结构</v>
      </c>
      <c r="R31" s="773" t="s">
        <v>17</v>
      </c>
      <c r="S31" s="774">
        <f t="shared" si="12"/>
        <v>100</v>
      </c>
      <c r="T31" s="773" t="s">
        <v>17</v>
      </c>
      <c r="U31" s="774">
        <f t="shared" si="13"/>
        <v>100</v>
      </c>
      <c r="V31" s="773" t="s">
        <v>17</v>
      </c>
      <c r="W31" s="774">
        <f t="shared" si="14"/>
        <v>100</v>
      </c>
      <c r="X31" s="1815"/>
      <c r="Y31" s="3305"/>
      <c r="Z31" s="1816" t="str">
        <f t="shared" si="15"/>
        <v>建筑结构</v>
      </c>
      <c r="AA31" s="1813">
        <f t="shared" si="3"/>
        <v>1</v>
      </c>
      <c r="AB31" s="1813">
        <f t="shared" si="4"/>
        <v>1</v>
      </c>
      <c r="AC31" s="1813">
        <f t="shared" si="5"/>
        <v>1</v>
      </c>
    </row>
    <row r="32" spans="1:29" ht="15">
      <c r="A32" s="471"/>
      <c r="B32" s="421" t="s">
        <v>2632</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305"/>
      <c r="Q32" s="1812" t="str">
        <f t="shared" si="11"/>
        <v>公共部分装修</v>
      </c>
      <c r="R32" s="773" t="s">
        <v>17</v>
      </c>
      <c r="S32" s="774">
        <f t="shared" si="12"/>
        <v>100</v>
      </c>
      <c r="T32" s="773" t="s">
        <v>17</v>
      </c>
      <c r="U32" s="774">
        <f t="shared" si="13"/>
        <v>100</v>
      </c>
      <c r="V32" s="773" t="s">
        <v>17</v>
      </c>
      <c r="W32" s="774">
        <f t="shared" si="14"/>
        <v>100</v>
      </c>
      <c r="X32" s="1815"/>
      <c r="Y32" s="3305"/>
      <c r="Z32" s="1816" t="str">
        <f t="shared" si="15"/>
        <v>公共部分装修</v>
      </c>
      <c r="AA32" s="1813">
        <f t="shared" si="3"/>
        <v>1</v>
      </c>
      <c r="AB32" s="1813">
        <f t="shared" si="4"/>
        <v>1</v>
      </c>
      <c r="AC32" s="1813">
        <f t="shared" si="5"/>
        <v>1</v>
      </c>
    </row>
    <row r="33" spans="1:29" ht="15">
      <c r="A33" s="471"/>
      <c r="B33" s="421" t="s">
        <v>2633</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305"/>
      <c r="Q33" s="1812" t="str">
        <f t="shared" si="11"/>
        <v>成新度</v>
      </c>
      <c r="R33" s="773" t="s">
        <v>17</v>
      </c>
      <c r="S33" s="774" t="e">
        <f t="shared" si="12"/>
        <v>#N/A</v>
      </c>
      <c r="T33" s="773" t="s">
        <v>17</v>
      </c>
      <c r="U33" s="774" t="e">
        <f t="shared" si="13"/>
        <v>#N/A</v>
      </c>
      <c r="V33" s="773" t="s">
        <v>17</v>
      </c>
      <c r="W33" s="774" t="e">
        <f t="shared" si="14"/>
        <v>#N/A</v>
      </c>
      <c r="X33" s="1815"/>
      <c r="Y33" s="3305"/>
      <c r="Z33" s="1816" t="str">
        <f t="shared" si="15"/>
        <v>成新度</v>
      </c>
      <c r="AA33" s="1813" t="e">
        <f t="shared" si="3"/>
        <v>#N/A</v>
      </c>
      <c r="AB33" s="1813" t="e">
        <f t="shared" si="4"/>
        <v>#N/A</v>
      </c>
      <c r="AC33" s="1813" t="e">
        <f t="shared" si="5"/>
        <v>#N/A</v>
      </c>
    </row>
    <row r="34" spans="1:29" s="117" customFormat="1" ht="15">
      <c r="A34" s="472"/>
      <c r="B34" s="421" t="s">
        <v>2666</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305"/>
      <c r="Q34" s="1797" t="str">
        <f t="shared" si="11"/>
        <v>物业管理</v>
      </c>
      <c r="R34" s="769" t="s">
        <v>17</v>
      </c>
      <c r="S34" s="770">
        <f t="shared" si="12"/>
        <v>100</v>
      </c>
      <c r="T34" s="769" t="s">
        <v>17</v>
      </c>
      <c r="U34" s="770">
        <f t="shared" si="13"/>
        <v>100</v>
      </c>
      <c r="V34" s="769" t="s">
        <v>17</v>
      </c>
      <c r="W34" s="770">
        <f t="shared" si="14"/>
        <v>100</v>
      </c>
      <c r="X34" s="771"/>
      <c r="Y34" s="3305"/>
      <c r="Z34" s="55" t="str">
        <f t="shared" si="15"/>
        <v>物业管理</v>
      </c>
      <c r="AA34" s="772">
        <f t="shared" si="3"/>
        <v>1</v>
      </c>
      <c r="AB34" s="772">
        <f t="shared" si="4"/>
        <v>1</v>
      </c>
      <c r="AC34" s="772">
        <f t="shared" si="5"/>
        <v>1</v>
      </c>
    </row>
    <row r="35" spans="1:29" ht="15">
      <c r="A35" s="471"/>
      <c r="B35" s="421" t="s">
        <v>2634</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305" t="s">
        <v>2536</v>
      </c>
      <c r="Q35" s="1812" t="str">
        <f t="shared" si="11"/>
        <v>市政基础设施</v>
      </c>
      <c r="R35" s="773" t="s">
        <v>17</v>
      </c>
      <c r="S35" s="774">
        <f t="shared" si="12"/>
        <v>100</v>
      </c>
      <c r="T35" s="773" t="s">
        <v>17</v>
      </c>
      <c r="U35" s="774">
        <f t="shared" si="13"/>
        <v>100</v>
      </c>
      <c r="V35" s="773" t="s">
        <v>17</v>
      </c>
      <c r="W35" s="774">
        <f t="shared" si="14"/>
        <v>100</v>
      </c>
      <c r="X35" s="1815"/>
      <c r="Y35" s="3305" t="s">
        <v>2536</v>
      </c>
      <c r="Z35" s="1816" t="str">
        <f t="shared" si="15"/>
        <v>市政基础设施</v>
      </c>
      <c r="AA35" s="1813">
        <f t="shared" si="3"/>
        <v>1</v>
      </c>
      <c r="AB35" s="1813">
        <f t="shared" si="4"/>
        <v>1</v>
      </c>
      <c r="AC35" s="1813">
        <f t="shared" si="5"/>
        <v>1</v>
      </c>
    </row>
    <row r="36" spans="1:29" ht="15">
      <c r="A36" s="471"/>
      <c r="B36" s="421" t="s">
        <v>2639</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305"/>
      <c r="Q36" s="1812" t="str">
        <f t="shared" si="11"/>
        <v>内部装修</v>
      </c>
      <c r="R36" s="773" t="s">
        <v>17</v>
      </c>
      <c r="S36" s="774">
        <f t="shared" si="12"/>
        <v>100</v>
      </c>
      <c r="T36" s="773" t="s">
        <v>17</v>
      </c>
      <c r="U36" s="774">
        <f t="shared" si="13"/>
        <v>100</v>
      </c>
      <c r="V36" s="773" t="s">
        <v>17</v>
      </c>
      <c r="W36" s="774">
        <f t="shared" si="14"/>
        <v>100</v>
      </c>
      <c r="X36" s="1815"/>
      <c r="Y36" s="3305"/>
      <c r="Z36" s="1816" t="str">
        <f t="shared" si="15"/>
        <v>内部装修</v>
      </c>
      <c r="AA36" s="1813">
        <f t="shared" si="3"/>
        <v>1</v>
      </c>
      <c r="AB36" s="1813">
        <f t="shared" si="4"/>
        <v>1</v>
      </c>
      <c r="AC36" s="1813">
        <f t="shared" si="5"/>
        <v>1</v>
      </c>
    </row>
    <row r="37" spans="1:29" ht="15">
      <c r="A37" s="471"/>
      <c r="B37" s="421" t="s">
        <v>2675</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305"/>
      <c r="Q37" s="1812" t="str">
        <f t="shared" si="11"/>
        <v>内部装修状况</v>
      </c>
      <c r="R37" s="773" t="s">
        <v>17</v>
      </c>
      <c r="S37" s="774">
        <f t="shared" si="12"/>
        <v>100</v>
      </c>
      <c r="T37" s="773" t="s">
        <v>17</v>
      </c>
      <c r="U37" s="774">
        <f t="shared" si="13"/>
        <v>100</v>
      </c>
      <c r="V37" s="773" t="s">
        <v>17</v>
      </c>
      <c r="W37" s="774">
        <f t="shared" si="14"/>
        <v>100</v>
      </c>
      <c r="X37" s="1815"/>
      <c r="Y37" s="3305"/>
      <c r="Z37" s="1816" t="str">
        <f t="shared" si="15"/>
        <v>内部装修状况</v>
      </c>
      <c r="AA37" s="1813">
        <f t="shared" si="3"/>
        <v>1</v>
      </c>
      <c r="AB37" s="1813">
        <f t="shared" si="4"/>
        <v>1</v>
      </c>
      <c r="AC37" s="1813">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305"/>
      <c r="Q38" s="775">
        <f t="shared" si="11"/>
        <v>111</v>
      </c>
      <c r="R38" s="776" t="s">
        <v>17</v>
      </c>
      <c r="S38" s="777">
        <f t="shared" si="12"/>
        <v>100</v>
      </c>
      <c r="T38" s="776" t="s">
        <v>17</v>
      </c>
      <c r="U38" s="777">
        <f t="shared" si="13"/>
        <v>100</v>
      </c>
      <c r="V38" s="776" t="s">
        <v>17</v>
      </c>
      <c r="W38" s="777">
        <f t="shared" si="14"/>
        <v>100</v>
      </c>
      <c r="X38" s="778"/>
      <c r="Y38" s="3305"/>
      <c r="Z38" s="779">
        <f t="shared" si="15"/>
        <v>111</v>
      </c>
      <c r="AA38" s="1813">
        <f t="shared" si="3"/>
        <v>1</v>
      </c>
      <c r="AB38" s="1813">
        <f t="shared" si="4"/>
        <v>1</v>
      </c>
      <c r="AC38" s="1813">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305"/>
      <c r="Q39" s="1812">
        <f t="shared" si="11"/>
        <v>111</v>
      </c>
      <c r="R39" s="773" t="s">
        <v>17</v>
      </c>
      <c r="S39" s="774">
        <f t="shared" si="12"/>
        <v>100</v>
      </c>
      <c r="T39" s="773" t="s">
        <v>17</v>
      </c>
      <c r="U39" s="774">
        <f t="shared" si="13"/>
        <v>100</v>
      </c>
      <c r="V39" s="773" t="s">
        <v>17</v>
      </c>
      <c r="W39" s="774">
        <f t="shared" si="14"/>
        <v>100</v>
      </c>
      <c r="X39" s="1815"/>
      <c r="Y39" s="3305"/>
      <c r="Z39" s="1816">
        <f t="shared" si="15"/>
        <v>111</v>
      </c>
      <c r="AA39" s="1813">
        <f t="shared" si="3"/>
        <v>1</v>
      </c>
      <c r="AB39" s="1813">
        <f t="shared" si="4"/>
        <v>1</v>
      </c>
      <c r="AC39" s="1813">
        <f t="shared" si="5"/>
        <v>1</v>
      </c>
    </row>
    <row r="40" spans="1:29" ht="15.75" thickBot="1">
      <c r="A40" s="477"/>
      <c r="B40" s="2566">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306"/>
      <c r="Q40" s="1812">
        <f t="shared" si="11"/>
        <v>111</v>
      </c>
      <c r="R40" s="773" t="s">
        <v>17</v>
      </c>
      <c r="S40" s="774">
        <f t="shared" si="12"/>
        <v>100</v>
      </c>
      <c r="T40" s="773" t="s">
        <v>17</v>
      </c>
      <c r="U40" s="774">
        <f t="shared" si="13"/>
        <v>100</v>
      </c>
      <c r="V40" s="773" t="s">
        <v>17</v>
      </c>
      <c r="W40" s="774">
        <f t="shared" si="14"/>
        <v>100</v>
      </c>
      <c r="X40" s="1815"/>
      <c r="Y40" s="3306"/>
      <c r="Z40" s="1816">
        <f t="shared" si="15"/>
        <v>111</v>
      </c>
      <c r="AA40" s="1813">
        <f t="shared" si="3"/>
        <v>1</v>
      </c>
      <c r="AB40" s="1813">
        <f t="shared" si="4"/>
        <v>1</v>
      </c>
      <c r="AC40" s="1813">
        <f t="shared" si="5"/>
        <v>1</v>
      </c>
    </row>
    <row r="41" spans="1:29" ht="15">
      <c r="A41" s="478" t="s">
        <v>2548</v>
      </c>
      <c r="B41" s="479"/>
      <c r="C41" s="1409" t="s">
        <v>1</v>
      </c>
      <c r="D41" s="1410"/>
      <c r="E41" s="1411"/>
      <c r="F41" s="1412"/>
      <c r="G41" s="1413"/>
      <c r="H41" s="1414"/>
      <c r="I41" s="1411"/>
      <c r="J41" s="1414"/>
      <c r="K41" s="782"/>
      <c r="L41" s="1145"/>
      <c r="M41" s="1146"/>
      <c r="N41" s="1133"/>
      <c r="O41" s="1146"/>
      <c r="P41" s="3293" t="str">
        <f>A41</f>
        <v>成交单价（元/平方米）</v>
      </c>
      <c r="Q41" s="3293"/>
      <c r="R41" s="3294">
        <f>E41</f>
        <v>0</v>
      </c>
      <c r="S41" s="3294"/>
      <c r="T41" s="3294">
        <f>G41</f>
        <v>0</v>
      </c>
      <c r="U41" s="3294"/>
      <c r="V41" s="3294">
        <f>I41</f>
        <v>0</v>
      </c>
      <c r="W41" s="3294"/>
      <c r="X41" s="758"/>
      <c r="Y41" s="780"/>
      <c r="Z41" s="758"/>
      <c r="AA41" s="758"/>
      <c r="AB41" s="758"/>
      <c r="AC41" s="758"/>
    </row>
    <row r="42" spans="1:29" ht="15.75" thickBot="1">
      <c r="A42" s="485" t="s">
        <v>2640</v>
      </c>
      <c r="B42" s="486"/>
      <c r="C42" s="1415" t="e">
        <f>R43</f>
        <v>#DIV/0!</v>
      </c>
      <c r="D42" s="1416"/>
      <c r="E42" s="1417" t="e">
        <f>R42</f>
        <v>#DIV/0!</v>
      </c>
      <c r="F42" s="1417"/>
      <c r="G42" s="1415" t="e">
        <f>T42</f>
        <v>#DIV/0!</v>
      </c>
      <c r="H42" s="1416"/>
      <c r="I42" s="1417" t="e">
        <f>V42</f>
        <v>#DIV/0!</v>
      </c>
      <c r="J42" s="1416"/>
      <c r="K42" s="783"/>
      <c r="L42" s="1145"/>
      <c r="M42" s="1146"/>
      <c r="N42" s="1133"/>
      <c r="O42" s="1146"/>
      <c r="P42" s="3293" t="str">
        <f>A42</f>
        <v>比较价值（元/平方米）</v>
      </c>
      <c r="Q42" s="3293"/>
      <c r="R42" s="3294" t="e">
        <f>IF(F1="售价",ROUND(PRODUCT(R41,AA7:AA40),0),ROUND(PRODUCT(R41,AA7:AA40),1))</f>
        <v>#DIV/0!</v>
      </c>
      <c r="S42" s="3294"/>
      <c r="T42" s="3294" t="e">
        <f>IF(F1="售价",ROUND(PRODUCT(T41,AB7:AB40),0),ROUND(PRODUCT(T41,AB7:AB40),1))</f>
        <v>#DIV/0!</v>
      </c>
      <c r="U42" s="3294"/>
      <c r="V42" s="3294" t="e">
        <f>IF(F1="售价",ROUND(PRODUCT(V41,AC7:AC40),0),ROUND(PRODUCT(V41,AC7:AC40),1))</f>
        <v>#DIV/0!</v>
      </c>
      <c r="W42" s="3294"/>
      <c r="X42" s="758"/>
      <c r="Y42" s="758"/>
      <c r="Z42" s="758"/>
      <c r="AA42" s="758"/>
      <c r="AB42" s="758"/>
      <c r="AC42" s="758"/>
    </row>
    <row r="43" spans="1:29" ht="15.75" thickBot="1">
      <c r="A43" s="491" t="s">
        <v>2641</v>
      </c>
      <c r="B43" s="492"/>
      <c r="C43" s="1419" t="e">
        <f>R43</f>
        <v>#DIV/0!</v>
      </c>
      <c r="D43" s="1419"/>
      <c r="E43" s="1419"/>
      <c r="F43" s="1419"/>
      <c r="G43" s="1419"/>
      <c r="H43" s="1419"/>
      <c r="I43" s="1419"/>
      <c r="J43" s="1419"/>
      <c r="K43" s="784"/>
      <c r="L43" s="1145"/>
      <c r="M43" s="1146"/>
      <c r="N43" s="1146"/>
      <c r="O43" s="1146"/>
      <c r="P43" s="3351" t="str">
        <f>A43</f>
        <v>估价对象XX用房的比较价值（楼面单价，元/平方米）</v>
      </c>
      <c r="Q43" s="3352"/>
      <c r="R43" s="3353" t="e">
        <f>IF(F1="售价",ROUND(AVERAGE(R42:V42),0),ROUND(AVERAGE(R42:V42),1))</f>
        <v>#DIV/0!</v>
      </c>
      <c r="S43" s="3353"/>
      <c r="T43" s="3353"/>
      <c r="U43" s="3353"/>
      <c r="V43" s="3353"/>
      <c r="W43" s="3353"/>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2642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2643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2644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2645</v>
      </c>
      <c r="B51" s="758"/>
      <c r="C51" s="763"/>
      <c r="D51" s="763"/>
      <c r="E51" s="763"/>
      <c r="F51" s="764"/>
      <c r="G51" s="764"/>
      <c r="H51" s="763"/>
      <c r="I51" s="763"/>
      <c r="J51" s="763"/>
      <c r="K51" s="1162"/>
      <c r="L51" s="1163"/>
      <c r="M51" s="1161"/>
      <c r="N51" s="1161"/>
      <c r="O51" s="1161"/>
      <c r="P51" s="502"/>
      <c r="Q51" s="503"/>
    </row>
    <row r="52" spans="1:17" s="507" customFormat="1" ht="15">
      <c r="A52" s="504" t="s">
        <v>2519</v>
      </c>
      <c r="B52" s="505"/>
      <c r="C52" s="1576" t="str">
        <f>YEAR(C7)&amp;"-"&amp;MONTH(C7)</f>
        <v>2018-10</v>
      </c>
      <c r="D52" s="1577">
        <f>EDATE(C52,-1)</f>
        <v>43344</v>
      </c>
      <c r="E52" s="1577">
        <f t="shared" ref="E52:O52" si="16">EDATE(D52,-1)</f>
        <v>43313</v>
      </c>
      <c r="F52" s="1577">
        <f t="shared" si="16"/>
        <v>43282</v>
      </c>
      <c r="G52" s="1577">
        <f t="shared" si="16"/>
        <v>43252</v>
      </c>
      <c r="H52" s="1577">
        <f t="shared" si="16"/>
        <v>43221</v>
      </c>
      <c r="I52" s="1577">
        <f t="shared" si="16"/>
        <v>43191</v>
      </c>
      <c r="J52" s="1577">
        <f t="shared" si="16"/>
        <v>43160</v>
      </c>
      <c r="K52" s="1577">
        <f t="shared" si="16"/>
        <v>43132</v>
      </c>
      <c r="L52" s="1577">
        <f t="shared" si="16"/>
        <v>43101</v>
      </c>
      <c r="M52" s="1577">
        <f t="shared" si="16"/>
        <v>43070</v>
      </c>
      <c r="N52" s="1577">
        <f t="shared" si="16"/>
        <v>43040</v>
      </c>
      <c r="O52" s="1577">
        <f t="shared" si="16"/>
        <v>43009</v>
      </c>
      <c r="P52" s="506"/>
    </row>
    <row r="53" spans="1:17" s="117" customFormat="1" ht="15">
      <c r="A53" s="508"/>
      <c r="B53" s="509"/>
      <c r="C53" s="1575">
        <v>100</v>
      </c>
      <c r="D53" s="511"/>
      <c r="E53" s="511"/>
      <c r="F53" s="511"/>
      <c r="G53" s="511"/>
      <c r="H53" s="511"/>
      <c r="I53" s="511"/>
      <c r="J53" s="511"/>
      <c r="K53" s="511"/>
      <c r="L53" s="511"/>
      <c r="M53" s="512"/>
      <c r="N53" s="511"/>
      <c r="O53" s="513"/>
      <c r="P53" s="503"/>
    </row>
    <row r="54" spans="1:17" s="117" customFormat="1" ht="15.75" thickBot="1">
      <c r="A54" s="514" t="s">
        <v>2556</v>
      </c>
      <c r="B54" s="515"/>
      <c r="C54" s="516"/>
      <c r="D54" s="517"/>
      <c r="E54" s="517"/>
      <c r="F54" s="517"/>
      <c r="G54" s="517"/>
      <c r="H54" s="517"/>
      <c r="I54" s="517"/>
      <c r="J54" s="517"/>
      <c r="K54" s="517"/>
      <c r="L54" s="517"/>
      <c r="M54" s="518"/>
      <c r="N54" s="517"/>
      <c r="O54" s="519"/>
      <c r="P54" s="503"/>
      <c r="Q54" s="503"/>
    </row>
    <row r="55" spans="1:17" s="117" customFormat="1" ht="15">
      <c r="A55" s="520" t="s">
        <v>2521</v>
      </c>
      <c r="B55" s="509"/>
      <c r="C55" s="521" t="s">
        <v>2623</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2559</v>
      </c>
      <c r="B57" s="527" t="s">
        <v>2525</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2528</v>
      </c>
      <c r="C59" s="538" t="s">
        <v>2560</v>
      </c>
      <c r="D59" s="538" t="s">
        <v>2561</v>
      </c>
      <c r="E59" s="538" t="s">
        <v>2562</v>
      </c>
      <c r="F59" s="538" t="s">
        <v>2563</v>
      </c>
      <c r="G59" s="538" t="s">
        <v>2564</v>
      </c>
      <c r="H59" s="538" t="s">
        <v>2565</v>
      </c>
      <c r="I59" s="538" t="s">
        <v>2566</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2529</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2530</v>
      </c>
      <c r="B70" s="527" t="s">
        <v>2676</v>
      </c>
      <c r="C70" s="572" t="s">
        <v>2568</v>
      </c>
      <c r="D70" s="572" t="s">
        <v>2569</v>
      </c>
      <c r="E70" s="572" t="s">
        <v>2570</v>
      </c>
      <c r="F70" s="572" t="s">
        <v>2571</v>
      </c>
      <c r="G70" s="572" t="s">
        <v>2572</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2573</v>
      </c>
      <c r="C72" s="577" t="s">
        <v>2568</v>
      </c>
      <c r="D72" s="577" t="s">
        <v>2569</v>
      </c>
      <c r="E72" s="577" t="s">
        <v>2570</v>
      </c>
      <c r="F72" s="577" t="s">
        <v>2571</v>
      </c>
      <c r="G72" s="577" t="s">
        <v>2572</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2574</v>
      </c>
      <c r="C74" s="577" t="s">
        <v>2568</v>
      </c>
      <c r="D74" s="577" t="s">
        <v>2569</v>
      </c>
      <c r="E74" s="577" t="s">
        <v>2570</v>
      </c>
      <c r="F74" s="577" t="s">
        <v>2571</v>
      </c>
      <c r="G74" s="577" t="s">
        <v>2572</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2660</v>
      </c>
      <c r="C76" s="659" t="s">
        <v>2646</v>
      </c>
      <c r="D76" s="659" t="s">
        <v>2647</v>
      </c>
      <c r="E76" s="659" t="s">
        <v>2648</v>
      </c>
      <c r="F76" s="659" t="s">
        <v>2649</v>
      </c>
      <c r="G76" s="659" t="s">
        <v>2650</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2669</v>
      </c>
      <c r="C78" s="577" t="s">
        <v>2568</v>
      </c>
      <c r="D78" s="577" t="s">
        <v>2569</v>
      </c>
      <c r="E78" s="577" t="s">
        <v>2570</v>
      </c>
      <c r="F78" s="577" t="s">
        <v>2571</v>
      </c>
      <c r="G78" s="577" t="s">
        <v>2572</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00"/>
      <c r="B87" s="568"/>
      <c r="C87" s="569"/>
      <c r="D87" s="569"/>
      <c r="E87" s="569"/>
      <c r="F87" s="569"/>
      <c r="G87" s="590"/>
      <c r="H87" s="590"/>
      <c r="I87" s="590"/>
      <c r="J87" s="590"/>
      <c r="K87" s="590"/>
      <c r="L87" s="590"/>
      <c r="M87" s="591"/>
      <c r="N87" s="1155"/>
      <c r="O87" s="1155"/>
      <c r="P87" s="45"/>
      <c r="Q87" s="503"/>
    </row>
    <row r="88" spans="1:17">
      <c r="A88" s="526" t="s">
        <v>2534</v>
      </c>
      <c r="B88" s="527" t="s">
        <v>2583</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2584</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2585</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2587</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2588</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2589</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2591</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2677</v>
      </c>
      <c r="C106" s="577" t="s">
        <v>2568</v>
      </c>
      <c r="D106" s="577" t="s">
        <v>2569</v>
      </c>
      <c r="E106" s="577" t="s">
        <v>2570</v>
      </c>
      <c r="F106" s="577" t="s">
        <v>2571</v>
      </c>
      <c r="G106" s="577" t="s">
        <v>2572</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00"/>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2678</v>
      </c>
      <c r="B1" s="1621"/>
      <c r="C1" s="1622" t="s">
        <v>2501</v>
      </c>
      <c r="D1" s="1623"/>
      <c r="E1" s="1624"/>
      <c r="F1" s="2548"/>
      <c r="G1" s="1625" t="s">
        <v>2614</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2298</v>
      </c>
      <c r="B2" s="1420" t="e">
        <f ca="1">IF(C2="——",IF(B37="元/平方米",ROUND(C39*D3/10000,0),ROUND(F3*C39/10000,0)),IF(B37="元/平方米",ROUND(C39*D3/10000,0),ROUND(F3*C39/10000,0))-D2)</f>
        <v>#DIV/0!</v>
      </c>
      <c r="C2" s="2550"/>
      <c r="D2" s="1126" t="e">
        <f ca="1">SUMIF(INDIRECT("'"&amp;F2&amp;"'"&amp;"!A:A"),"承租人权益价值",INDIRECT("'"&amp;F2&amp;"'"&amp;"!c:c"))</f>
        <v>#REF!</v>
      </c>
      <c r="E2" s="2551" t="s">
        <v>2299</v>
      </c>
      <c r="F2" s="2552"/>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2300</v>
      </c>
      <c r="B3" s="608" t="e">
        <f ca="1">IF(AND(C2="——",B37="元/平方米"),C39,ROUND(B2*10000/D3,0))</f>
        <v>#DIV/0!</v>
      </c>
      <c r="C3" s="399" t="s">
        <v>2615</v>
      </c>
      <c r="D3" s="398">
        <f>SUMIF('数据-汇总表'!$C19:$C33,D1,'数据-汇总表'!$E19:$E33)</f>
        <v>0</v>
      </c>
      <c r="E3" s="399" t="s">
        <v>2679</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2616</v>
      </c>
      <c r="B4" s="401"/>
      <c r="C4" s="3310" t="s">
        <v>2617</v>
      </c>
      <c r="D4" s="3311"/>
      <c r="E4" s="3312" t="s">
        <v>2618</v>
      </c>
      <c r="F4" s="3313"/>
      <c r="G4" s="3310" t="s">
        <v>2619</v>
      </c>
      <c r="H4" s="3311"/>
      <c r="I4" s="3310" t="s">
        <v>2620</v>
      </c>
      <c r="J4" s="3311"/>
      <c r="K4" s="609" t="s">
        <v>2621</v>
      </c>
      <c r="L4" s="1132"/>
      <c r="M4" s="1133"/>
      <c r="N4" s="1133"/>
      <c r="O4" s="1133"/>
      <c r="P4" s="3355" t="s">
        <v>2622</v>
      </c>
      <c r="Q4" s="3356"/>
      <c r="R4" s="3359" t="s">
        <v>2618</v>
      </c>
      <c r="S4" s="3360"/>
      <c r="T4" s="3359" t="s">
        <v>2619</v>
      </c>
      <c r="U4" s="3360"/>
      <c r="V4" s="3327" t="s">
        <v>2620</v>
      </c>
      <c r="W4" s="3327"/>
      <c r="X4" s="1815"/>
      <c r="Y4" s="3359" t="s">
        <v>2622</v>
      </c>
      <c r="Z4" s="3360"/>
      <c r="AA4" s="3354" t="s">
        <v>2618</v>
      </c>
      <c r="AB4" s="3339" t="s">
        <v>2619</v>
      </c>
      <c r="AC4" s="3354" t="s">
        <v>2620</v>
      </c>
    </row>
    <row r="5" spans="1:29" ht="15">
      <c r="A5" s="403"/>
      <c r="B5" s="404"/>
      <c r="C5" s="3363" t="s">
        <v>2513</v>
      </c>
      <c r="D5" s="3364"/>
      <c r="E5" s="3367" t="s">
        <v>2514</v>
      </c>
      <c r="F5" s="3368"/>
      <c r="G5" s="3363" t="s">
        <v>2515</v>
      </c>
      <c r="H5" s="3364"/>
      <c r="I5" s="3363" t="s">
        <v>2516</v>
      </c>
      <c r="J5" s="3364"/>
      <c r="K5" s="609"/>
      <c r="L5" s="1132"/>
      <c r="M5" s="1133"/>
      <c r="N5" s="1133"/>
      <c r="O5" s="1133"/>
      <c r="P5" s="3357"/>
      <c r="Q5" s="3317"/>
      <c r="R5" s="3322"/>
      <c r="S5" s="3323"/>
      <c r="T5" s="3322"/>
      <c r="U5" s="3323"/>
      <c r="V5" s="3327"/>
      <c r="W5" s="3327"/>
      <c r="X5" s="1815"/>
      <c r="Y5" s="3322"/>
      <c r="Z5" s="3323"/>
      <c r="AA5" s="3339"/>
      <c r="AB5" s="3339"/>
      <c r="AC5" s="3339"/>
    </row>
    <row r="6" spans="1:29" ht="15.75" thickBot="1">
      <c r="A6" s="405"/>
      <c r="B6" s="406"/>
      <c r="C6" s="3361" t="s">
        <v>2517</v>
      </c>
      <c r="D6" s="3362"/>
      <c r="E6" s="3365" t="s">
        <v>2517</v>
      </c>
      <c r="F6" s="3366"/>
      <c r="G6" s="3361" t="s">
        <v>2517</v>
      </c>
      <c r="H6" s="3362"/>
      <c r="I6" s="3361" t="s">
        <v>2517</v>
      </c>
      <c r="J6" s="3362"/>
      <c r="K6" s="609" t="s">
        <v>2518</v>
      </c>
      <c r="L6" s="1132"/>
      <c r="M6" s="1133"/>
      <c r="N6" s="1133"/>
      <c r="O6" s="1133"/>
      <c r="P6" s="3358"/>
      <c r="Q6" s="3319"/>
      <c r="R6" s="3322"/>
      <c r="S6" s="3323"/>
      <c r="T6" s="3324"/>
      <c r="U6" s="3325"/>
      <c r="V6" s="3327"/>
      <c r="W6" s="3327"/>
      <c r="X6" s="1815"/>
      <c r="Y6" s="3324"/>
      <c r="Z6" s="3325"/>
      <c r="AA6" s="3340"/>
      <c r="AB6" s="3340"/>
      <c r="AC6" s="3340"/>
    </row>
    <row r="7" spans="1:29" s="117" customFormat="1" ht="15.75" thickBot="1">
      <c r="A7" s="407" t="s">
        <v>2519</v>
      </c>
      <c r="B7" s="408"/>
      <c r="C7" s="409">
        <f>'数据-取费表'!B2</f>
        <v>43395</v>
      </c>
      <c r="D7" s="410">
        <v>100</v>
      </c>
      <c r="E7" s="411"/>
      <c r="F7" s="412">
        <f>SUMIF(48:48,YEAR(E7)&amp;"-"&amp;MONTH(E7),49:49)</f>
        <v>0</v>
      </c>
      <c r="G7" s="411"/>
      <c r="H7" s="410">
        <f>SUMIF(48:48,YEAR(G7)&amp;"-"&amp;MONTH(G7),49:49)</f>
        <v>0</v>
      </c>
      <c r="I7" s="411"/>
      <c r="J7" s="410">
        <f>SUMIF(48:48,YEAR(I7)&amp;"-"&amp;MONTH(I7),49:49)</f>
        <v>0</v>
      </c>
      <c r="K7" s="610"/>
      <c r="L7" s="1134"/>
      <c r="M7" s="1135"/>
      <c r="N7" s="1135"/>
      <c r="O7" s="1135"/>
      <c r="P7" s="3334" t="s">
        <v>2520</v>
      </c>
      <c r="Q7" s="3335"/>
      <c r="R7" s="769" t="s">
        <v>17</v>
      </c>
      <c r="S7" s="770">
        <f t="shared" ref="S7:S14" si="0">F7</f>
        <v>0</v>
      </c>
      <c r="T7" s="769" t="s">
        <v>17</v>
      </c>
      <c r="U7" s="770">
        <f t="shared" ref="U7:U14" si="1">H7</f>
        <v>0</v>
      </c>
      <c r="V7" s="769" t="s">
        <v>17</v>
      </c>
      <c r="W7" s="770">
        <f t="shared" ref="W7:W14" si="2">J7</f>
        <v>0</v>
      </c>
      <c r="X7" s="771"/>
      <c r="Y7" s="3334" t="s">
        <v>2520</v>
      </c>
      <c r="Z7" s="3333"/>
      <c r="AA7" s="772" t="e">
        <f>D7/F7</f>
        <v>#DIV/0!</v>
      </c>
      <c r="AB7" s="772" t="e">
        <f>D7/H7</f>
        <v>#DIV/0!</v>
      </c>
      <c r="AC7" s="772" t="e">
        <f>D7/J7</f>
        <v>#DIV/0!</v>
      </c>
    </row>
    <row r="8" spans="1:29" s="117" customFormat="1" ht="15.75" thickBot="1">
      <c r="A8" s="407" t="s">
        <v>2521</v>
      </c>
      <c r="B8" s="408"/>
      <c r="C8" s="413" t="s">
        <v>2623</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334" t="s">
        <v>2523</v>
      </c>
      <c r="Q8" s="3333"/>
      <c r="R8" s="769" t="s">
        <v>17</v>
      </c>
      <c r="S8" s="770">
        <f t="shared" si="0"/>
        <v>0</v>
      </c>
      <c r="T8" s="769" t="s">
        <v>17</v>
      </c>
      <c r="U8" s="770">
        <f t="shared" si="1"/>
        <v>0</v>
      </c>
      <c r="V8" s="769" t="s">
        <v>17</v>
      </c>
      <c r="W8" s="770">
        <f t="shared" si="2"/>
        <v>0</v>
      </c>
      <c r="X8" s="771"/>
      <c r="Y8" s="3334" t="s">
        <v>2523</v>
      </c>
      <c r="Z8" s="3333"/>
      <c r="AA8" s="772" t="e">
        <f t="shared" ref="AA8:AA36" si="3">D8/F8</f>
        <v>#DIV/0!</v>
      </c>
      <c r="AB8" s="772" t="e">
        <f t="shared" ref="AB8:AB36" si="4">D8/H8</f>
        <v>#DIV/0!</v>
      </c>
      <c r="AC8" s="772" t="e">
        <f t="shared" ref="AC8:AC36" si="5">D8/J8</f>
        <v>#DIV/0!</v>
      </c>
    </row>
    <row r="9" spans="1:29" s="117" customFormat="1">
      <c r="A9" s="68" t="s">
        <v>2524</v>
      </c>
      <c r="B9" s="639" t="s">
        <v>2525</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293" t="s">
        <v>2526</v>
      </c>
      <c r="Q9" s="1797" t="str">
        <f t="shared" ref="Q9:Q14" si="6">B9</f>
        <v>用途</v>
      </c>
      <c r="R9" s="769" t="s">
        <v>17</v>
      </c>
      <c r="S9" s="770">
        <f t="shared" si="0"/>
        <v>100</v>
      </c>
      <c r="T9" s="769" t="s">
        <v>17</v>
      </c>
      <c r="U9" s="770">
        <f t="shared" si="1"/>
        <v>100</v>
      </c>
      <c r="V9" s="769" t="s">
        <v>17</v>
      </c>
      <c r="W9" s="770">
        <f t="shared" si="2"/>
        <v>100</v>
      </c>
      <c r="X9" s="771"/>
      <c r="Y9" s="3150" t="s">
        <v>2527</v>
      </c>
      <c r="Z9" s="55" t="str">
        <f t="shared" ref="Z9:Z14" si="7">Q9</f>
        <v>用途</v>
      </c>
      <c r="AA9" s="772">
        <f t="shared" si="3"/>
        <v>1</v>
      </c>
      <c r="AB9" s="772">
        <f t="shared" si="4"/>
        <v>1</v>
      </c>
      <c r="AC9" s="772">
        <f t="shared" si="5"/>
        <v>1</v>
      </c>
    </row>
    <row r="10" spans="1:29" s="426" customFormat="1" ht="27">
      <c r="A10" s="640"/>
      <c r="B10" s="641" t="s">
        <v>2528</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293"/>
      <c r="Q10" s="1797" t="str">
        <f t="shared" si="6"/>
        <v>土地使用年限（年）</v>
      </c>
      <c r="R10" s="769" t="s">
        <v>17</v>
      </c>
      <c r="S10" s="770">
        <f t="shared" si="0"/>
        <v>100</v>
      </c>
      <c r="T10" s="769" t="s">
        <v>17</v>
      </c>
      <c r="U10" s="770">
        <f t="shared" si="1"/>
        <v>100</v>
      </c>
      <c r="V10" s="769" t="s">
        <v>17</v>
      </c>
      <c r="W10" s="770">
        <f t="shared" si="2"/>
        <v>100</v>
      </c>
      <c r="X10" s="771"/>
      <c r="Y10" s="3150"/>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293"/>
      <c r="Q11" s="1797">
        <f t="shared" si="6"/>
        <v>111</v>
      </c>
      <c r="R11" s="769" t="s">
        <v>17</v>
      </c>
      <c r="S11" s="770">
        <f t="shared" si="0"/>
        <v>100</v>
      </c>
      <c r="T11" s="769" t="s">
        <v>17</v>
      </c>
      <c r="U11" s="770">
        <f t="shared" si="1"/>
        <v>100</v>
      </c>
      <c r="V11" s="769" t="s">
        <v>17</v>
      </c>
      <c r="W11" s="770">
        <f t="shared" si="2"/>
        <v>100</v>
      </c>
      <c r="X11" s="771"/>
      <c r="Y11" s="3150"/>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293"/>
      <c r="Q12" s="1797">
        <f t="shared" si="6"/>
        <v>111</v>
      </c>
      <c r="R12" s="769" t="s">
        <v>17</v>
      </c>
      <c r="S12" s="770">
        <f t="shared" si="0"/>
        <v>100</v>
      </c>
      <c r="T12" s="769" t="s">
        <v>17</v>
      </c>
      <c r="U12" s="770">
        <f t="shared" si="1"/>
        <v>100</v>
      </c>
      <c r="V12" s="769" t="s">
        <v>17</v>
      </c>
      <c r="W12" s="770">
        <f t="shared" si="2"/>
        <v>100</v>
      </c>
      <c r="X12" s="771"/>
      <c r="Y12" s="3150"/>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293"/>
      <c r="Q13" s="1797">
        <f t="shared" si="6"/>
        <v>111</v>
      </c>
      <c r="R13" s="769" t="s">
        <v>17</v>
      </c>
      <c r="S13" s="770">
        <f t="shared" si="0"/>
        <v>100</v>
      </c>
      <c r="T13" s="769" t="s">
        <v>17</v>
      </c>
      <c r="U13" s="770">
        <f t="shared" si="1"/>
        <v>100</v>
      </c>
      <c r="V13" s="769" t="s">
        <v>17</v>
      </c>
      <c r="W13" s="770">
        <f t="shared" si="2"/>
        <v>100</v>
      </c>
      <c r="X13" s="771"/>
      <c r="Y13" s="3150"/>
      <c r="Z13" s="55">
        <f t="shared" si="7"/>
        <v>111</v>
      </c>
      <c r="AA13" s="772">
        <f t="shared" si="3"/>
        <v>1</v>
      </c>
      <c r="AB13" s="772">
        <f t="shared" si="4"/>
        <v>1</v>
      </c>
      <c r="AC13" s="772">
        <f t="shared" si="5"/>
        <v>1</v>
      </c>
    </row>
    <row r="14" spans="1:29" ht="15">
      <c r="A14" s="400" t="s">
        <v>2530</v>
      </c>
      <c r="B14" s="628" t="s">
        <v>2680</v>
      </c>
      <c r="C14" s="2657" t="str">
        <f>IF(B1="工业",估价对象房地状况!G4,估价对象房地状况!C6)</f>
        <v>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300" t="s">
        <v>2531</v>
      </c>
      <c r="Q14" s="1812" t="str">
        <f t="shared" si="6"/>
        <v>交通便捷度</v>
      </c>
      <c r="R14" s="773" t="s">
        <v>17</v>
      </c>
      <c r="S14" s="774">
        <f t="shared" si="0"/>
        <v>100</v>
      </c>
      <c r="T14" s="773" t="s">
        <v>17</v>
      </c>
      <c r="U14" s="774">
        <f t="shared" si="1"/>
        <v>100</v>
      </c>
      <c r="V14" s="773" t="s">
        <v>17</v>
      </c>
      <c r="W14" s="774">
        <f t="shared" si="2"/>
        <v>100</v>
      </c>
      <c r="X14" s="1815"/>
      <c r="Y14" s="3300" t="s">
        <v>2531</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2"/>
      <c r="M15" s="1133"/>
      <c r="N15" s="1133"/>
      <c r="O15" s="1133"/>
      <c r="P15" s="3301"/>
      <c r="Q15" s="1812"/>
      <c r="R15" s="773"/>
      <c r="S15" s="774"/>
      <c r="T15" s="773"/>
      <c r="U15" s="774"/>
      <c r="V15" s="773"/>
      <c r="W15" s="774"/>
      <c r="X15" s="1815"/>
      <c r="Y15" s="3301"/>
      <c r="Z15" s="1816"/>
      <c r="AA15" s="1813">
        <v>1</v>
      </c>
      <c r="AB15" s="1813">
        <v>1</v>
      </c>
      <c r="AC15" s="1813">
        <v>1</v>
      </c>
    </row>
    <row r="16" spans="1:29" ht="15">
      <c r="A16" s="403"/>
      <c r="B16" s="630" t="s">
        <v>2659</v>
      </c>
      <c r="C16" s="2571" t="str">
        <f>IF(B1="工业",估价对象房地状况!G5,估价对象房地状况!C7)</f>
        <v>好</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301"/>
      <c r="Q16" s="1812" t="str">
        <f>B16</f>
        <v>公共配套设施</v>
      </c>
      <c r="R16" s="773" t="s">
        <v>17</v>
      </c>
      <c r="S16" s="774">
        <f>F16</f>
        <v>100</v>
      </c>
      <c r="T16" s="773" t="s">
        <v>17</v>
      </c>
      <c r="U16" s="774">
        <f>H16</f>
        <v>100</v>
      </c>
      <c r="V16" s="773" t="s">
        <v>17</v>
      </c>
      <c r="W16" s="774">
        <f>J16</f>
        <v>100</v>
      </c>
      <c r="X16" s="1815"/>
      <c r="Y16" s="3301"/>
      <c r="Z16" s="1816" t="str">
        <f>Q16</f>
        <v>公共配套设施</v>
      </c>
      <c r="AA16" s="1813">
        <f t="shared" si="3"/>
        <v>1</v>
      </c>
      <c r="AB16" s="1813">
        <f t="shared" si="4"/>
        <v>1</v>
      </c>
      <c r="AC16" s="1813">
        <f t="shared" si="5"/>
        <v>1</v>
      </c>
    </row>
    <row r="17" spans="1:29" ht="15">
      <c r="A17" s="403"/>
      <c r="B17" s="631"/>
      <c r="C17" s="2572"/>
      <c r="D17" s="447"/>
      <c r="E17" s="446"/>
      <c r="F17" s="448"/>
      <c r="G17" s="446"/>
      <c r="H17" s="447"/>
      <c r="I17" s="446"/>
      <c r="J17" s="447"/>
      <c r="K17" s="614"/>
      <c r="L17" s="1142"/>
      <c r="M17" s="1133"/>
      <c r="N17" s="1133"/>
      <c r="O17" s="1133"/>
      <c r="P17" s="3301"/>
      <c r="Q17" s="1812"/>
      <c r="R17" s="773"/>
      <c r="S17" s="774"/>
      <c r="T17" s="773"/>
      <c r="U17" s="774"/>
      <c r="V17" s="773"/>
      <c r="W17" s="774"/>
      <c r="X17" s="1815"/>
      <c r="Y17" s="3301"/>
      <c r="Z17" s="1816"/>
      <c r="AA17" s="1813">
        <v>1</v>
      </c>
      <c r="AB17" s="1813">
        <v>1</v>
      </c>
      <c r="AC17" s="1813">
        <v>1</v>
      </c>
    </row>
    <row r="18" spans="1:29" ht="15">
      <c r="A18" s="403"/>
      <c r="B18" s="632" t="s">
        <v>2660</v>
      </c>
      <c r="C18" s="2571" t="str">
        <f>IF(B1="工业",估价对象房地状况!G6,估价对象房地状况!C8)</f>
        <v>七通</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301"/>
      <c r="Q18" s="1812" t="str">
        <f>B18</f>
        <v>基础设施水平</v>
      </c>
      <c r="R18" s="773" t="s">
        <v>17</v>
      </c>
      <c r="S18" s="774">
        <f>F18</f>
        <v>100</v>
      </c>
      <c r="T18" s="773" t="s">
        <v>17</v>
      </c>
      <c r="U18" s="774">
        <f>H18</f>
        <v>100</v>
      </c>
      <c r="V18" s="773" t="s">
        <v>17</v>
      </c>
      <c r="W18" s="774">
        <f>J18</f>
        <v>100</v>
      </c>
      <c r="X18" s="1815"/>
      <c r="Y18" s="3301"/>
      <c r="Z18" s="1816" t="str">
        <f>Q18</f>
        <v>基础设施水平</v>
      </c>
      <c r="AA18" s="1813">
        <f t="shared" ref="AA18" si="8">D18/F18</f>
        <v>1</v>
      </c>
      <c r="AB18" s="1813">
        <f t="shared" ref="AB18" si="9">D18/H18</f>
        <v>1</v>
      </c>
      <c r="AC18" s="1813">
        <f t="shared" ref="AC18" si="10">D18/J18</f>
        <v>1</v>
      </c>
    </row>
    <row r="19" spans="1:29" ht="15">
      <c r="A19" s="403"/>
      <c r="B19" s="632"/>
      <c r="C19" s="2572"/>
      <c r="D19" s="449"/>
      <c r="E19" s="2572"/>
      <c r="F19" s="452"/>
      <c r="G19" s="2572"/>
      <c r="H19" s="447"/>
      <c r="I19" s="446"/>
      <c r="J19" s="447"/>
      <c r="K19" s="1385"/>
      <c r="L19" s="1142"/>
      <c r="M19" s="1133"/>
      <c r="N19" s="1133"/>
      <c r="O19" s="1133"/>
      <c r="P19" s="3301"/>
      <c r="Q19" s="1812"/>
      <c r="R19" s="773"/>
      <c r="S19" s="774"/>
      <c r="T19" s="773"/>
      <c r="U19" s="774"/>
      <c r="V19" s="773"/>
      <c r="W19" s="774"/>
      <c r="X19" s="1815"/>
      <c r="Y19" s="3301"/>
      <c r="Z19" s="1816"/>
      <c r="AA19" s="1813">
        <v>1</v>
      </c>
      <c r="AB19" s="1813">
        <v>1</v>
      </c>
      <c r="AC19" s="1813">
        <v>1</v>
      </c>
    </row>
    <row r="20" spans="1:29" ht="15">
      <c r="A20" s="403"/>
      <c r="B20" s="630" t="s">
        <v>2681</v>
      </c>
      <c r="C20" s="2571" t="str">
        <f>IF(B1="工业",估价对象房地状况!G7,估价对象房地状况!C9)</f>
        <v>好</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301"/>
      <c r="Q20" s="1812" t="str">
        <f>B20</f>
        <v>自然及人文环境</v>
      </c>
      <c r="R20" s="773" t="s">
        <v>17</v>
      </c>
      <c r="S20" s="774">
        <f>F20</f>
        <v>100</v>
      </c>
      <c r="T20" s="773" t="s">
        <v>17</v>
      </c>
      <c r="U20" s="774">
        <f>H20</f>
        <v>100</v>
      </c>
      <c r="V20" s="773" t="s">
        <v>17</v>
      </c>
      <c r="W20" s="774">
        <f>J20</f>
        <v>100</v>
      </c>
      <c r="X20" s="1815"/>
      <c r="Y20" s="3301"/>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2"/>
      <c r="M21" s="1133"/>
      <c r="N21" s="1133"/>
      <c r="O21" s="1133"/>
      <c r="P21" s="3301"/>
      <c r="Q21" s="1812"/>
      <c r="R21" s="773"/>
      <c r="S21" s="774"/>
      <c r="T21" s="773"/>
      <c r="U21" s="774"/>
      <c r="V21" s="773"/>
      <c r="W21" s="774"/>
      <c r="X21" s="1815"/>
      <c r="Y21" s="3301"/>
      <c r="Z21" s="1816"/>
      <c r="AA21" s="1813">
        <v>1</v>
      </c>
      <c r="AB21" s="1813">
        <v>1</v>
      </c>
      <c r="AC21" s="1813">
        <v>1</v>
      </c>
    </row>
    <row r="22" spans="1:29" ht="15">
      <c r="A22" s="403"/>
      <c r="B22" s="630" t="s">
        <v>2682</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301"/>
      <c r="Q22" s="1812" t="str">
        <f>B22</f>
        <v>楼层</v>
      </c>
      <c r="R22" s="773" t="s">
        <v>17</v>
      </c>
      <c r="S22" s="774">
        <f>F22</f>
        <v>100</v>
      </c>
      <c r="T22" s="773" t="s">
        <v>17</v>
      </c>
      <c r="U22" s="774">
        <f>H22</f>
        <v>100</v>
      </c>
      <c r="V22" s="773" t="s">
        <v>17</v>
      </c>
      <c r="W22" s="774">
        <f>J22</f>
        <v>100</v>
      </c>
      <c r="X22" s="1815"/>
      <c r="Y22" s="3301"/>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301"/>
      <c r="Q23" s="1812">
        <f>B23</f>
        <v>111</v>
      </c>
      <c r="R23" s="773" t="s">
        <v>17</v>
      </c>
      <c r="S23" s="774">
        <f>F23</f>
        <v>100</v>
      </c>
      <c r="T23" s="773" t="s">
        <v>17</v>
      </c>
      <c r="U23" s="774">
        <f>H23</f>
        <v>100</v>
      </c>
      <c r="V23" s="773" t="s">
        <v>17</v>
      </c>
      <c r="W23" s="774">
        <f>J23</f>
        <v>100</v>
      </c>
      <c r="X23" s="1815"/>
      <c r="Y23" s="3301"/>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301"/>
      <c r="Q24" s="1812">
        <f t="shared" ref="Q24:Q36" si="11">B24</f>
        <v>111</v>
      </c>
      <c r="R24" s="773" t="s">
        <v>17</v>
      </c>
      <c r="S24" s="774">
        <f>F24</f>
        <v>100</v>
      </c>
      <c r="T24" s="773" t="s">
        <v>17</v>
      </c>
      <c r="U24" s="774">
        <f>H24</f>
        <v>100</v>
      </c>
      <c r="V24" s="773" t="s">
        <v>17</v>
      </c>
      <c r="W24" s="774">
        <f>J24</f>
        <v>100</v>
      </c>
      <c r="X24" s="1815"/>
      <c r="Y24" s="3301"/>
      <c r="Z24" s="1816">
        <f>Q24</f>
        <v>111</v>
      </c>
      <c r="AA24" s="1813">
        <f t="shared" si="3"/>
        <v>1</v>
      </c>
      <c r="AB24" s="1813">
        <f t="shared" si="4"/>
        <v>1</v>
      </c>
      <c r="AC24" s="1813">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301"/>
      <c r="Q25" s="1797">
        <f t="shared" si="11"/>
        <v>111</v>
      </c>
      <c r="R25" s="769" t="s">
        <v>17</v>
      </c>
      <c r="S25" s="770">
        <f>F25</f>
        <v>100</v>
      </c>
      <c r="T25" s="769" t="s">
        <v>17</v>
      </c>
      <c r="U25" s="770">
        <f>H25</f>
        <v>100</v>
      </c>
      <c r="V25" s="769" t="s">
        <v>17</v>
      </c>
      <c r="W25" s="770">
        <f>J25</f>
        <v>100</v>
      </c>
      <c r="X25" s="771"/>
      <c r="Y25" s="3301"/>
      <c r="Z25" s="55">
        <f>Q25</f>
        <v>111</v>
      </c>
      <c r="AA25" s="1813">
        <f>D25/F25</f>
        <v>1</v>
      </c>
      <c r="AB25" s="1813">
        <f>D25/H25</f>
        <v>1</v>
      </c>
      <c r="AC25" s="1813">
        <f>D25/J25</f>
        <v>1</v>
      </c>
    </row>
    <row r="26" spans="1:29" ht="15">
      <c r="A26" s="651" t="s">
        <v>2534</v>
      </c>
      <c r="B26" s="70" t="s">
        <v>2683</v>
      </c>
      <c r="C26" s="2658">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411" t="s">
        <v>2536</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305" t="s">
        <v>2536</v>
      </c>
      <c r="Z26" s="1816" t="str">
        <f t="shared" ref="Z26:Z36" si="15">Q26</f>
        <v>配套类型</v>
      </c>
      <c r="AA26" s="1813">
        <f t="shared" si="3"/>
        <v>1</v>
      </c>
      <c r="AB26" s="1813">
        <f t="shared" si="4"/>
        <v>1</v>
      </c>
      <c r="AC26" s="1813">
        <f t="shared" si="5"/>
        <v>1</v>
      </c>
    </row>
    <row r="27" spans="1:29" s="470" customFormat="1" ht="15">
      <c r="A27" s="652"/>
      <c r="B27" s="653" t="s">
        <v>2684</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305"/>
      <c r="Q27" s="775" t="str">
        <f t="shared" si="11"/>
        <v>项目停车位配比</v>
      </c>
      <c r="R27" s="776" t="s">
        <v>17</v>
      </c>
      <c r="S27" s="777">
        <f t="shared" si="12"/>
        <v>100</v>
      </c>
      <c r="T27" s="776" t="s">
        <v>17</v>
      </c>
      <c r="U27" s="777">
        <f t="shared" si="13"/>
        <v>100</v>
      </c>
      <c r="V27" s="776" t="s">
        <v>17</v>
      </c>
      <c r="W27" s="777">
        <f t="shared" si="14"/>
        <v>100</v>
      </c>
      <c r="X27" s="778"/>
      <c r="Y27" s="3305"/>
      <c r="Z27" s="779" t="str">
        <f t="shared" si="15"/>
        <v>项目停车位配比</v>
      </c>
      <c r="AA27" s="1813">
        <f t="shared" si="3"/>
        <v>1</v>
      </c>
      <c r="AB27" s="1813">
        <f t="shared" si="4"/>
        <v>1</v>
      </c>
      <c r="AC27" s="1813">
        <f t="shared" si="5"/>
        <v>1</v>
      </c>
    </row>
    <row r="28" spans="1:29" ht="15">
      <c r="A28" s="655"/>
      <c r="B28" s="653" t="s">
        <v>2685</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305"/>
      <c r="Q28" s="1812" t="str">
        <f t="shared" si="11"/>
        <v>公共部分装修</v>
      </c>
      <c r="R28" s="773" t="s">
        <v>17</v>
      </c>
      <c r="S28" s="774">
        <f t="shared" si="12"/>
        <v>100</v>
      </c>
      <c r="T28" s="773" t="s">
        <v>17</v>
      </c>
      <c r="U28" s="774">
        <f t="shared" si="13"/>
        <v>100</v>
      </c>
      <c r="V28" s="773" t="s">
        <v>17</v>
      </c>
      <c r="W28" s="774">
        <f t="shared" si="14"/>
        <v>100</v>
      </c>
      <c r="X28" s="1815"/>
      <c r="Y28" s="3305"/>
      <c r="Z28" s="1816" t="str">
        <f t="shared" si="15"/>
        <v>公共部分装修</v>
      </c>
      <c r="AA28" s="1813">
        <f t="shared" si="3"/>
        <v>1</v>
      </c>
      <c r="AB28" s="1813">
        <f t="shared" si="4"/>
        <v>1</v>
      </c>
      <c r="AC28" s="1813">
        <f t="shared" si="5"/>
        <v>1</v>
      </c>
    </row>
    <row r="29" spans="1:29" ht="15">
      <c r="A29" s="655"/>
      <c r="B29" s="653" t="s">
        <v>2686</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305"/>
      <c r="Q29" s="1812" t="str">
        <f t="shared" si="11"/>
        <v>成新率</v>
      </c>
      <c r="R29" s="773" t="s">
        <v>17</v>
      </c>
      <c r="S29" s="774" t="e">
        <f t="shared" si="12"/>
        <v>#N/A</v>
      </c>
      <c r="T29" s="773" t="s">
        <v>17</v>
      </c>
      <c r="U29" s="774" t="e">
        <f t="shared" si="13"/>
        <v>#N/A</v>
      </c>
      <c r="V29" s="773" t="s">
        <v>17</v>
      </c>
      <c r="W29" s="774" t="e">
        <f t="shared" si="14"/>
        <v>#N/A</v>
      </c>
      <c r="X29" s="1815"/>
      <c r="Y29" s="3305"/>
      <c r="Z29" s="1816" t="str">
        <f t="shared" si="15"/>
        <v>成新率</v>
      </c>
      <c r="AA29" s="1813" t="e">
        <f t="shared" si="3"/>
        <v>#N/A</v>
      </c>
      <c r="AB29" s="1813" t="e">
        <f t="shared" si="4"/>
        <v>#N/A</v>
      </c>
      <c r="AC29" s="1813" t="e">
        <f t="shared" si="5"/>
        <v>#N/A</v>
      </c>
    </row>
    <row r="30" spans="1:29" ht="15">
      <c r="A30" s="655"/>
      <c r="B30" s="653" t="s">
        <v>2687</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305"/>
      <c r="Q30" s="1812" t="str">
        <f t="shared" si="11"/>
        <v>物业等级</v>
      </c>
      <c r="R30" s="773" t="s">
        <v>17</v>
      </c>
      <c r="S30" s="774">
        <f t="shared" si="12"/>
        <v>100</v>
      </c>
      <c r="T30" s="773" t="s">
        <v>17</v>
      </c>
      <c r="U30" s="774">
        <f t="shared" si="13"/>
        <v>100</v>
      </c>
      <c r="V30" s="773" t="s">
        <v>17</v>
      </c>
      <c r="W30" s="774">
        <f t="shared" si="14"/>
        <v>100</v>
      </c>
      <c r="X30" s="1815"/>
      <c r="Y30" s="3305"/>
      <c r="Z30" s="1816" t="str">
        <f t="shared" si="15"/>
        <v>物业等级</v>
      </c>
      <c r="AA30" s="1813">
        <f t="shared" si="3"/>
        <v>1</v>
      </c>
      <c r="AB30" s="1813">
        <f t="shared" si="4"/>
        <v>1</v>
      </c>
      <c r="AC30" s="1813">
        <f t="shared" si="5"/>
        <v>1</v>
      </c>
    </row>
    <row r="31" spans="1:29" s="117" customFormat="1" ht="15">
      <c r="A31" s="657"/>
      <c r="B31" s="653" t="s">
        <v>2688</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305"/>
      <c r="Q31" s="1797" t="str">
        <f t="shared" si="11"/>
        <v>停车位面积</v>
      </c>
      <c r="R31" s="769" t="s">
        <v>17</v>
      </c>
      <c r="S31" s="770" t="e">
        <f t="shared" si="12"/>
        <v>#N/A</v>
      </c>
      <c r="T31" s="769" t="s">
        <v>17</v>
      </c>
      <c r="U31" s="770" t="e">
        <f t="shared" si="13"/>
        <v>#N/A</v>
      </c>
      <c r="V31" s="769" t="s">
        <v>17</v>
      </c>
      <c r="W31" s="770" t="e">
        <f t="shared" si="14"/>
        <v>#N/A</v>
      </c>
      <c r="X31" s="771"/>
      <c r="Y31" s="3305"/>
      <c r="Z31" s="55" t="str">
        <f t="shared" si="15"/>
        <v>停车位面积</v>
      </c>
      <c r="AA31" s="772" t="e">
        <f t="shared" si="3"/>
        <v>#N/A</v>
      </c>
      <c r="AB31" s="772" t="e">
        <f t="shared" si="4"/>
        <v>#N/A</v>
      </c>
      <c r="AC31" s="772" t="e">
        <f t="shared" si="5"/>
        <v>#N/A</v>
      </c>
    </row>
    <row r="32" spans="1:29" ht="15">
      <c r="A32" s="655"/>
      <c r="B32" s="653" t="s">
        <v>2689</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305" t="s">
        <v>2536</v>
      </c>
      <c r="Q32" s="1812" t="str">
        <f t="shared" si="11"/>
        <v>车位类型</v>
      </c>
      <c r="R32" s="773" t="s">
        <v>17</v>
      </c>
      <c r="S32" s="774">
        <f t="shared" si="12"/>
        <v>100</v>
      </c>
      <c r="T32" s="773" t="s">
        <v>17</v>
      </c>
      <c r="U32" s="774">
        <f t="shared" si="13"/>
        <v>100</v>
      </c>
      <c r="V32" s="773" t="s">
        <v>17</v>
      </c>
      <c r="W32" s="774">
        <f t="shared" si="14"/>
        <v>100</v>
      </c>
      <c r="X32" s="1815"/>
      <c r="Y32" s="3305" t="s">
        <v>2536</v>
      </c>
      <c r="Z32" s="1816" t="str">
        <f t="shared" si="15"/>
        <v>车位类型</v>
      </c>
      <c r="AA32" s="1813">
        <f t="shared" si="3"/>
        <v>1</v>
      </c>
      <c r="AB32" s="1813">
        <f t="shared" si="4"/>
        <v>1</v>
      </c>
      <c r="AC32" s="1813">
        <f t="shared" si="5"/>
        <v>1</v>
      </c>
    </row>
    <row r="33" spans="1:29" ht="15">
      <c r="A33" s="655"/>
      <c r="B33" s="653" t="s">
        <v>2690</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305"/>
      <c r="Q33" s="1812" t="str">
        <f t="shared" si="11"/>
        <v>是否直接入户</v>
      </c>
      <c r="R33" s="773" t="s">
        <v>17</v>
      </c>
      <c r="S33" s="774">
        <f t="shared" si="12"/>
        <v>100</v>
      </c>
      <c r="T33" s="773" t="s">
        <v>17</v>
      </c>
      <c r="U33" s="774">
        <f t="shared" si="13"/>
        <v>100</v>
      </c>
      <c r="V33" s="773" t="s">
        <v>17</v>
      </c>
      <c r="W33" s="774">
        <f t="shared" si="14"/>
        <v>100</v>
      </c>
      <c r="X33" s="1815"/>
      <c r="Y33" s="3305"/>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305"/>
      <c r="Q34" s="1812">
        <f t="shared" si="11"/>
        <v>111</v>
      </c>
      <c r="R34" s="773" t="s">
        <v>17</v>
      </c>
      <c r="S34" s="774">
        <f t="shared" si="12"/>
        <v>100</v>
      </c>
      <c r="T34" s="773" t="s">
        <v>17</v>
      </c>
      <c r="U34" s="774">
        <f t="shared" si="13"/>
        <v>100</v>
      </c>
      <c r="V34" s="773" t="s">
        <v>17</v>
      </c>
      <c r="W34" s="774">
        <f t="shared" si="14"/>
        <v>100</v>
      </c>
      <c r="X34" s="1815"/>
      <c r="Y34" s="3305"/>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305"/>
      <c r="Q35" s="775">
        <f t="shared" si="11"/>
        <v>111</v>
      </c>
      <c r="R35" s="776" t="s">
        <v>17</v>
      </c>
      <c r="S35" s="777">
        <f t="shared" si="12"/>
        <v>100</v>
      </c>
      <c r="T35" s="776" t="s">
        <v>17</v>
      </c>
      <c r="U35" s="777">
        <f t="shared" si="13"/>
        <v>100</v>
      </c>
      <c r="V35" s="776" t="s">
        <v>17</v>
      </c>
      <c r="W35" s="777">
        <f t="shared" si="14"/>
        <v>100</v>
      </c>
      <c r="X35" s="778"/>
      <c r="Y35" s="3305"/>
      <c r="Z35" s="779">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305"/>
      <c r="Q36" s="1812">
        <f t="shared" si="11"/>
        <v>111</v>
      </c>
      <c r="R36" s="773" t="s">
        <v>17</v>
      </c>
      <c r="S36" s="774">
        <f t="shared" si="12"/>
        <v>100</v>
      </c>
      <c r="T36" s="773" t="s">
        <v>17</v>
      </c>
      <c r="U36" s="774">
        <f t="shared" si="13"/>
        <v>100</v>
      </c>
      <c r="V36" s="773" t="s">
        <v>17</v>
      </c>
      <c r="W36" s="774">
        <f t="shared" si="14"/>
        <v>100</v>
      </c>
      <c r="X36" s="1815"/>
      <c r="Y36" s="3305"/>
      <c r="Z36" s="1816">
        <f t="shared" si="15"/>
        <v>111</v>
      </c>
      <c r="AA36" s="1813">
        <f t="shared" si="3"/>
        <v>1</v>
      </c>
      <c r="AB36" s="1813">
        <f t="shared" si="4"/>
        <v>1</v>
      </c>
      <c r="AC36" s="1813">
        <f t="shared" si="5"/>
        <v>1</v>
      </c>
    </row>
    <row r="37" spans="1:29" ht="15">
      <c r="A37" s="478" t="s">
        <v>2691</v>
      </c>
      <c r="B37" s="2659" t="s">
        <v>2692</v>
      </c>
      <c r="C37" s="1409" t="s">
        <v>1</v>
      </c>
      <c r="D37" s="1410"/>
      <c r="E37" s="1411"/>
      <c r="F37" s="1412"/>
      <c r="G37" s="1413"/>
      <c r="H37" s="1414"/>
      <c r="I37" s="1411"/>
      <c r="J37" s="1414"/>
      <c r="K37" s="618"/>
      <c r="L37" s="1145"/>
      <c r="M37" s="1146"/>
      <c r="N37" s="1133"/>
      <c r="O37" s="1146"/>
      <c r="P37" s="3293" t="str">
        <f>A37</f>
        <v>成交单价</v>
      </c>
      <c r="Q37" s="3293"/>
      <c r="R37" s="3294">
        <f>E37</f>
        <v>0</v>
      </c>
      <c r="S37" s="3294"/>
      <c r="T37" s="3294">
        <f>G37</f>
        <v>0</v>
      </c>
      <c r="U37" s="3294"/>
      <c r="V37" s="3294">
        <f>I37</f>
        <v>0</v>
      </c>
      <c r="W37" s="3294"/>
      <c r="X37" s="758"/>
      <c r="Y37" s="780"/>
      <c r="Z37" s="758"/>
      <c r="AA37" s="758"/>
      <c r="AB37" s="758"/>
      <c r="AC37" s="758"/>
    </row>
    <row r="38" spans="1:29" ht="15.75" thickBot="1">
      <c r="A38" s="485" t="s">
        <v>2693</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293" t="str">
        <f>A38</f>
        <v>比较价值（元/平方米）</v>
      </c>
      <c r="Q38" s="3293"/>
      <c r="R38" s="3294" t="e">
        <f>IF(F1="售价",ROUND(PRODUCT(R37,AA7:AA36),0),ROUND(PRODUCT(R37,AA7:AA36),1))</f>
        <v>#DIV/0!</v>
      </c>
      <c r="S38" s="3294"/>
      <c r="T38" s="3294" t="e">
        <f>IF(F1="售价",ROUND(PRODUCT(T37,AB7:AB36),0),ROUND(PRODUCT(T37,AB7:AB36),1))</f>
        <v>#DIV/0!</v>
      </c>
      <c r="U38" s="3294"/>
      <c r="V38" s="3294" t="e">
        <f>IF(F1="售价",ROUND(PRODUCT(V37,AC7:AC36),0),ROUND(PRODUCT(V37,AC7:AC36),1))</f>
        <v>#DIV/0!</v>
      </c>
      <c r="W38" s="3294"/>
      <c r="X38" s="758"/>
      <c r="Y38" s="758"/>
      <c r="Z38" s="758"/>
      <c r="AA38" s="758"/>
      <c r="AB38" s="758"/>
      <c r="AC38" s="758"/>
    </row>
    <row r="39" spans="1:29" ht="15.75" thickBot="1">
      <c r="A39" s="491" t="s">
        <v>2694</v>
      </c>
      <c r="B39" s="492"/>
      <c r="C39" s="1419" t="e">
        <f>R39</f>
        <v>#DIV/0!</v>
      </c>
      <c r="D39" s="1419"/>
      <c r="E39" s="1419"/>
      <c r="F39" s="1419"/>
      <c r="G39" s="1419"/>
      <c r="H39" s="1419"/>
      <c r="I39" s="1419"/>
      <c r="J39" s="1419"/>
      <c r="K39" s="620"/>
      <c r="L39" s="1145"/>
      <c r="M39" s="1146"/>
      <c r="N39" s="1146"/>
      <c r="O39" s="1146"/>
      <c r="P39" s="3351" t="str">
        <f>A39</f>
        <v>估价对象XX用房的比较价值（楼面单价，元/平方米）</v>
      </c>
      <c r="Q39" s="3352"/>
      <c r="R39" s="3353" t="e">
        <f>IF(F1="售价",ROUND(AVERAGE(R38:V38),0),ROUND(AVERAGE(R38:V38),1))</f>
        <v>#DIV/0!</v>
      </c>
      <c r="S39" s="3353"/>
      <c r="T39" s="3353"/>
      <c r="U39" s="3353"/>
      <c r="V39" s="3353"/>
      <c r="W39" s="3353"/>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2695</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2696</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2697</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2698</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2699</v>
      </c>
      <c r="B48" s="505"/>
      <c r="C48" s="1576" t="str">
        <f>YEAR(C7)&amp;"-"&amp;MONTH(C7)</f>
        <v>2018-10</v>
      </c>
      <c r="D48" s="1577">
        <f>EDATE(C48,-1)</f>
        <v>43344</v>
      </c>
      <c r="E48" s="1577">
        <f t="shared" ref="E48:O48" si="16">EDATE(D48,-1)</f>
        <v>43313</v>
      </c>
      <c r="F48" s="1577">
        <f t="shared" si="16"/>
        <v>43282</v>
      </c>
      <c r="G48" s="1577">
        <f t="shared" si="16"/>
        <v>43252</v>
      </c>
      <c r="H48" s="1577">
        <f t="shared" si="16"/>
        <v>43221</v>
      </c>
      <c r="I48" s="1577">
        <f t="shared" si="16"/>
        <v>43191</v>
      </c>
      <c r="J48" s="1577">
        <f t="shared" si="16"/>
        <v>43160</v>
      </c>
      <c r="K48" s="1577">
        <f t="shared" si="16"/>
        <v>43132</v>
      </c>
      <c r="L48" s="1577">
        <f t="shared" si="16"/>
        <v>43101</v>
      </c>
      <c r="M48" s="1577">
        <f t="shared" si="16"/>
        <v>43070</v>
      </c>
      <c r="N48" s="1577">
        <f t="shared" si="16"/>
        <v>43040</v>
      </c>
      <c r="O48" s="1577">
        <f t="shared" si="16"/>
        <v>43009</v>
      </c>
      <c r="P48" s="1440"/>
      <c r="Q48" s="1441"/>
      <c r="R48" s="1441"/>
      <c r="S48" s="1441"/>
      <c r="T48" s="1441"/>
      <c r="U48" s="1441"/>
      <c r="V48" s="1441"/>
      <c r="W48" s="1441"/>
      <c r="X48" s="1441"/>
      <c r="Y48" s="1441"/>
      <c r="Z48" s="1441"/>
      <c r="AA48" s="1441"/>
      <c r="AB48" s="1441"/>
      <c r="AC48" s="1441"/>
    </row>
    <row r="49" spans="1:29" s="117"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7" customFormat="1" ht="15.75" thickBot="1">
      <c r="A50" s="514" t="s">
        <v>2556</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7" customFormat="1" ht="15">
      <c r="A51" s="520" t="s">
        <v>2521</v>
      </c>
      <c r="B51" s="509"/>
      <c r="C51" s="521" t="s">
        <v>2623</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7"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2559</v>
      </c>
      <c r="B53" s="527" t="s">
        <v>2525</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2528</v>
      </c>
      <c r="C55" s="538" t="s">
        <v>2560</v>
      </c>
      <c r="D55" s="538" t="s">
        <v>2561</v>
      </c>
      <c r="E55" s="538" t="s">
        <v>2562</v>
      </c>
      <c r="F55" s="538" t="s">
        <v>2563</v>
      </c>
      <c r="G55" s="538" t="s">
        <v>2564</v>
      </c>
      <c r="H55" s="538" t="s">
        <v>2565</v>
      </c>
      <c r="I55" s="538" t="s">
        <v>2566</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2530</v>
      </c>
      <c r="B63" s="527" t="s">
        <v>2573</v>
      </c>
      <c r="C63" s="572" t="s">
        <v>2568</v>
      </c>
      <c r="D63" s="572" t="s">
        <v>2569</v>
      </c>
      <c r="E63" s="572" t="s">
        <v>2570</v>
      </c>
      <c r="F63" s="572" t="s">
        <v>2571</v>
      </c>
      <c r="G63" s="572" t="s">
        <v>2572</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2574</v>
      </c>
      <c r="C65" s="577" t="s">
        <v>2568</v>
      </c>
      <c r="D65" s="577" t="s">
        <v>2569</v>
      </c>
      <c r="E65" s="577" t="s">
        <v>2570</v>
      </c>
      <c r="F65" s="577" t="s">
        <v>2571</v>
      </c>
      <c r="G65" s="577" t="s">
        <v>2572</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2660</v>
      </c>
      <c r="C67" s="659" t="s">
        <v>2646</v>
      </c>
      <c r="D67" s="659" t="s">
        <v>2647</v>
      </c>
      <c r="E67" s="659" t="s">
        <v>2648</v>
      </c>
      <c r="F67" s="659" t="s">
        <v>2649</v>
      </c>
      <c r="G67" s="659" t="s">
        <v>2650</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2580</v>
      </c>
      <c r="C69" s="577" t="s">
        <v>2568</v>
      </c>
      <c r="D69" s="577" t="s">
        <v>2569</v>
      </c>
      <c r="E69" s="577" t="s">
        <v>2570</v>
      </c>
      <c r="F69" s="577" t="s">
        <v>2571</v>
      </c>
      <c r="G69" s="577" t="s">
        <v>2572</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2700</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7"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7"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7"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2534</v>
      </c>
      <c r="B79" s="527" t="s">
        <v>2701</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2702</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2587</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2703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2704</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2705</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2706</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2707</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2678</v>
      </c>
      <c r="B1" s="1621"/>
      <c r="C1" s="1622" t="s">
        <v>2501</v>
      </c>
      <c r="D1" s="1623"/>
      <c r="E1" s="1632"/>
      <c r="F1" s="2548"/>
      <c r="G1" s="1633" t="s">
        <v>2614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2298</v>
      </c>
      <c r="B2" s="1420" t="e">
        <f ca="1">IF(C2="——",ROUND(C37*D3/10000,0),ROUND(C37*D3/10000,0)-D2)</f>
        <v>#DIV/0!</v>
      </c>
      <c r="C2" s="2550"/>
      <c r="D2" s="1126" t="e">
        <f ca="1">SUMIF(INDIRECT("'"&amp;F2&amp;"'"&amp;"!A:A"),"承租人权益价值",INDIRECT("'"&amp;F2&amp;"'"&amp;"!c:c"))</f>
        <v>#REF!</v>
      </c>
      <c r="E2" s="2551" t="s">
        <v>2299</v>
      </c>
      <c r="F2" s="2552"/>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2300</v>
      </c>
      <c r="B3" s="608" t="e">
        <f ca="1">IF(C2="——",C37,ROUND(B2*10000/D3,0))</f>
        <v>#DIV/0!</v>
      </c>
      <c r="C3" s="399" t="s">
        <v>2615</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2616</v>
      </c>
      <c r="B4" s="401"/>
      <c r="C4" s="3310" t="s">
        <v>2617</v>
      </c>
      <c r="D4" s="3311"/>
      <c r="E4" s="3312" t="s">
        <v>2618</v>
      </c>
      <c r="F4" s="3313"/>
      <c r="G4" s="3310" t="s">
        <v>2619</v>
      </c>
      <c r="H4" s="3311"/>
      <c r="I4" s="3310" t="s">
        <v>2620</v>
      </c>
      <c r="J4" s="3311"/>
      <c r="K4" s="609" t="s">
        <v>2621</v>
      </c>
      <c r="L4" s="1132"/>
      <c r="M4" s="1133"/>
      <c r="N4" s="1133"/>
      <c r="O4" s="1133"/>
      <c r="P4" s="3355" t="s">
        <v>2622</v>
      </c>
      <c r="Q4" s="3356"/>
      <c r="R4" s="3359" t="s">
        <v>2618</v>
      </c>
      <c r="S4" s="3360"/>
      <c r="T4" s="3359" t="s">
        <v>2619</v>
      </c>
      <c r="U4" s="3360"/>
      <c r="V4" s="3327" t="s">
        <v>2620</v>
      </c>
      <c r="W4" s="3327"/>
      <c r="X4" s="1815"/>
      <c r="Y4" s="3359" t="s">
        <v>2622</v>
      </c>
      <c r="Z4" s="3360"/>
      <c r="AA4" s="3354" t="s">
        <v>2618</v>
      </c>
      <c r="AB4" s="3339" t="s">
        <v>2619</v>
      </c>
      <c r="AC4" s="3354" t="s">
        <v>2620</v>
      </c>
    </row>
    <row r="5" spans="1:29" ht="15">
      <c r="A5" s="403"/>
      <c r="B5" s="404"/>
      <c r="C5" s="3363" t="s">
        <v>2513</v>
      </c>
      <c r="D5" s="3364"/>
      <c r="E5" s="3367" t="s">
        <v>2514</v>
      </c>
      <c r="F5" s="3368"/>
      <c r="G5" s="3363" t="s">
        <v>2515</v>
      </c>
      <c r="H5" s="3364"/>
      <c r="I5" s="3363" t="s">
        <v>2516</v>
      </c>
      <c r="J5" s="3364"/>
      <c r="K5" s="609"/>
      <c r="L5" s="1132"/>
      <c r="M5" s="1133"/>
      <c r="N5" s="1133"/>
      <c r="O5" s="1133"/>
      <c r="P5" s="3357"/>
      <c r="Q5" s="3317"/>
      <c r="R5" s="3322"/>
      <c r="S5" s="3323"/>
      <c r="T5" s="3322"/>
      <c r="U5" s="3323"/>
      <c r="V5" s="3327"/>
      <c r="W5" s="3327"/>
      <c r="X5" s="1815"/>
      <c r="Y5" s="3322"/>
      <c r="Z5" s="3323"/>
      <c r="AA5" s="3339"/>
      <c r="AB5" s="3339"/>
      <c r="AC5" s="3339"/>
    </row>
    <row r="6" spans="1:29" ht="15.75" thickBot="1">
      <c r="A6" s="405"/>
      <c r="B6" s="406"/>
      <c r="C6" s="3361" t="s">
        <v>2517</v>
      </c>
      <c r="D6" s="3362"/>
      <c r="E6" s="3365" t="s">
        <v>2517</v>
      </c>
      <c r="F6" s="3366"/>
      <c r="G6" s="3361" t="s">
        <v>2517</v>
      </c>
      <c r="H6" s="3362"/>
      <c r="I6" s="3361" t="s">
        <v>2517</v>
      </c>
      <c r="J6" s="3362"/>
      <c r="K6" s="609" t="s">
        <v>2518</v>
      </c>
      <c r="L6" s="1132"/>
      <c r="M6" s="1133"/>
      <c r="N6" s="1133"/>
      <c r="O6" s="1133"/>
      <c r="P6" s="3358"/>
      <c r="Q6" s="3319"/>
      <c r="R6" s="3322"/>
      <c r="S6" s="3323"/>
      <c r="T6" s="3324"/>
      <c r="U6" s="3325"/>
      <c r="V6" s="3327"/>
      <c r="W6" s="3327"/>
      <c r="X6" s="1815"/>
      <c r="Y6" s="3324"/>
      <c r="Z6" s="3325"/>
      <c r="AA6" s="3340"/>
      <c r="AB6" s="3340"/>
      <c r="AC6" s="3340"/>
    </row>
    <row r="7" spans="1:29" s="117" customFormat="1" ht="15.75" thickBot="1">
      <c r="A7" s="407" t="s">
        <v>2519</v>
      </c>
      <c r="B7" s="408"/>
      <c r="C7" s="409">
        <f>'数据-取费表'!B2</f>
        <v>43395</v>
      </c>
      <c r="D7" s="410">
        <v>100</v>
      </c>
      <c r="E7" s="411"/>
      <c r="F7" s="412">
        <f>SUMIF(46:46,YEAR(E7)&amp;"-"&amp;MONTH(E7),47:47)</f>
        <v>0</v>
      </c>
      <c r="G7" s="2660"/>
      <c r="H7" s="410">
        <f>SUMIF(46:46,YEAR(G7)&amp;"-"&amp;MONTH(G7),47:47)</f>
        <v>0</v>
      </c>
      <c r="I7" s="411"/>
      <c r="J7" s="410">
        <f>SUMIF(46:46,YEAR(I7)&amp;"-"&amp;MONTH(I7),47:47)</f>
        <v>0</v>
      </c>
      <c r="K7" s="610"/>
      <c r="L7" s="1134"/>
      <c r="M7" s="1135"/>
      <c r="N7" s="1135"/>
      <c r="O7" s="1135"/>
      <c r="P7" s="3334" t="s">
        <v>2520</v>
      </c>
      <c r="Q7" s="3335"/>
      <c r="R7" s="769" t="s">
        <v>17</v>
      </c>
      <c r="S7" s="770">
        <f t="shared" ref="S7:S14" si="0">F7</f>
        <v>0</v>
      </c>
      <c r="T7" s="769" t="s">
        <v>17</v>
      </c>
      <c r="U7" s="770">
        <f t="shared" ref="U7:U14" si="1">H7</f>
        <v>0</v>
      </c>
      <c r="V7" s="769" t="s">
        <v>17</v>
      </c>
      <c r="W7" s="770">
        <f t="shared" ref="W7:W14" si="2">J7</f>
        <v>0</v>
      </c>
      <c r="X7" s="771"/>
      <c r="Y7" s="3334" t="s">
        <v>2520</v>
      </c>
      <c r="Z7" s="3333"/>
      <c r="AA7" s="772" t="e">
        <f>D7/F7</f>
        <v>#DIV/0!</v>
      </c>
      <c r="AB7" s="772" t="e">
        <f>D7/H7</f>
        <v>#DIV/0!</v>
      </c>
      <c r="AC7" s="772" t="e">
        <f>D7/J7</f>
        <v>#DIV/0!</v>
      </c>
    </row>
    <row r="8" spans="1:29" s="117" customFormat="1" ht="15.75" thickBot="1">
      <c r="A8" s="407" t="s">
        <v>2521</v>
      </c>
      <c r="B8" s="408"/>
      <c r="C8" s="413" t="s">
        <v>2623</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334" t="s">
        <v>2523</v>
      </c>
      <c r="Q8" s="3333"/>
      <c r="R8" s="769" t="s">
        <v>17</v>
      </c>
      <c r="S8" s="770">
        <f t="shared" si="0"/>
        <v>0</v>
      </c>
      <c r="T8" s="769" t="s">
        <v>17</v>
      </c>
      <c r="U8" s="770">
        <f t="shared" si="1"/>
        <v>0</v>
      </c>
      <c r="V8" s="769" t="s">
        <v>17</v>
      </c>
      <c r="W8" s="770">
        <f t="shared" si="2"/>
        <v>0</v>
      </c>
      <c r="X8" s="771"/>
      <c r="Y8" s="3334" t="s">
        <v>2523</v>
      </c>
      <c r="Z8" s="3333"/>
      <c r="AA8" s="772" t="e">
        <f t="shared" ref="AA8:AA34" si="3">D8/F8</f>
        <v>#DIV/0!</v>
      </c>
      <c r="AB8" s="772" t="e">
        <f t="shared" ref="AB8:AB34" si="4">D8/H8</f>
        <v>#DIV/0!</v>
      </c>
      <c r="AC8" s="772" t="e">
        <f t="shared" ref="AC8:AC34" si="5">D8/J8</f>
        <v>#DIV/0!</v>
      </c>
    </row>
    <row r="9" spans="1:29" s="117" customFormat="1">
      <c r="A9" s="414" t="s">
        <v>2524</v>
      </c>
      <c r="B9" s="71" t="s">
        <v>2525</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293" t="s">
        <v>2526</v>
      </c>
      <c r="Q9" s="1797" t="str">
        <f t="shared" ref="Q9:Q14" si="6">B9</f>
        <v>用途</v>
      </c>
      <c r="R9" s="769" t="s">
        <v>17</v>
      </c>
      <c r="S9" s="770">
        <f t="shared" si="0"/>
        <v>100</v>
      </c>
      <c r="T9" s="769" t="s">
        <v>17</v>
      </c>
      <c r="U9" s="770">
        <f t="shared" si="1"/>
        <v>100</v>
      </c>
      <c r="V9" s="769" t="s">
        <v>17</v>
      </c>
      <c r="W9" s="770">
        <f t="shared" si="2"/>
        <v>100</v>
      </c>
      <c r="X9" s="771"/>
      <c r="Y9" s="3150" t="s">
        <v>2527</v>
      </c>
      <c r="Z9" s="55" t="str">
        <f t="shared" ref="Z9:Z14" si="7">Q9</f>
        <v>用途</v>
      </c>
      <c r="AA9" s="772">
        <f t="shared" si="3"/>
        <v>1</v>
      </c>
      <c r="AB9" s="772">
        <f t="shared" si="4"/>
        <v>1</v>
      </c>
      <c r="AC9" s="772">
        <f t="shared" si="5"/>
        <v>1</v>
      </c>
    </row>
    <row r="10" spans="1:29" s="426" customFormat="1" ht="27">
      <c r="A10" s="420"/>
      <c r="B10" s="421" t="s">
        <v>2528</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293"/>
      <c r="Q10" s="1797" t="str">
        <f t="shared" si="6"/>
        <v>土地使用年限（年）</v>
      </c>
      <c r="R10" s="769" t="s">
        <v>17</v>
      </c>
      <c r="S10" s="770">
        <f t="shared" si="0"/>
        <v>100</v>
      </c>
      <c r="T10" s="769" t="s">
        <v>17</v>
      </c>
      <c r="U10" s="770">
        <f t="shared" si="1"/>
        <v>100</v>
      </c>
      <c r="V10" s="769" t="s">
        <v>17</v>
      </c>
      <c r="W10" s="770">
        <f t="shared" si="2"/>
        <v>100</v>
      </c>
      <c r="X10" s="771"/>
      <c r="Y10" s="3150"/>
      <c r="Z10" s="55" t="str">
        <f t="shared" si="7"/>
        <v>土地使用年限（年）</v>
      </c>
      <c r="AA10" s="772">
        <f t="shared" si="3"/>
        <v>1</v>
      </c>
      <c r="AB10" s="772">
        <f t="shared" si="4"/>
        <v>1</v>
      </c>
      <c r="AC10" s="772">
        <f t="shared" si="5"/>
        <v>1</v>
      </c>
    </row>
    <row r="11" spans="1:29" ht="15">
      <c r="A11" s="427"/>
      <c r="B11" s="2564">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293"/>
      <c r="Q11" s="1797">
        <f t="shared" si="6"/>
        <v>111</v>
      </c>
      <c r="R11" s="769" t="s">
        <v>17</v>
      </c>
      <c r="S11" s="770">
        <f t="shared" si="0"/>
        <v>100</v>
      </c>
      <c r="T11" s="769" t="s">
        <v>17</v>
      </c>
      <c r="U11" s="770">
        <f t="shared" si="1"/>
        <v>100</v>
      </c>
      <c r="V11" s="769" t="s">
        <v>17</v>
      </c>
      <c r="W11" s="770">
        <f t="shared" si="2"/>
        <v>100</v>
      </c>
      <c r="X11" s="771"/>
      <c r="Y11" s="3150"/>
      <c r="Z11" s="55">
        <f t="shared" si="7"/>
        <v>111</v>
      </c>
      <c r="AA11" s="772">
        <f t="shared" si="3"/>
        <v>1</v>
      </c>
      <c r="AB11" s="772">
        <f t="shared" si="4"/>
        <v>1</v>
      </c>
      <c r="AC11" s="772">
        <f t="shared" si="5"/>
        <v>1</v>
      </c>
    </row>
    <row r="12" spans="1:29" s="117" customFormat="1" ht="15">
      <c r="A12" s="430"/>
      <c r="B12" s="2564">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293"/>
      <c r="Q12" s="1797">
        <f t="shared" si="6"/>
        <v>111</v>
      </c>
      <c r="R12" s="769" t="s">
        <v>17</v>
      </c>
      <c r="S12" s="770">
        <f t="shared" si="0"/>
        <v>100</v>
      </c>
      <c r="T12" s="769" t="s">
        <v>17</v>
      </c>
      <c r="U12" s="770">
        <f t="shared" si="1"/>
        <v>100</v>
      </c>
      <c r="V12" s="769" t="s">
        <v>17</v>
      </c>
      <c r="W12" s="770">
        <f t="shared" si="2"/>
        <v>100</v>
      </c>
      <c r="X12" s="771"/>
      <c r="Y12" s="3150"/>
      <c r="Z12" s="55">
        <f t="shared" si="7"/>
        <v>111</v>
      </c>
      <c r="AA12" s="772">
        <f>D12/F12</f>
        <v>1</v>
      </c>
      <c r="AB12" s="772">
        <f>D12/H12</f>
        <v>1</v>
      </c>
      <c r="AC12" s="772">
        <f>D12/J12</f>
        <v>1</v>
      </c>
    </row>
    <row r="13" spans="1:29" ht="15.75" thickBot="1">
      <c r="A13" s="427"/>
      <c r="B13" s="2564">
        <v>111</v>
      </c>
      <c r="C13" s="433"/>
      <c r="D13" s="434">
        <v>100</v>
      </c>
      <c r="E13" s="468"/>
      <c r="F13" s="424">
        <f>SUMIF(59:59,E13,60:60)-SUMIF(59:59,C13,60:60)+100</f>
        <v>100</v>
      </c>
      <c r="G13" s="2661"/>
      <c r="H13" s="437">
        <f>SUMIF(59:59,G13,60:60)-SUMIF(59:59,C13,60:60)+100</f>
        <v>100</v>
      </c>
      <c r="I13" s="468"/>
      <c r="J13" s="434">
        <f>SUMIF(59:59,I13,60:60)-SUMIF(59:59,C13,60:60)+100</f>
        <v>100</v>
      </c>
      <c r="K13" s="612"/>
      <c r="L13" s="1142"/>
      <c r="M13" s="1133"/>
      <c r="N13" s="1133"/>
      <c r="O13" s="1141"/>
      <c r="P13" s="3293"/>
      <c r="Q13" s="1797">
        <f t="shared" si="6"/>
        <v>111</v>
      </c>
      <c r="R13" s="769" t="s">
        <v>17</v>
      </c>
      <c r="S13" s="770">
        <f t="shared" si="0"/>
        <v>100</v>
      </c>
      <c r="T13" s="769" t="s">
        <v>17</v>
      </c>
      <c r="U13" s="770">
        <f t="shared" si="1"/>
        <v>100</v>
      </c>
      <c r="V13" s="769" t="s">
        <v>17</v>
      </c>
      <c r="W13" s="770">
        <f t="shared" si="2"/>
        <v>100</v>
      </c>
      <c r="X13" s="771"/>
      <c r="Y13" s="3150"/>
      <c r="Z13" s="55">
        <f t="shared" si="7"/>
        <v>111</v>
      </c>
      <c r="AA13" s="772">
        <f t="shared" si="3"/>
        <v>1</v>
      </c>
      <c r="AB13" s="772">
        <f t="shared" si="4"/>
        <v>1</v>
      </c>
      <c r="AC13" s="772">
        <f t="shared" si="5"/>
        <v>1</v>
      </c>
    </row>
    <row r="14" spans="1:29" ht="15">
      <c r="A14" s="439" t="s">
        <v>2530</v>
      </c>
      <c r="B14" s="69" t="s">
        <v>2680</v>
      </c>
      <c r="C14" s="2657" t="str">
        <f>IF(B1="工业",估价对象房地状况!G4,估价对象房地状况!C6)</f>
        <v>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300" t="s">
        <v>2531</v>
      </c>
      <c r="Q14" s="1812" t="str">
        <f t="shared" si="6"/>
        <v>交通便捷度</v>
      </c>
      <c r="R14" s="773" t="s">
        <v>17</v>
      </c>
      <c r="S14" s="774">
        <f t="shared" si="0"/>
        <v>100</v>
      </c>
      <c r="T14" s="773" t="s">
        <v>17</v>
      </c>
      <c r="U14" s="774">
        <f t="shared" si="1"/>
        <v>100</v>
      </c>
      <c r="V14" s="773" t="s">
        <v>17</v>
      </c>
      <c r="W14" s="774">
        <f t="shared" si="2"/>
        <v>100</v>
      </c>
      <c r="X14" s="1815"/>
      <c r="Y14" s="3300" t="s">
        <v>2531</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2"/>
      <c r="M15" s="1133"/>
      <c r="N15" s="1133"/>
      <c r="O15" s="1141"/>
      <c r="P15" s="3301"/>
      <c r="Q15" s="1812"/>
      <c r="R15" s="773"/>
      <c r="S15" s="774"/>
      <c r="T15" s="773"/>
      <c r="U15" s="774"/>
      <c r="V15" s="773"/>
      <c r="W15" s="774"/>
      <c r="X15" s="1815"/>
      <c r="Y15" s="3301"/>
      <c r="Z15" s="1816"/>
      <c r="AA15" s="1813">
        <v>1</v>
      </c>
      <c r="AB15" s="1813">
        <v>1</v>
      </c>
      <c r="AC15" s="1813">
        <v>1</v>
      </c>
    </row>
    <row r="16" spans="1:29" ht="15">
      <c r="A16" s="427"/>
      <c r="B16" s="450" t="s">
        <v>2659</v>
      </c>
      <c r="C16" s="2571" t="str">
        <f>IF(B1="工业",估价对象房地状况!G5,估价对象房地状况!C7)</f>
        <v>好</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301"/>
      <c r="Q16" s="1812" t="str">
        <f>B16</f>
        <v>公共配套设施</v>
      </c>
      <c r="R16" s="773" t="s">
        <v>17</v>
      </c>
      <c r="S16" s="774">
        <f>F16</f>
        <v>100</v>
      </c>
      <c r="T16" s="773" t="s">
        <v>17</v>
      </c>
      <c r="U16" s="774">
        <f>H16</f>
        <v>100</v>
      </c>
      <c r="V16" s="773" t="s">
        <v>17</v>
      </c>
      <c r="W16" s="774">
        <f>J16</f>
        <v>100</v>
      </c>
      <c r="X16" s="1815"/>
      <c r="Y16" s="3301"/>
      <c r="Z16" s="1816" t="str">
        <f>Q16</f>
        <v>公共配套设施</v>
      </c>
      <c r="AA16" s="1813">
        <f t="shared" si="3"/>
        <v>1</v>
      </c>
      <c r="AB16" s="1813">
        <f t="shared" si="4"/>
        <v>1</v>
      </c>
      <c r="AC16" s="1813">
        <f t="shared" si="5"/>
        <v>1</v>
      </c>
    </row>
    <row r="17" spans="1:29" ht="15">
      <c r="A17" s="427"/>
      <c r="B17" s="455"/>
      <c r="C17" s="2572"/>
      <c r="D17" s="447"/>
      <c r="E17" s="446"/>
      <c r="F17" s="448"/>
      <c r="G17" s="446"/>
      <c r="H17" s="447"/>
      <c r="I17" s="446"/>
      <c r="J17" s="447"/>
      <c r="K17" s="614"/>
      <c r="L17" s="1142"/>
      <c r="M17" s="1133"/>
      <c r="N17" s="1133"/>
      <c r="O17" s="1141"/>
      <c r="P17" s="3301"/>
      <c r="Q17" s="1812"/>
      <c r="R17" s="773"/>
      <c r="S17" s="774"/>
      <c r="T17" s="773"/>
      <c r="U17" s="774"/>
      <c r="V17" s="773"/>
      <c r="W17" s="774"/>
      <c r="X17" s="1815"/>
      <c r="Y17" s="3301"/>
      <c r="Z17" s="1816"/>
      <c r="AA17" s="1813">
        <v>1</v>
      </c>
      <c r="AB17" s="1813">
        <v>1</v>
      </c>
      <c r="AC17" s="1813">
        <v>1</v>
      </c>
    </row>
    <row r="18" spans="1:29" ht="15">
      <c r="A18" s="427"/>
      <c r="B18" s="1386" t="s">
        <v>2660</v>
      </c>
      <c r="C18" s="2571" t="str">
        <f>IF(B1="工业",估价对象房地状况!G6,估价对象房地状况!C8)</f>
        <v>七通</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301"/>
      <c r="Q18" s="1812" t="str">
        <f>B18</f>
        <v>基础设施水平</v>
      </c>
      <c r="R18" s="773" t="s">
        <v>17</v>
      </c>
      <c r="S18" s="774">
        <f>F18</f>
        <v>100</v>
      </c>
      <c r="T18" s="773" t="s">
        <v>17</v>
      </c>
      <c r="U18" s="774">
        <f>H18</f>
        <v>100</v>
      </c>
      <c r="V18" s="773" t="s">
        <v>17</v>
      </c>
      <c r="W18" s="774">
        <f>J18</f>
        <v>100</v>
      </c>
      <c r="X18" s="1815"/>
      <c r="Y18" s="3301"/>
      <c r="Z18" s="1816" t="str">
        <f>Q18</f>
        <v>基础设施水平</v>
      </c>
      <c r="AA18" s="1813">
        <f t="shared" ref="AA18" si="8">D18/F18</f>
        <v>1</v>
      </c>
      <c r="AB18" s="1813">
        <f t="shared" ref="AB18" si="9">D18/H18</f>
        <v>1</v>
      </c>
      <c r="AC18" s="1813">
        <f t="shared" ref="AC18" si="10">D18/J18</f>
        <v>1</v>
      </c>
    </row>
    <row r="19" spans="1:29" ht="15">
      <c r="A19" s="427"/>
      <c r="B19" s="1386"/>
      <c r="C19" s="2572"/>
      <c r="D19" s="449"/>
      <c r="E19" s="2572"/>
      <c r="F19" s="452"/>
      <c r="G19" s="2572"/>
      <c r="H19" s="447"/>
      <c r="I19" s="446"/>
      <c r="J19" s="447"/>
      <c r="K19" s="1385"/>
      <c r="L19" s="1142"/>
      <c r="M19" s="1133"/>
      <c r="N19" s="1133"/>
      <c r="O19" s="1141"/>
      <c r="P19" s="3301"/>
      <c r="Q19" s="1812"/>
      <c r="R19" s="773"/>
      <c r="S19" s="774"/>
      <c r="T19" s="773"/>
      <c r="U19" s="774"/>
      <c r="V19" s="773"/>
      <c r="W19" s="774"/>
      <c r="X19" s="1815"/>
      <c r="Y19" s="3301"/>
      <c r="Z19" s="1816"/>
      <c r="AA19" s="1813">
        <v>1</v>
      </c>
      <c r="AB19" s="1813">
        <v>1</v>
      </c>
      <c r="AC19" s="1813">
        <v>1</v>
      </c>
    </row>
    <row r="20" spans="1:29" ht="15">
      <c r="A20" s="427"/>
      <c r="B20" s="450" t="s">
        <v>2681</v>
      </c>
      <c r="C20" s="2571" t="str">
        <f>IF(B1="工业",估价对象房地状况!G7,估价对象房地状况!C9)</f>
        <v>好</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301"/>
      <c r="Q20" s="1812" t="str">
        <f>B20</f>
        <v>自然及人文环境</v>
      </c>
      <c r="R20" s="773" t="s">
        <v>17</v>
      </c>
      <c r="S20" s="774">
        <f>F20</f>
        <v>100</v>
      </c>
      <c r="T20" s="773" t="s">
        <v>17</v>
      </c>
      <c r="U20" s="774">
        <f>H20</f>
        <v>100</v>
      </c>
      <c r="V20" s="773" t="s">
        <v>17</v>
      </c>
      <c r="W20" s="774">
        <f>J20</f>
        <v>100</v>
      </c>
      <c r="X20" s="1815"/>
      <c r="Y20" s="3301"/>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2"/>
      <c r="M21" s="1133"/>
      <c r="N21" s="1133"/>
      <c r="O21" s="1141"/>
      <c r="P21" s="3301"/>
      <c r="Q21" s="1812"/>
      <c r="R21" s="773"/>
      <c r="S21" s="774"/>
      <c r="T21" s="773"/>
      <c r="U21" s="774"/>
      <c r="V21" s="773"/>
      <c r="W21" s="774"/>
      <c r="X21" s="1815"/>
      <c r="Y21" s="3301"/>
      <c r="Z21" s="1816"/>
      <c r="AA21" s="1813">
        <v>1</v>
      </c>
      <c r="AB21" s="1813">
        <v>1</v>
      </c>
      <c r="AC21" s="1813">
        <v>1</v>
      </c>
    </row>
    <row r="22" spans="1:29" ht="15">
      <c r="A22" s="427"/>
      <c r="B22" s="450" t="s">
        <v>2682</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301"/>
      <c r="Q22" s="1812" t="str">
        <f>B22</f>
        <v>楼层</v>
      </c>
      <c r="R22" s="773" t="s">
        <v>17</v>
      </c>
      <c r="S22" s="774">
        <f>F22</f>
        <v>100</v>
      </c>
      <c r="T22" s="773" t="s">
        <v>17</v>
      </c>
      <c r="U22" s="774">
        <f>H22</f>
        <v>100</v>
      </c>
      <c r="V22" s="773" t="s">
        <v>17</v>
      </c>
      <c r="W22" s="774">
        <f>J22</f>
        <v>100</v>
      </c>
      <c r="X22" s="1815"/>
      <c r="Y22" s="3301"/>
      <c r="Z22" s="1816" t="str">
        <f>Q22</f>
        <v>楼层</v>
      </c>
      <c r="AA22" s="1813">
        <f t="shared" si="3"/>
        <v>1</v>
      </c>
      <c r="AB22" s="1813">
        <f t="shared" si="4"/>
        <v>1</v>
      </c>
      <c r="AC22" s="1813">
        <f t="shared" si="5"/>
        <v>1</v>
      </c>
    </row>
    <row r="23" spans="1:29" ht="15">
      <c r="A23" s="403"/>
      <c r="B23" s="2564">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301"/>
      <c r="Q23" s="1812">
        <f>B23</f>
        <v>111</v>
      </c>
      <c r="R23" s="773" t="s">
        <v>17</v>
      </c>
      <c r="S23" s="774">
        <f>F23</f>
        <v>100</v>
      </c>
      <c r="T23" s="773" t="s">
        <v>17</v>
      </c>
      <c r="U23" s="774">
        <f>H23</f>
        <v>100</v>
      </c>
      <c r="V23" s="773" t="s">
        <v>17</v>
      </c>
      <c r="W23" s="774">
        <f>J23</f>
        <v>100</v>
      </c>
      <c r="X23" s="1815"/>
      <c r="Y23" s="3301"/>
      <c r="Z23" s="1816">
        <f>Q23</f>
        <v>111</v>
      </c>
      <c r="AA23" s="1813">
        <f t="shared" si="3"/>
        <v>1</v>
      </c>
      <c r="AB23" s="1813">
        <f t="shared" si="4"/>
        <v>1</v>
      </c>
      <c r="AC23" s="1813">
        <f t="shared" si="5"/>
        <v>1</v>
      </c>
    </row>
    <row r="24" spans="1:29" ht="15">
      <c r="A24" s="427"/>
      <c r="B24" s="2564">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301"/>
      <c r="Q24" s="1812">
        <f t="shared" ref="Q24:Q34" si="11">B24</f>
        <v>111</v>
      </c>
      <c r="R24" s="773" t="s">
        <v>17</v>
      </c>
      <c r="S24" s="774">
        <f>F24</f>
        <v>100</v>
      </c>
      <c r="T24" s="773" t="s">
        <v>17</v>
      </c>
      <c r="U24" s="774">
        <f>H24</f>
        <v>100</v>
      </c>
      <c r="V24" s="773" t="s">
        <v>17</v>
      </c>
      <c r="W24" s="774">
        <f>J24</f>
        <v>100</v>
      </c>
      <c r="X24" s="1815"/>
      <c r="Y24" s="3301"/>
      <c r="Z24" s="1816">
        <f>Q24</f>
        <v>111</v>
      </c>
      <c r="AA24" s="1813">
        <f t="shared" si="3"/>
        <v>1</v>
      </c>
      <c r="AB24" s="1813">
        <f t="shared" si="4"/>
        <v>1</v>
      </c>
      <c r="AC24" s="1813">
        <f t="shared" si="5"/>
        <v>1</v>
      </c>
    </row>
    <row r="25" spans="1:29" s="117" customFormat="1" ht="15.75" thickBot="1">
      <c r="A25" s="430"/>
      <c r="B25" s="2564">
        <v>111</v>
      </c>
      <c r="C25" s="2662"/>
      <c r="D25" s="664">
        <v>100</v>
      </c>
      <c r="E25" s="2662"/>
      <c r="F25" s="665">
        <f>SUMIF(75:75,E25,76:76)-SUMIF(75:75,C25,76:76)+100</f>
        <v>100</v>
      </c>
      <c r="G25" s="2662"/>
      <c r="H25" s="664">
        <f>SUMIF(75:75,G25,76:76)-SUMIF(75:75,C25,76:76)+100</f>
        <v>100</v>
      </c>
      <c r="I25" s="2662"/>
      <c r="J25" s="664">
        <f>SUMIF(75:75,I25,76:76)-SUMIF(75:75,C25,76:76)+100</f>
        <v>100</v>
      </c>
      <c r="K25" s="612"/>
      <c r="L25" s="1134"/>
      <c r="M25" s="1135"/>
      <c r="N25" s="1135"/>
      <c r="O25" s="1136"/>
      <c r="P25" s="3301"/>
      <c r="Q25" s="1797">
        <f t="shared" si="11"/>
        <v>111</v>
      </c>
      <c r="R25" s="769" t="s">
        <v>17</v>
      </c>
      <c r="S25" s="770">
        <f>F25</f>
        <v>100</v>
      </c>
      <c r="T25" s="769" t="s">
        <v>17</v>
      </c>
      <c r="U25" s="770">
        <f>H25</f>
        <v>100</v>
      </c>
      <c r="V25" s="769" t="s">
        <v>17</v>
      </c>
      <c r="W25" s="770">
        <f>J25</f>
        <v>100</v>
      </c>
      <c r="X25" s="771"/>
      <c r="Y25" s="3301"/>
      <c r="Z25" s="55">
        <f>Q25</f>
        <v>111</v>
      </c>
      <c r="AA25" s="1813">
        <f>D25/F25</f>
        <v>1</v>
      </c>
      <c r="AB25" s="1813">
        <f>D25/H25</f>
        <v>1</v>
      </c>
      <c r="AC25" s="1813">
        <f>D25/J25</f>
        <v>1</v>
      </c>
    </row>
    <row r="26" spans="1:29" ht="15">
      <c r="A26" s="465" t="s">
        <v>2534</v>
      </c>
      <c r="B26" s="71" t="s">
        <v>2685</v>
      </c>
      <c r="C26" s="2643"/>
      <c r="D26" s="466">
        <v>100</v>
      </c>
      <c r="E26" s="2643"/>
      <c r="F26" s="666">
        <f>SUMIF(77:77,E26,78:78)-SUMIF(77:77,C26,78:78)+100</f>
        <v>100</v>
      </c>
      <c r="G26" s="2643"/>
      <c r="H26" s="466">
        <f>SUMIF(77:77,G26,78:78)-SUMIF(77:77,C26,78:78)+100</f>
        <v>100</v>
      </c>
      <c r="I26" s="2643"/>
      <c r="J26" s="466">
        <f>SUMIF(77:77,I26,78:78)-SUMIF(77:77,C26,78:78)+100</f>
        <v>100</v>
      </c>
      <c r="K26" s="611"/>
      <c r="L26" s="1142"/>
      <c r="M26" s="1133"/>
      <c r="N26" s="1133"/>
      <c r="O26" s="1141"/>
      <c r="P26" s="3411" t="s">
        <v>2536</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305" t="s">
        <v>2536</v>
      </c>
      <c r="Z26" s="1816" t="str">
        <f t="shared" ref="Z26:Z34" si="15">Q26</f>
        <v>公共部分装修</v>
      </c>
      <c r="AA26" s="1813">
        <f t="shared" si="3"/>
        <v>1</v>
      </c>
      <c r="AB26" s="1813">
        <f t="shared" si="4"/>
        <v>1</v>
      </c>
      <c r="AC26" s="1813">
        <f t="shared" si="5"/>
        <v>1</v>
      </c>
    </row>
    <row r="27" spans="1:29" s="470" customFormat="1" ht="15">
      <c r="A27" s="467"/>
      <c r="B27" s="421" t="s">
        <v>2686</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305"/>
      <c r="Q27" s="775" t="str">
        <f t="shared" si="11"/>
        <v>成新率</v>
      </c>
      <c r="R27" s="776" t="s">
        <v>17</v>
      </c>
      <c r="S27" s="777" t="e">
        <f t="shared" si="12"/>
        <v>#N/A</v>
      </c>
      <c r="T27" s="776" t="s">
        <v>17</v>
      </c>
      <c r="U27" s="777" t="e">
        <f t="shared" si="13"/>
        <v>#N/A</v>
      </c>
      <c r="V27" s="776" t="s">
        <v>17</v>
      </c>
      <c r="W27" s="777" t="e">
        <f t="shared" si="14"/>
        <v>#N/A</v>
      </c>
      <c r="X27" s="778"/>
      <c r="Y27" s="3305"/>
      <c r="Z27" s="779" t="str">
        <f t="shared" si="15"/>
        <v>成新率</v>
      </c>
      <c r="AA27" s="1813" t="e">
        <f t="shared" si="3"/>
        <v>#N/A</v>
      </c>
      <c r="AB27" s="1813" t="e">
        <f t="shared" si="4"/>
        <v>#N/A</v>
      </c>
      <c r="AC27" s="1813" t="e">
        <f t="shared" si="5"/>
        <v>#N/A</v>
      </c>
    </row>
    <row r="28" spans="1:29" ht="15">
      <c r="A28" s="471"/>
      <c r="B28" s="421" t="s">
        <v>2687</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305"/>
      <c r="Q28" s="1812" t="str">
        <f t="shared" si="11"/>
        <v>物业等级</v>
      </c>
      <c r="R28" s="773" t="s">
        <v>17</v>
      </c>
      <c r="S28" s="774">
        <f t="shared" si="12"/>
        <v>100</v>
      </c>
      <c r="T28" s="773" t="s">
        <v>17</v>
      </c>
      <c r="U28" s="774">
        <f t="shared" si="13"/>
        <v>100</v>
      </c>
      <c r="V28" s="773" t="s">
        <v>17</v>
      </c>
      <c r="W28" s="774">
        <f t="shared" si="14"/>
        <v>100</v>
      </c>
      <c r="X28" s="1815"/>
      <c r="Y28" s="3305"/>
      <c r="Z28" s="1816" t="str">
        <f t="shared" si="15"/>
        <v>物业等级</v>
      </c>
      <c r="AA28" s="1813">
        <f t="shared" si="3"/>
        <v>1</v>
      </c>
      <c r="AB28" s="1813">
        <f t="shared" si="4"/>
        <v>1</v>
      </c>
      <c r="AC28" s="1813">
        <f t="shared" si="5"/>
        <v>1</v>
      </c>
    </row>
    <row r="29" spans="1:29" ht="15">
      <c r="A29" s="471"/>
      <c r="B29" s="421" t="s">
        <v>2708</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305"/>
      <c r="Q29" s="1812" t="str">
        <f t="shared" si="11"/>
        <v>有无电梯</v>
      </c>
      <c r="R29" s="773" t="s">
        <v>17</v>
      </c>
      <c r="S29" s="774">
        <f t="shared" si="12"/>
        <v>100</v>
      </c>
      <c r="T29" s="773" t="s">
        <v>17</v>
      </c>
      <c r="U29" s="774">
        <f t="shared" si="13"/>
        <v>100</v>
      </c>
      <c r="V29" s="773" t="s">
        <v>17</v>
      </c>
      <c r="W29" s="774">
        <f t="shared" si="14"/>
        <v>100</v>
      </c>
      <c r="X29" s="1815"/>
      <c r="Y29" s="3305"/>
      <c r="Z29" s="1816" t="str">
        <f t="shared" si="15"/>
        <v>有无电梯</v>
      </c>
      <c r="AA29" s="1813">
        <f t="shared" si="3"/>
        <v>1</v>
      </c>
      <c r="AB29" s="1813">
        <f t="shared" si="4"/>
        <v>1</v>
      </c>
      <c r="AC29" s="1813">
        <f t="shared" si="5"/>
        <v>1</v>
      </c>
    </row>
    <row r="30" spans="1:29" ht="15">
      <c r="A30" s="471"/>
      <c r="B30" s="421" t="s">
        <v>2709</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305"/>
      <c r="Q30" s="1812" t="str">
        <f t="shared" si="11"/>
        <v>建筑面积</v>
      </c>
      <c r="R30" s="773" t="s">
        <v>17</v>
      </c>
      <c r="S30" s="774" t="e">
        <f t="shared" si="12"/>
        <v>#N/A</v>
      </c>
      <c r="T30" s="773" t="s">
        <v>17</v>
      </c>
      <c r="U30" s="774" t="e">
        <f t="shared" si="13"/>
        <v>#N/A</v>
      </c>
      <c r="V30" s="773" t="s">
        <v>17</v>
      </c>
      <c r="W30" s="774" t="e">
        <f t="shared" si="14"/>
        <v>#N/A</v>
      </c>
      <c r="X30" s="1815"/>
      <c r="Y30" s="3305"/>
      <c r="Z30" s="1816" t="str">
        <f t="shared" si="15"/>
        <v>建筑面积</v>
      </c>
      <c r="AA30" s="1813" t="e">
        <f t="shared" si="3"/>
        <v>#N/A</v>
      </c>
      <c r="AB30" s="1813" t="e">
        <f t="shared" si="4"/>
        <v>#N/A</v>
      </c>
      <c r="AC30" s="1813" t="e">
        <f t="shared" si="5"/>
        <v>#N/A</v>
      </c>
    </row>
    <row r="31" spans="1:29" s="117" customFormat="1" ht="15">
      <c r="A31" s="472"/>
      <c r="B31" s="421" t="s">
        <v>2710</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305"/>
      <c r="Q31" s="1797" t="str">
        <f t="shared" si="11"/>
        <v>是否封闭</v>
      </c>
      <c r="R31" s="769" t="s">
        <v>17</v>
      </c>
      <c r="S31" s="770">
        <f t="shared" si="12"/>
        <v>100</v>
      </c>
      <c r="T31" s="769" t="s">
        <v>17</v>
      </c>
      <c r="U31" s="770">
        <f t="shared" si="13"/>
        <v>100</v>
      </c>
      <c r="V31" s="769" t="s">
        <v>17</v>
      </c>
      <c r="W31" s="770">
        <f t="shared" si="14"/>
        <v>100</v>
      </c>
      <c r="X31" s="771"/>
      <c r="Y31" s="3305"/>
      <c r="Z31" s="55" t="str">
        <f t="shared" si="15"/>
        <v>是否封闭</v>
      </c>
      <c r="AA31" s="772">
        <f t="shared" si="3"/>
        <v>1</v>
      </c>
      <c r="AB31" s="772">
        <f t="shared" si="4"/>
        <v>1</v>
      </c>
      <c r="AC31" s="772">
        <f t="shared" si="5"/>
        <v>1</v>
      </c>
    </row>
    <row r="32" spans="1:29" ht="15">
      <c r="A32" s="471"/>
      <c r="B32" s="2564">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305" t="s">
        <v>2536</v>
      </c>
      <c r="Q32" s="1812">
        <f t="shared" si="11"/>
        <v>111</v>
      </c>
      <c r="R32" s="773" t="s">
        <v>17</v>
      </c>
      <c r="S32" s="774">
        <f t="shared" si="12"/>
        <v>100</v>
      </c>
      <c r="T32" s="773" t="s">
        <v>17</v>
      </c>
      <c r="U32" s="774">
        <f t="shared" si="13"/>
        <v>100</v>
      </c>
      <c r="V32" s="773" t="s">
        <v>17</v>
      </c>
      <c r="W32" s="774">
        <f t="shared" si="14"/>
        <v>100</v>
      </c>
      <c r="X32" s="1815"/>
      <c r="Y32" s="3305" t="s">
        <v>2536</v>
      </c>
      <c r="Z32" s="1816">
        <f t="shared" si="15"/>
        <v>111</v>
      </c>
      <c r="AA32" s="1813">
        <f t="shared" si="3"/>
        <v>1</v>
      </c>
      <c r="AB32" s="1813">
        <f t="shared" si="4"/>
        <v>1</v>
      </c>
      <c r="AC32" s="1813">
        <f t="shared" si="5"/>
        <v>1</v>
      </c>
    </row>
    <row r="33" spans="1:29" ht="15">
      <c r="A33" s="471"/>
      <c r="B33" s="2564">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305"/>
      <c r="Q33" s="1812">
        <f t="shared" si="11"/>
        <v>111</v>
      </c>
      <c r="R33" s="773" t="s">
        <v>17</v>
      </c>
      <c r="S33" s="774">
        <f t="shared" si="12"/>
        <v>100</v>
      </c>
      <c r="T33" s="773" t="s">
        <v>17</v>
      </c>
      <c r="U33" s="774">
        <f t="shared" si="13"/>
        <v>100</v>
      </c>
      <c r="V33" s="773" t="s">
        <v>17</v>
      </c>
      <c r="W33" s="774">
        <f t="shared" si="14"/>
        <v>100</v>
      </c>
      <c r="X33" s="1815"/>
      <c r="Y33" s="3305"/>
      <c r="Z33" s="1816">
        <f t="shared" si="15"/>
        <v>111</v>
      </c>
      <c r="AA33" s="1813">
        <f t="shared" si="3"/>
        <v>1</v>
      </c>
      <c r="AB33" s="1813">
        <f t="shared" si="4"/>
        <v>1</v>
      </c>
      <c r="AC33" s="1813">
        <f t="shared" si="5"/>
        <v>1</v>
      </c>
    </row>
    <row r="34" spans="1:29" ht="15.75" thickBot="1">
      <c r="A34" s="477"/>
      <c r="B34" s="2566">
        <v>111</v>
      </c>
      <c r="C34" s="436"/>
      <c r="D34" s="437">
        <v>100</v>
      </c>
      <c r="E34" s="2661"/>
      <c r="F34" s="438">
        <f>SUMIF(95:95,E34,96:96)-SUMIF(95:95,C34,96:96)+100</f>
        <v>100</v>
      </c>
      <c r="G34" s="2661"/>
      <c r="H34" s="437">
        <f>SUMIF(95:95,G34,96:96)-SUMIF(95:95,C34,96:96)+100</f>
        <v>100</v>
      </c>
      <c r="I34" s="2661"/>
      <c r="J34" s="437">
        <f>SUMIF(95:95,I34,96:96)-SUMIF(95:95,C34,96:96)+100</f>
        <v>100</v>
      </c>
      <c r="K34" s="612"/>
      <c r="L34" s="1142"/>
      <c r="M34" s="1133"/>
      <c r="N34" s="1133"/>
      <c r="O34" s="1141"/>
      <c r="P34" s="3305"/>
      <c r="Q34" s="1812">
        <f t="shared" si="11"/>
        <v>111</v>
      </c>
      <c r="R34" s="773" t="s">
        <v>17</v>
      </c>
      <c r="S34" s="774">
        <f t="shared" si="12"/>
        <v>100</v>
      </c>
      <c r="T34" s="773" t="s">
        <v>17</v>
      </c>
      <c r="U34" s="774">
        <f t="shared" si="13"/>
        <v>100</v>
      </c>
      <c r="V34" s="773" t="s">
        <v>17</v>
      </c>
      <c r="W34" s="774">
        <f t="shared" si="14"/>
        <v>100</v>
      </c>
      <c r="X34" s="1815"/>
      <c r="Y34" s="3305"/>
      <c r="Z34" s="1816">
        <f t="shared" si="15"/>
        <v>111</v>
      </c>
      <c r="AA34" s="1813">
        <f t="shared" si="3"/>
        <v>1</v>
      </c>
      <c r="AB34" s="1813">
        <f t="shared" si="4"/>
        <v>1</v>
      </c>
      <c r="AC34" s="1813">
        <f t="shared" si="5"/>
        <v>1</v>
      </c>
    </row>
    <row r="35" spans="1:29" ht="15">
      <c r="A35" s="478" t="s">
        <v>2548</v>
      </c>
      <c r="B35" s="479"/>
      <c r="C35" s="1409" t="s">
        <v>1</v>
      </c>
      <c r="D35" s="1410"/>
      <c r="E35" s="1411"/>
      <c r="F35" s="1412"/>
      <c r="G35" s="1413"/>
      <c r="H35" s="1414"/>
      <c r="I35" s="1411"/>
      <c r="J35" s="1414"/>
      <c r="K35" s="782"/>
      <c r="L35" s="1145"/>
      <c r="M35" s="1146"/>
      <c r="N35" s="1133"/>
      <c r="O35" s="1146"/>
      <c r="P35" s="3293" t="str">
        <f>A35</f>
        <v>成交单价（元/平方米）</v>
      </c>
      <c r="Q35" s="3293"/>
      <c r="R35" s="3294">
        <f>E35</f>
        <v>0</v>
      </c>
      <c r="S35" s="3294"/>
      <c r="T35" s="3294">
        <f>G35</f>
        <v>0</v>
      </c>
      <c r="U35" s="3294"/>
      <c r="V35" s="3294">
        <f>I35</f>
        <v>0</v>
      </c>
      <c r="W35" s="3294"/>
      <c r="X35" s="758"/>
      <c r="Y35" s="780"/>
      <c r="Z35" s="758"/>
      <c r="AA35" s="758"/>
      <c r="AB35" s="758"/>
      <c r="AC35" s="758"/>
    </row>
    <row r="36" spans="1:29" ht="15.75" thickBot="1">
      <c r="A36" s="485" t="s">
        <v>2640</v>
      </c>
      <c r="B36" s="486"/>
      <c r="C36" s="1415" t="e">
        <f>R37</f>
        <v>#DIV/0!</v>
      </c>
      <c r="D36" s="1416"/>
      <c r="E36" s="1417" t="e">
        <f>R36</f>
        <v>#DIV/0!</v>
      </c>
      <c r="F36" s="1417"/>
      <c r="G36" s="1415" t="e">
        <f>T36</f>
        <v>#DIV/0!</v>
      </c>
      <c r="H36" s="1416"/>
      <c r="I36" s="1417" t="e">
        <f>V36</f>
        <v>#DIV/0!</v>
      </c>
      <c r="J36" s="1416"/>
      <c r="K36" s="783"/>
      <c r="L36" s="1145"/>
      <c r="M36" s="1146"/>
      <c r="N36" s="1133"/>
      <c r="O36" s="1146"/>
      <c r="P36" s="3293" t="str">
        <f>A36</f>
        <v>比较价值（元/平方米）</v>
      </c>
      <c r="Q36" s="3293"/>
      <c r="R36" s="3294" t="e">
        <f>IF(F1="售价",ROUND(PRODUCT(R35,AA7:AA34),0),ROUND(PRODUCT(R35,AA7:AA34),1))</f>
        <v>#DIV/0!</v>
      </c>
      <c r="S36" s="3294"/>
      <c r="T36" s="3294" t="e">
        <f>IF(F1="售价",ROUND(PRODUCT(T35,AB7:AB34),0),ROUND(PRODUCT(T35,AB7:AB34),1))</f>
        <v>#DIV/0!</v>
      </c>
      <c r="U36" s="3294"/>
      <c r="V36" s="3294" t="e">
        <f>IF(F1="售价",ROUND(PRODUCT(V35,AC7:AC34),0),ROUND(PRODUCT(V35,AC7:AC34),1))</f>
        <v>#DIV/0!</v>
      </c>
      <c r="W36" s="3294"/>
      <c r="X36" s="758"/>
      <c r="Y36" s="758"/>
      <c r="Z36" s="758"/>
      <c r="AA36" s="758"/>
      <c r="AB36" s="758"/>
      <c r="AC36" s="758"/>
    </row>
    <row r="37" spans="1:29" ht="15.75" thickBot="1">
      <c r="A37" s="491" t="s">
        <v>2641</v>
      </c>
      <c r="B37" s="492"/>
      <c r="C37" s="1419" t="e">
        <f>R37</f>
        <v>#DIV/0!</v>
      </c>
      <c r="D37" s="1419"/>
      <c r="E37" s="1419"/>
      <c r="F37" s="1419"/>
      <c r="G37" s="1419"/>
      <c r="H37" s="1419"/>
      <c r="I37" s="1419"/>
      <c r="J37" s="1419"/>
      <c r="K37" s="784"/>
      <c r="L37" s="1145"/>
      <c r="M37" s="1146"/>
      <c r="N37" s="1146"/>
      <c r="O37" s="1146"/>
      <c r="P37" s="3351" t="str">
        <f>A37</f>
        <v>估价对象XX用房的比较价值（楼面单价，元/平方米）</v>
      </c>
      <c r="Q37" s="3352"/>
      <c r="R37" s="3353" t="e">
        <f>IF(F1="售价",ROUND(AVERAGE(R36:V36),0),ROUND(AVERAGE(R36:V36),1))</f>
        <v>#DIV/0!</v>
      </c>
      <c r="S37" s="3353"/>
      <c r="T37" s="3353"/>
      <c r="U37" s="3353"/>
      <c r="V37" s="3353"/>
      <c r="W37" s="3353"/>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2642</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2643</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2644</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2645</v>
      </c>
      <c r="B45" s="758"/>
      <c r="C45" s="763"/>
      <c r="D45" s="763"/>
      <c r="E45" s="763"/>
      <c r="F45" s="764"/>
      <c r="G45" s="764"/>
      <c r="H45" s="763"/>
      <c r="I45" s="763"/>
      <c r="J45" s="763"/>
      <c r="K45" s="765"/>
      <c r="L45" s="766"/>
      <c r="M45" s="763"/>
      <c r="N45" s="763"/>
      <c r="O45" s="763"/>
      <c r="P45" s="502"/>
      <c r="Q45" s="503"/>
    </row>
    <row r="46" spans="1:29" s="507" customFormat="1" ht="15">
      <c r="A46" s="504" t="s">
        <v>2519</v>
      </c>
      <c r="B46" s="505"/>
      <c r="C46" s="1576" t="str">
        <f>YEAR(C7)&amp;"-"&amp;MONTH(C7)</f>
        <v>2018-10</v>
      </c>
      <c r="D46" s="1577">
        <f>EDATE(C46,-1)</f>
        <v>43344</v>
      </c>
      <c r="E46" s="1577">
        <f t="shared" ref="E46:O46" si="16">EDATE(D46,-1)</f>
        <v>43313</v>
      </c>
      <c r="F46" s="1577">
        <f t="shared" si="16"/>
        <v>43282</v>
      </c>
      <c r="G46" s="1577">
        <f t="shared" si="16"/>
        <v>43252</v>
      </c>
      <c r="H46" s="1577">
        <f t="shared" si="16"/>
        <v>43221</v>
      </c>
      <c r="I46" s="1577">
        <f t="shared" si="16"/>
        <v>43191</v>
      </c>
      <c r="J46" s="1577">
        <f t="shared" si="16"/>
        <v>43160</v>
      </c>
      <c r="K46" s="1577">
        <f t="shared" si="16"/>
        <v>43132</v>
      </c>
      <c r="L46" s="1577">
        <f t="shared" si="16"/>
        <v>43101</v>
      </c>
      <c r="M46" s="1577">
        <f t="shared" si="16"/>
        <v>43070</v>
      </c>
      <c r="N46" s="1577">
        <f t="shared" si="16"/>
        <v>43040</v>
      </c>
      <c r="O46" s="1577">
        <f t="shared" si="16"/>
        <v>43009</v>
      </c>
      <c r="P46" s="506"/>
    </row>
    <row r="47" spans="1:29" s="117" customFormat="1" ht="15">
      <c r="A47" s="508"/>
      <c r="B47" s="509"/>
      <c r="C47" s="1575">
        <v>100</v>
      </c>
      <c r="D47" s="511"/>
      <c r="E47" s="511"/>
      <c r="F47" s="511"/>
      <c r="G47" s="511"/>
      <c r="H47" s="511"/>
      <c r="I47" s="511"/>
      <c r="J47" s="511"/>
      <c r="K47" s="511"/>
      <c r="L47" s="511"/>
      <c r="M47" s="512"/>
      <c r="N47" s="511"/>
      <c r="O47" s="513"/>
      <c r="P47" s="503"/>
    </row>
    <row r="48" spans="1:29" s="117" customFormat="1" ht="15.75" thickBot="1">
      <c r="A48" s="514" t="s">
        <v>2556</v>
      </c>
      <c r="B48" s="515"/>
      <c r="C48" s="516"/>
      <c r="D48" s="517"/>
      <c r="E48" s="517"/>
      <c r="F48" s="517"/>
      <c r="G48" s="517"/>
      <c r="H48" s="517"/>
      <c r="I48" s="517"/>
      <c r="J48" s="517"/>
      <c r="K48" s="517"/>
      <c r="L48" s="517"/>
      <c r="M48" s="518"/>
      <c r="N48" s="517"/>
      <c r="O48" s="519"/>
      <c r="P48" s="503"/>
      <c r="Q48" s="503"/>
    </row>
    <row r="49" spans="1:17" s="117" customFormat="1" ht="15">
      <c r="A49" s="520" t="s">
        <v>2521</v>
      </c>
      <c r="B49" s="509"/>
      <c r="C49" s="521" t="s">
        <v>2623</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2559</v>
      </c>
      <c r="B51" s="527" t="s">
        <v>2525</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2528</v>
      </c>
      <c r="C53" s="538" t="s">
        <v>2560</v>
      </c>
      <c r="D53" s="538" t="s">
        <v>2561</v>
      </c>
      <c r="E53" s="538" t="s">
        <v>2562</v>
      </c>
      <c r="F53" s="538" t="s">
        <v>2563</v>
      </c>
      <c r="G53" s="538" t="s">
        <v>2564</v>
      </c>
      <c r="H53" s="538" t="s">
        <v>2565</v>
      </c>
      <c r="I53" s="538" t="s">
        <v>2566</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2530</v>
      </c>
      <c r="B61" s="527" t="s">
        <v>2573</v>
      </c>
      <c r="C61" s="572" t="s">
        <v>2568</v>
      </c>
      <c r="D61" s="572" t="s">
        <v>2569</v>
      </c>
      <c r="E61" s="572" t="s">
        <v>2570</v>
      </c>
      <c r="F61" s="572" t="s">
        <v>2571</v>
      </c>
      <c r="G61" s="572" t="s">
        <v>2572</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2711</v>
      </c>
      <c r="C63" s="577" t="s">
        <v>2568</v>
      </c>
      <c r="D63" s="577" t="s">
        <v>2569</v>
      </c>
      <c r="E63" s="577" t="s">
        <v>2570</v>
      </c>
      <c r="F63" s="577" t="s">
        <v>2571</v>
      </c>
      <c r="G63" s="577" t="s">
        <v>2572</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2660</v>
      </c>
      <c r="C65" s="659" t="s">
        <v>2646</v>
      </c>
      <c r="D65" s="659" t="s">
        <v>2647</v>
      </c>
      <c r="E65" s="659" t="s">
        <v>2648</v>
      </c>
      <c r="F65" s="659" t="s">
        <v>2649</v>
      </c>
      <c r="G65" s="659" t="s">
        <v>2650</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2580</v>
      </c>
      <c r="C67" s="577" t="s">
        <v>2568</v>
      </c>
      <c r="D67" s="577" t="s">
        <v>2569</v>
      </c>
      <c r="E67" s="577" t="s">
        <v>2570</v>
      </c>
      <c r="F67" s="577" t="s">
        <v>2571</v>
      </c>
      <c r="G67" s="577" t="s">
        <v>2572</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2700</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2534</v>
      </c>
      <c r="B77" s="527" t="s">
        <v>2587</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2703</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2704</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2712</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2713</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2714</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2715</v>
      </c>
      <c r="B1" s="394"/>
      <c r="C1" s="395" t="s">
        <v>2716</v>
      </c>
      <c r="D1" s="754"/>
      <c r="E1" s="754"/>
      <c r="F1" s="753" t="s">
        <v>2614</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2298</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2300</v>
      </c>
      <c r="B3" s="608" t="e">
        <f>ROUND(IF(D3="",B2*10000/'数据-汇总表'!E3,B2*10000/D3),0)</f>
        <v>#DIV/0!</v>
      </c>
      <c r="C3" s="246" t="s">
        <v>2717</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2616</v>
      </c>
      <c r="B4" s="401"/>
      <c r="C4" s="3310" t="s">
        <v>2617</v>
      </c>
      <c r="D4" s="3311"/>
      <c r="E4" s="3312" t="s">
        <v>2618</v>
      </c>
      <c r="F4" s="3313"/>
      <c r="G4" s="3310" t="s">
        <v>2619</v>
      </c>
      <c r="H4" s="3311"/>
      <c r="I4" s="3310" t="s">
        <v>2620</v>
      </c>
      <c r="J4" s="3311"/>
      <c r="K4" s="609" t="s">
        <v>2621</v>
      </c>
      <c r="L4" s="1132"/>
      <c r="M4" s="1133"/>
      <c r="N4" s="1133"/>
      <c r="O4" s="1133"/>
      <c r="P4" s="3355" t="s">
        <v>2622</v>
      </c>
      <c r="Q4" s="3356"/>
      <c r="R4" s="3359" t="s">
        <v>2618</v>
      </c>
      <c r="S4" s="3360"/>
      <c r="T4" s="3359" t="s">
        <v>2619</v>
      </c>
      <c r="U4" s="3360"/>
      <c r="V4" s="3327" t="s">
        <v>2620</v>
      </c>
      <c r="W4" s="3327"/>
      <c r="X4" s="1815"/>
      <c r="Y4" s="3359" t="s">
        <v>2622</v>
      </c>
      <c r="Z4" s="3360"/>
      <c r="AA4" s="3354" t="s">
        <v>2618</v>
      </c>
      <c r="AB4" s="3339" t="s">
        <v>2619</v>
      </c>
      <c r="AC4" s="3354" t="s">
        <v>2620</v>
      </c>
    </row>
    <row r="5" spans="1:30" ht="15">
      <c r="A5" s="403"/>
      <c r="B5" s="404"/>
      <c r="C5" s="3363" t="s">
        <v>2513</v>
      </c>
      <c r="D5" s="3364"/>
      <c r="E5" s="3367" t="s">
        <v>2514</v>
      </c>
      <c r="F5" s="3368"/>
      <c r="G5" s="3363" t="s">
        <v>2515</v>
      </c>
      <c r="H5" s="3364"/>
      <c r="I5" s="3363" t="s">
        <v>2516</v>
      </c>
      <c r="J5" s="3364"/>
      <c r="K5" s="609"/>
      <c r="L5" s="1132"/>
      <c r="M5" s="1133"/>
      <c r="N5" s="1133"/>
      <c r="O5" s="1133"/>
      <c r="P5" s="3357"/>
      <c r="Q5" s="3317"/>
      <c r="R5" s="3322"/>
      <c r="S5" s="3323"/>
      <c r="T5" s="3322"/>
      <c r="U5" s="3323"/>
      <c r="V5" s="3327"/>
      <c r="W5" s="3327"/>
      <c r="X5" s="1815"/>
      <c r="Y5" s="3322"/>
      <c r="Z5" s="3323"/>
      <c r="AA5" s="3339"/>
      <c r="AB5" s="3339"/>
      <c r="AC5" s="3339"/>
    </row>
    <row r="6" spans="1:30" ht="15.75" thickBot="1">
      <c r="A6" s="405"/>
      <c r="B6" s="406"/>
      <c r="C6" s="3361" t="s">
        <v>2517</v>
      </c>
      <c r="D6" s="3362"/>
      <c r="E6" s="3365" t="s">
        <v>2517</v>
      </c>
      <c r="F6" s="3366"/>
      <c r="G6" s="3361" t="s">
        <v>2517</v>
      </c>
      <c r="H6" s="3362"/>
      <c r="I6" s="3361" t="s">
        <v>2517</v>
      </c>
      <c r="J6" s="3362"/>
      <c r="K6" s="609" t="s">
        <v>2518</v>
      </c>
      <c r="L6" s="1132"/>
      <c r="M6" s="1133"/>
      <c r="N6" s="1133"/>
      <c r="O6" s="1133"/>
      <c r="P6" s="3358"/>
      <c r="Q6" s="3319"/>
      <c r="R6" s="3322"/>
      <c r="S6" s="3323"/>
      <c r="T6" s="3324"/>
      <c r="U6" s="3325"/>
      <c r="V6" s="3327"/>
      <c r="W6" s="3327"/>
      <c r="X6" s="1815"/>
      <c r="Y6" s="3324"/>
      <c r="Z6" s="3325"/>
      <c r="AA6" s="3340"/>
      <c r="AB6" s="3340"/>
      <c r="AC6" s="3340"/>
    </row>
    <row r="7" spans="1:30" s="117" customFormat="1" ht="15.75" thickBot="1">
      <c r="A7" s="407" t="s">
        <v>2519</v>
      </c>
      <c r="B7" s="408"/>
      <c r="C7" s="409">
        <f>'数据-取费表'!B2</f>
        <v>43395</v>
      </c>
      <c r="D7" s="410">
        <v>100</v>
      </c>
      <c r="E7" s="411">
        <v>42309</v>
      </c>
      <c r="F7" s="412">
        <f>SUMIF(70:70,YEAR(E7)&amp;"-"&amp;INT((MONTH(E7)+2)/3),71:71)</f>
        <v>0</v>
      </c>
      <c r="G7" s="2660">
        <v>42309</v>
      </c>
      <c r="H7" s="410">
        <f>SUMIF(70:70,YEAR(G7)&amp;"-"&amp;INT((MONTH(G7)+2)/3),71:71)</f>
        <v>0</v>
      </c>
      <c r="I7" s="2660">
        <v>42036</v>
      </c>
      <c r="J7" s="410">
        <f>SUMIF(70:70,YEAR(I7)&amp;"-"&amp;INT((MONTH(I7)+2)/3),71:71)</f>
        <v>0</v>
      </c>
      <c r="K7" s="610"/>
      <c r="L7" s="1134"/>
      <c r="M7" s="1135"/>
      <c r="N7" s="1135"/>
      <c r="O7" s="1135"/>
      <c r="P7" s="3334" t="s">
        <v>2520</v>
      </c>
      <c r="Q7" s="3335"/>
      <c r="R7" s="769" t="s">
        <v>17</v>
      </c>
      <c r="S7" s="770">
        <f t="shared" ref="S7:S15" si="0">F7</f>
        <v>0</v>
      </c>
      <c r="T7" s="769" t="s">
        <v>17</v>
      </c>
      <c r="U7" s="770">
        <f t="shared" ref="U7:U15" si="1">H7</f>
        <v>0</v>
      </c>
      <c r="V7" s="769" t="s">
        <v>17</v>
      </c>
      <c r="W7" s="770">
        <f t="shared" ref="W7:W15" si="2">J7</f>
        <v>0</v>
      </c>
      <c r="X7" s="771"/>
      <c r="Y7" s="3334" t="s">
        <v>2520</v>
      </c>
      <c r="Z7" s="3333"/>
      <c r="AA7" s="772" t="e">
        <f>D7/F7</f>
        <v>#DIV/0!</v>
      </c>
      <c r="AB7" s="772" t="e">
        <f>D7/H7</f>
        <v>#DIV/0!</v>
      </c>
      <c r="AC7" s="772" t="e">
        <f>D7/J7</f>
        <v>#DIV/0!</v>
      </c>
    </row>
    <row r="8" spans="1:30" s="117" customFormat="1" ht="15.75" thickBot="1">
      <c r="A8" s="407" t="s">
        <v>2521</v>
      </c>
      <c r="B8" s="408"/>
      <c r="C8" s="413" t="s">
        <v>2522</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334" t="s">
        <v>2523</v>
      </c>
      <c r="Q8" s="3333"/>
      <c r="R8" s="769" t="s">
        <v>17</v>
      </c>
      <c r="S8" s="770">
        <f t="shared" si="0"/>
        <v>0</v>
      </c>
      <c r="T8" s="769" t="s">
        <v>17</v>
      </c>
      <c r="U8" s="770">
        <f t="shared" si="1"/>
        <v>0</v>
      </c>
      <c r="V8" s="769" t="s">
        <v>17</v>
      </c>
      <c r="W8" s="770">
        <f t="shared" si="2"/>
        <v>0</v>
      </c>
      <c r="X8" s="771"/>
      <c r="Y8" s="3334" t="s">
        <v>2523</v>
      </c>
      <c r="Z8" s="3333"/>
      <c r="AA8" s="772" t="e">
        <f t="shared" ref="AA8:AA45" si="3">D8/F8</f>
        <v>#DIV/0!</v>
      </c>
      <c r="AB8" s="772" t="e">
        <f t="shared" ref="AB8:AB45" si="4">D8/H8</f>
        <v>#DIV/0!</v>
      </c>
      <c r="AC8" s="772" t="e">
        <f t="shared" ref="AC8:AC45" si="5">D8/J8</f>
        <v>#DIV/0!</v>
      </c>
    </row>
    <row r="9" spans="1:30" s="117" customFormat="1">
      <c r="A9" s="414" t="s">
        <v>2524</v>
      </c>
      <c r="B9" s="71" t="s">
        <v>2525</v>
      </c>
      <c r="C9" s="2663"/>
      <c r="D9" s="134">
        <v>100</v>
      </c>
      <c r="E9" s="2663"/>
      <c r="F9" s="134">
        <f>SUMIF(75:75,E9,76:76)-SUMIF(75:75,C9,76:76)+100</f>
        <v>100</v>
      </c>
      <c r="G9" s="2663"/>
      <c r="H9" s="134">
        <f>SUMIF(75:75,G9,76:76)-SUMIF(75:75,C9,76:76)+100</f>
        <v>100</v>
      </c>
      <c r="I9" s="2663"/>
      <c r="J9" s="134">
        <f>SUMIF(75:75,I9,76:76)-SUMIF(75:75,C9,76:76)+100</f>
        <v>100</v>
      </c>
      <c r="K9" s="610"/>
      <c r="L9" s="1134"/>
      <c r="M9" s="1135"/>
      <c r="N9" s="1135"/>
      <c r="O9" s="1136"/>
      <c r="P9" s="3293" t="s">
        <v>2526</v>
      </c>
      <c r="Q9" s="1797" t="str">
        <f t="shared" ref="Q9:Q15" si="6">B9</f>
        <v>用途</v>
      </c>
      <c r="R9" s="769" t="s">
        <v>17</v>
      </c>
      <c r="S9" s="770">
        <f t="shared" si="0"/>
        <v>100</v>
      </c>
      <c r="T9" s="769" t="s">
        <v>17</v>
      </c>
      <c r="U9" s="770">
        <f t="shared" si="1"/>
        <v>100</v>
      </c>
      <c r="V9" s="769" t="s">
        <v>17</v>
      </c>
      <c r="W9" s="770">
        <f t="shared" si="2"/>
        <v>100</v>
      </c>
      <c r="X9" s="771"/>
      <c r="Y9" s="3150" t="s">
        <v>2527</v>
      </c>
      <c r="Z9" s="55" t="str">
        <f t="shared" ref="Z9:Z15" si="7">Q9</f>
        <v>用途</v>
      </c>
      <c r="AA9" s="772">
        <f t="shared" si="3"/>
        <v>1</v>
      </c>
      <c r="AB9" s="772">
        <f t="shared" si="4"/>
        <v>1</v>
      </c>
      <c r="AC9" s="772">
        <f t="shared" si="5"/>
        <v>1</v>
      </c>
    </row>
    <row r="10" spans="1:30" s="426" customFormat="1" ht="27">
      <c r="A10" s="420"/>
      <c r="B10" s="421" t="s">
        <v>2528</v>
      </c>
      <c r="C10" s="431"/>
      <c r="D10" s="135">
        <v>100</v>
      </c>
      <c r="E10" s="464"/>
      <c r="F10" s="135">
        <f>ROUND(100/'数据-取费表'!G16,0)</f>
        <v>113</v>
      </c>
      <c r="G10" s="462"/>
      <c r="H10" s="135">
        <f>ROUND(100/'数据-取费表'!G16,0)</f>
        <v>113</v>
      </c>
      <c r="I10" s="462"/>
      <c r="J10" s="135">
        <f>ROUND(100/'数据-取费表'!G16,0)</f>
        <v>113</v>
      </c>
      <c r="K10" s="671"/>
      <c r="L10" s="1137"/>
      <c r="M10" s="1138"/>
      <c r="N10" s="1138"/>
      <c r="O10" s="1139"/>
      <c r="P10" s="3293"/>
      <c r="Q10" s="1797" t="str">
        <f t="shared" si="6"/>
        <v>土地使用年限（年）</v>
      </c>
      <c r="R10" s="769" t="s">
        <v>17</v>
      </c>
      <c r="S10" s="770">
        <f t="shared" si="0"/>
        <v>113</v>
      </c>
      <c r="T10" s="769" t="s">
        <v>17</v>
      </c>
      <c r="U10" s="770">
        <f t="shared" si="1"/>
        <v>113</v>
      </c>
      <c r="V10" s="769" t="s">
        <v>17</v>
      </c>
      <c r="W10" s="770">
        <f t="shared" si="2"/>
        <v>113</v>
      </c>
      <c r="X10" s="771"/>
      <c r="Y10" s="3150"/>
      <c r="Z10" s="55" t="str">
        <f t="shared" si="7"/>
        <v>土地使用年限（年）</v>
      </c>
      <c r="AA10" s="772">
        <f t="shared" si="3"/>
        <v>0.88495575221238942</v>
      </c>
      <c r="AB10" s="772">
        <f t="shared" si="4"/>
        <v>0.88495575221238942</v>
      </c>
      <c r="AC10" s="772">
        <f t="shared" si="5"/>
        <v>0.88495575221238942</v>
      </c>
    </row>
    <row r="11" spans="1:30" ht="15">
      <c r="A11" s="427"/>
      <c r="B11" s="421" t="s">
        <v>2529</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40"/>
      <c r="M11" s="1133"/>
      <c r="N11" s="1133"/>
      <c r="O11" s="1141"/>
      <c r="P11" s="3293"/>
      <c r="Q11" s="1797" t="str">
        <f t="shared" si="6"/>
        <v>容积率</v>
      </c>
      <c r="R11" s="769" t="s">
        <v>17</v>
      </c>
      <c r="S11" s="770" t="e">
        <f t="shared" si="0"/>
        <v>#N/A</v>
      </c>
      <c r="T11" s="769" t="s">
        <v>17</v>
      </c>
      <c r="U11" s="770" t="e">
        <f t="shared" si="1"/>
        <v>#N/A</v>
      </c>
      <c r="V11" s="769" t="s">
        <v>17</v>
      </c>
      <c r="W11" s="770" t="e">
        <f t="shared" si="2"/>
        <v>#N/A</v>
      </c>
      <c r="X11" s="771"/>
      <c r="Y11" s="3150"/>
      <c r="Z11" s="55" t="str">
        <f t="shared" si="7"/>
        <v>容积率</v>
      </c>
      <c r="AA11" s="772" t="e">
        <f t="shared" si="3"/>
        <v>#N/A</v>
      </c>
      <c r="AB11" s="772" t="e">
        <f t="shared" si="4"/>
        <v>#N/A</v>
      </c>
      <c r="AC11" s="772" t="e">
        <f t="shared" si="5"/>
        <v>#N/A</v>
      </c>
    </row>
    <row r="12" spans="1:30" s="117" customFormat="1" ht="15">
      <c r="A12" s="430"/>
      <c r="B12" s="2564" t="s">
        <v>2718</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293"/>
      <c r="Q12" s="1797" t="str">
        <f t="shared" si="6"/>
        <v>配建</v>
      </c>
      <c r="R12" s="769" t="s">
        <v>17</v>
      </c>
      <c r="S12" s="770">
        <f t="shared" si="0"/>
        <v>100</v>
      </c>
      <c r="T12" s="769" t="s">
        <v>17</v>
      </c>
      <c r="U12" s="770">
        <f t="shared" si="1"/>
        <v>100</v>
      </c>
      <c r="V12" s="769" t="s">
        <v>17</v>
      </c>
      <c r="W12" s="770">
        <f t="shared" si="2"/>
        <v>100</v>
      </c>
      <c r="X12" s="771"/>
      <c r="Y12" s="3150"/>
      <c r="Z12" s="55" t="str">
        <f t="shared" si="7"/>
        <v>配建</v>
      </c>
      <c r="AA12" s="772">
        <f>D12/F12</f>
        <v>1</v>
      </c>
      <c r="AB12" s="772">
        <f>D12/H12</f>
        <v>1</v>
      </c>
      <c r="AC12" s="772">
        <f>D12/J12</f>
        <v>1</v>
      </c>
    </row>
    <row r="13" spans="1:30" ht="15">
      <c r="A13" s="427"/>
      <c r="B13" s="2564">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293"/>
      <c r="Q13" s="1797">
        <f t="shared" si="6"/>
        <v>111</v>
      </c>
      <c r="R13" s="769" t="s">
        <v>17</v>
      </c>
      <c r="S13" s="770">
        <f t="shared" si="0"/>
        <v>100</v>
      </c>
      <c r="T13" s="769" t="s">
        <v>17</v>
      </c>
      <c r="U13" s="770">
        <f t="shared" si="1"/>
        <v>100</v>
      </c>
      <c r="V13" s="769" t="s">
        <v>17</v>
      </c>
      <c r="W13" s="770">
        <f t="shared" si="2"/>
        <v>100</v>
      </c>
      <c r="X13" s="771"/>
      <c r="Y13" s="3150"/>
      <c r="Z13" s="55">
        <f t="shared" si="7"/>
        <v>111</v>
      </c>
      <c r="AA13" s="772">
        <f>D13/F13</f>
        <v>1</v>
      </c>
      <c r="AB13" s="772">
        <f>D13/H13</f>
        <v>1</v>
      </c>
      <c r="AC13" s="772">
        <f>D13/J13</f>
        <v>1</v>
      </c>
    </row>
    <row r="14" spans="1:30" ht="15.75" thickBot="1">
      <c r="A14" s="435"/>
      <c r="B14" s="2566">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293"/>
      <c r="Q14" s="1797">
        <f t="shared" si="6"/>
        <v>111</v>
      </c>
      <c r="R14" s="769" t="s">
        <v>17</v>
      </c>
      <c r="S14" s="770">
        <f t="shared" si="0"/>
        <v>100</v>
      </c>
      <c r="T14" s="769" t="s">
        <v>17</v>
      </c>
      <c r="U14" s="770">
        <f t="shared" si="1"/>
        <v>100</v>
      </c>
      <c r="V14" s="769" t="s">
        <v>17</v>
      </c>
      <c r="W14" s="770">
        <f t="shared" si="2"/>
        <v>100</v>
      </c>
      <c r="X14" s="771"/>
      <c r="Y14" s="3150"/>
      <c r="Z14" s="55">
        <f t="shared" si="7"/>
        <v>111</v>
      </c>
      <c r="AA14" s="772">
        <f>D14/F14</f>
        <v>1</v>
      </c>
      <c r="AB14" s="772">
        <f>D14/H14</f>
        <v>1</v>
      </c>
      <c r="AC14" s="772">
        <f>D14/J14</f>
        <v>1</v>
      </c>
    </row>
    <row r="15" spans="1:30" ht="15">
      <c r="A15" s="439" t="s">
        <v>2530</v>
      </c>
      <c r="B15" s="69" t="s">
        <v>2083</v>
      </c>
      <c r="C15" s="2567">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300" t="s">
        <v>2531</v>
      </c>
      <c r="Q15" s="1812" t="str">
        <f t="shared" si="6"/>
        <v>居住社区成熟度</v>
      </c>
      <c r="R15" s="773" t="s">
        <v>17</v>
      </c>
      <c r="S15" s="774">
        <f t="shared" si="0"/>
        <v>100</v>
      </c>
      <c r="T15" s="773" t="s">
        <v>17</v>
      </c>
      <c r="U15" s="774">
        <f t="shared" si="1"/>
        <v>100</v>
      </c>
      <c r="V15" s="773" t="s">
        <v>17</v>
      </c>
      <c r="W15" s="774">
        <f t="shared" si="2"/>
        <v>100</v>
      </c>
      <c r="X15" s="1815"/>
      <c r="Y15" s="3300" t="s">
        <v>2531</v>
      </c>
      <c r="Z15" s="1816" t="str">
        <f t="shared" si="7"/>
        <v>居住社区成熟度</v>
      </c>
      <c r="AA15" s="1813">
        <f t="shared" si="3"/>
        <v>1</v>
      </c>
      <c r="AB15" s="1813">
        <f t="shared" si="4"/>
        <v>1</v>
      </c>
      <c r="AC15" s="1813">
        <f t="shared" si="5"/>
        <v>1</v>
      </c>
    </row>
    <row r="16" spans="1:30" ht="15">
      <c r="A16" s="427"/>
      <c r="B16" s="445"/>
      <c r="C16" s="446"/>
      <c r="D16" s="447"/>
      <c r="E16" s="2569"/>
      <c r="F16" s="447"/>
      <c r="G16" s="2569"/>
      <c r="H16" s="449"/>
      <c r="I16" s="2568"/>
      <c r="J16" s="447"/>
      <c r="K16" s="671"/>
      <c r="L16" s="1142"/>
      <c r="M16" s="1133"/>
      <c r="N16" s="1133"/>
      <c r="O16" s="1141"/>
      <c r="P16" s="3301"/>
      <c r="Q16" s="1812"/>
      <c r="R16" s="773"/>
      <c r="S16" s="774"/>
      <c r="T16" s="773"/>
      <c r="U16" s="774"/>
      <c r="V16" s="773"/>
      <c r="W16" s="774"/>
      <c r="X16" s="1815"/>
      <c r="Y16" s="3301"/>
      <c r="Z16" s="1816"/>
      <c r="AA16" s="1813">
        <v>1</v>
      </c>
      <c r="AB16" s="1813">
        <v>1</v>
      </c>
      <c r="AC16" s="1813">
        <v>1</v>
      </c>
    </row>
    <row r="17" spans="1:29" ht="15">
      <c r="A17" s="427"/>
      <c r="B17" s="450" t="s">
        <v>2624</v>
      </c>
      <c r="C17" s="2628" t="str">
        <f>估价对象房地状况!C16</f>
        <v>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301"/>
      <c r="Q17" s="1812" t="str">
        <f>B17</f>
        <v>商业繁华度</v>
      </c>
      <c r="R17" s="773" t="s">
        <v>17</v>
      </c>
      <c r="S17" s="774">
        <f>F17</f>
        <v>100</v>
      </c>
      <c r="T17" s="773" t="s">
        <v>17</v>
      </c>
      <c r="U17" s="774">
        <f>H17</f>
        <v>100</v>
      </c>
      <c r="V17" s="773" t="s">
        <v>17</v>
      </c>
      <c r="W17" s="774">
        <f>J17</f>
        <v>100</v>
      </c>
      <c r="X17" s="1815"/>
      <c r="Y17" s="3301"/>
      <c r="Z17" s="1816" t="str">
        <f>Q17</f>
        <v>商业繁华度</v>
      </c>
      <c r="AA17" s="1813">
        <f t="shared" si="3"/>
        <v>1</v>
      </c>
      <c r="AB17" s="1813">
        <f t="shared" si="4"/>
        <v>1</v>
      </c>
      <c r="AC17" s="1813">
        <f t="shared" si="5"/>
        <v>1</v>
      </c>
    </row>
    <row r="18" spans="1:29" ht="15">
      <c r="A18" s="427"/>
      <c r="B18" s="455"/>
      <c r="C18" s="2572"/>
      <c r="D18" s="449"/>
      <c r="E18" s="2574"/>
      <c r="F18" s="449"/>
      <c r="G18" s="2574"/>
      <c r="H18" s="447"/>
      <c r="I18" s="2573"/>
      <c r="J18" s="447"/>
      <c r="K18" s="671"/>
      <c r="L18" s="1142"/>
      <c r="M18" s="1133"/>
      <c r="N18" s="1133"/>
      <c r="O18" s="1141"/>
      <c r="P18" s="3301"/>
      <c r="Q18" s="1812"/>
      <c r="R18" s="773"/>
      <c r="S18" s="774"/>
      <c r="T18" s="773"/>
      <c r="U18" s="774"/>
      <c r="V18" s="773"/>
      <c r="W18" s="774"/>
      <c r="X18" s="1815"/>
      <c r="Y18" s="3301"/>
      <c r="Z18" s="1816"/>
      <c r="AA18" s="1813">
        <v>1</v>
      </c>
      <c r="AB18" s="1813">
        <v>1</v>
      </c>
      <c r="AC18" s="1813">
        <v>1</v>
      </c>
    </row>
    <row r="19" spans="1:29" ht="15">
      <c r="A19" s="427"/>
      <c r="B19" s="450" t="s">
        <v>2658</v>
      </c>
      <c r="C19" s="2628" t="str">
        <f>估价对象房地状况!C17</f>
        <v>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301"/>
      <c r="Q19" s="1812" t="str">
        <f>B19</f>
        <v>办公集聚程度</v>
      </c>
      <c r="R19" s="773" t="s">
        <v>17</v>
      </c>
      <c r="S19" s="774">
        <f>F19</f>
        <v>100</v>
      </c>
      <c r="T19" s="773" t="s">
        <v>17</v>
      </c>
      <c r="U19" s="774">
        <f>H19</f>
        <v>100</v>
      </c>
      <c r="V19" s="773" t="s">
        <v>17</v>
      </c>
      <c r="W19" s="774">
        <f>J19</f>
        <v>100</v>
      </c>
      <c r="X19" s="1815"/>
      <c r="Y19" s="3301"/>
      <c r="Z19" s="1816" t="str">
        <f>Q19</f>
        <v>办公集聚程度</v>
      </c>
      <c r="AA19" s="1813">
        <f t="shared" si="3"/>
        <v>1</v>
      </c>
      <c r="AB19" s="1813">
        <f t="shared" si="4"/>
        <v>1</v>
      </c>
      <c r="AC19" s="1813">
        <f t="shared" si="5"/>
        <v>1</v>
      </c>
    </row>
    <row r="20" spans="1:29" ht="15">
      <c r="A20" s="427"/>
      <c r="B20" s="455"/>
      <c r="C20" s="446"/>
      <c r="D20" s="447"/>
      <c r="E20" s="2569"/>
      <c r="F20" s="447"/>
      <c r="G20" s="2569"/>
      <c r="H20" s="447"/>
      <c r="I20" s="2568"/>
      <c r="J20" s="447"/>
      <c r="K20" s="671"/>
      <c r="L20" s="1142"/>
      <c r="M20" s="1133"/>
      <c r="N20" s="1133"/>
      <c r="O20" s="1141"/>
      <c r="P20" s="3301"/>
      <c r="Q20" s="1812"/>
      <c r="R20" s="773"/>
      <c r="S20" s="774"/>
      <c r="T20" s="773"/>
      <c r="U20" s="774"/>
      <c r="V20" s="773"/>
      <c r="W20" s="774"/>
      <c r="X20" s="1815"/>
      <c r="Y20" s="3301"/>
      <c r="Z20" s="1816"/>
      <c r="AA20" s="1813">
        <v>1</v>
      </c>
      <c r="AB20" s="1813">
        <v>1</v>
      </c>
      <c r="AC20" s="1813">
        <v>1</v>
      </c>
    </row>
    <row r="21" spans="1:29" ht="15">
      <c r="A21" s="427"/>
      <c r="B21" s="450" t="s">
        <v>2680</v>
      </c>
      <c r="C21" s="2571" t="str">
        <f>估价对象房地状况!C18</f>
        <v>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301"/>
      <c r="Q21" s="1812" t="str">
        <f>B21</f>
        <v>交通便捷度</v>
      </c>
      <c r="R21" s="773" t="s">
        <v>17</v>
      </c>
      <c r="S21" s="774">
        <f>F21</f>
        <v>100</v>
      </c>
      <c r="T21" s="773" t="s">
        <v>17</v>
      </c>
      <c r="U21" s="774">
        <f>H21</f>
        <v>100</v>
      </c>
      <c r="V21" s="773" t="s">
        <v>17</v>
      </c>
      <c r="W21" s="774">
        <f>J21</f>
        <v>100</v>
      </c>
      <c r="X21" s="1815"/>
      <c r="Y21" s="3301"/>
      <c r="Z21" s="1816" t="str">
        <f>Q21</f>
        <v>交通便捷度</v>
      </c>
      <c r="AA21" s="1813">
        <f t="shared" si="3"/>
        <v>1</v>
      </c>
      <c r="AB21" s="1813">
        <f t="shared" si="4"/>
        <v>1</v>
      </c>
      <c r="AC21" s="1813">
        <f t="shared" si="5"/>
        <v>1</v>
      </c>
    </row>
    <row r="22" spans="1:29" ht="15">
      <c r="A22" s="427"/>
      <c r="B22" s="1386"/>
      <c r="C22" s="446"/>
      <c r="D22" s="449"/>
      <c r="E22" s="2569"/>
      <c r="F22" s="447"/>
      <c r="G22" s="2569"/>
      <c r="H22" s="447"/>
      <c r="I22" s="2568"/>
      <c r="J22" s="447"/>
      <c r="K22" s="671"/>
      <c r="L22" s="1142"/>
      <c r="M22" s="1133"/>
      <c r="N22" s="1133"/>
      <c r="O22" s="1141"/>
      <c r="P22" s="3301"/>
      <c r="Q22" s="1812"/>
      <c r="R22" s="773"/>
      <c r="S22" s="774"/>
      <c r="T22" s="773"/>
      <c r="U22" s="774"/>
      <c r="V22" s="773"/>
      <c r="W22" s="774"/>
      <c r="X22" s="1815"/>
      <c r="Y22" s="3301"/>
      <c r="Z22" s="1816"/>
      <c r="AA22" s="1813">
        <v>1</v>
      </c>
      <c r="AB22" s="1813">
        <v>1</v>
      </c>
      <c r="AC22" s="1813">
        <v>1</v>
      </c>
    </row>
    <row r="23" spans="1:29" ht="15">
      <c r="A23" s="403"/>
      <c r="B23" s="450" t="s">
        <v>2719</v>
      </c>
      <c r="C23" s="1391" t="str">
        <f>估价对象房地状况!C19</f>
        <v>一致</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301"/>
      <c r="Q23" s="1812" t="str">
        <f t="shared" ref="Q23:Q37" si="8">B23</f>
        <v>区域土地利用方向</v>
      </c>
      <c r="R23" s="773" t="s">
        <v>17</v>
      </c>
      <c r="S23" s="774">
        <f>F23</f>
        <v>100</v>
      </c>
      <c r="T23" s="773" t="s">
        <v>17</v>
      </c>
      <c r="U23" s="774">
        <f>H23</f>
        <v>100</v>
      </c>
      <c r="V23" s="773" t="s">
        <v>17</v>
      </c>
      <c r="W23" s="774">
        <f>J23</f>
        <v>100</v>
      </c>
      <c r="X23" s="1815"/>
      <c r="Y23" s="3301"/>
      <c r="Z23" s="1816" t="str">
        <f>Q23</f>
        <v>区域土地利用方向</v>
      </c>
      <c r="AA23" s="1813">
        <f t="shared" si="3"/>
        <v>1</v>
      </c>
      <c r="AB23" s="1813">
        <f t="shared" si="4"/>
        <v>1</v>
      </c>
      <c r="AC23" s="1813">
        <f t="shared" si="5"/>
        <v>1</v>
      </c>
    </row>
    <row r="24" spans="1:29" ht="15">
      <c r="A24" s="403"/>
      <c r="B24" s="455"/>
      <c r="C24" s="615"/>
      <c r="D24" s="447"/>
      <c r="E24" s="2569"/>
      <c r="F24" s="447"/>
      <c r="G24" s="2568"/>
      <c r="H24" s="447"/>
      <c r="I24" s="2568"/>
      <c r="J24" s="447"/>
      <c r="K24" s="811"/>
      <c r="L24" s="1142"/>
      <c r="M24" s="1133"/>
      <c r="N24" s="1133"/>
      <c r="O24" s="1141"/>
      <c r="P24" s="3301"/>
      <c r="Q24" s="1812"/>
      <c r="R24" s="773"/>
      <c r="S24" s="774"/>
      <c r="T24" s="773"/>
      <c r="U24" s="774"/>
      <c r="V24" s="773"/>
      <c r="W24" s="774"/>
      <c r="X24" s="1815"/>
      <c r="Y24" s="3301"/>
      <c r="Z24" s="1816"/>
      <c r="AA24" s="1813"/>
      <c r="AB24" s="1813"/>
      <c r="AC24" s="1813"/>
    </row>
    <row r="25" spans="1:29" ht="27">
      <c r="A25" s="403"/>
      <c r="B25" s="1386" t="s">
        <v>2720</v>
      </c>
      <c r="C25" s="2628" t="str">
        <f>估价对象房地状况!C20</f>
        <v>好</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301"/>
      <c r="Q25" s="1812" t="str">
        <f t="shared" si="8"/>
        <v>自然及人文环境状况</v>
      </c>
      <c r="R25" s="773" t="s">
        <v>17</v>
      </c>
      <c r="S25" s="774">
        <f>F25</f>
        <v>100</v>
      </c>
      <c r="T25" s="773" t="s">
        <v>17</v>
      </c>
      <c r="U25" s="774">
        <f>H25</f>
        <v>100</v>
      </c>
      <c r="V25" s="773" t="s">
        <v>17</v>
      </c>
      <c r="W25" s="774">
        <f>J25</f>
        <v>100</v>
      </c>
      <c r="X25" s="1815"/>
      <c r="Y25" s="3301"/>
      <c r="Z25" s="1816" t="str">
        <f>Q25</f>
        <v>自然及人文环境状况</v>
      </c>
      <c r="AA25" s="1813">
        <f t="shared" si="3"/>
        <v>1</v>
      </c>
      <c r="AB25" s="1813">
        <f t="shared" si="4"/>
        <v>1</v>
      </c>
      <c r="AC25" s="1813">
        <f t="shared" si="5"/>
        <v>1</v>
      </c>
    </row>
    <row r="26" spans="1:29" ht="15">
      <c r="A26" s="403"/>
      <c r="B26" s="455"/>
      <c r="C26" s="446"/>
      <c r="D26" s="447"/>
      <c r="E26" s="2575"/>
      <c r="F26" s="447"/>
      <c r="G26" s="2575"/>
      <c r="H26" s="447"/>
      <c r="I26" s="446"/>
      <c r="J26" s="447"/>
      <c r="K26" s="671"/>
      <c r="L26" s="1142"/>
      <c r="M26" s="1133"/>
      <c r="N26" s="1133"/>
      <c r="O26" s="1141"/>
      <c r="P26" s="3301"/>
      <c r="Q26" s="1812"/>
      <c r="R26" s="773"/>
      <c r="S26" s="774"/>
      <c r="T26" s="773"/>
      <c r="U26" s="774"/>
      <c r="V26" s="773"/>
      <c r="W26" s="774"/>
      <c r="X26" s="1815"/>
      <c r="Y26" s="3301"/>
      <c r="Z26" s="1816"/>
      <c r="AA26" s="1813">
        <v>1</v>
      </c>
      <c r="AB26" s="1813">
        <v>1</v>
      </c>
      <c r="AC26" s="1813">
        <v>1</v>
      </c>
    </row>
    <row r="27" spans="1:29" s="117" customFormat="1" ht="15">
      <c r="A27" s="648"/>
      <c r="B27" s="1386" t="s">
        <v>2625</v>
      </c>
      <c r="C27" s="2571" t="str">
        <f>估价对象房地状况!C21</f>
        <v>好</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301"/>
      <c r="Q27" s="1797" t="str">
        <f t="shared" si="8"/>
        <v>公共配套设施</v>
      </c>
      <c r="R27" s="769" t="s">
        <v>17</v>
      </c>
      <c r="S27" s="770">
        <f>F27</f>
        <v>100</v>
      </c>
      <c r="T27" s="769" t="s">
        <v>17</v>
      </c>
      <c r="U27" s="770">
        <f>H27</f>
        <v>100</v>
      </c>
      <c r="V27" s="769" t="s">
        <v>17</v>
      </c>
      <c r="W27" s="770">
        <f>J27</f>
        <v>100</v>
      </c>
      <c r="X27" s="771"/>
      <c r="Y27" s="3301"/>
      <c r="Z27" s="55" t="str">
        <f>Q27</f>
        <v>公共配套设施</v>
      </c>
      <c r="AA27" s="1813">
        <f>D27/F27</f>
        <v>1</v>
      </c>
      <c r="AB27" s="1813">
        <f>D27/H27</f>
        <v>1</v>
      </c>
      <c r="AC27" s="1813">
        <f>D27/J27</f>
        <v>1</v>
      </c>
    </row>
    <row r="28" spans="1:29" s="117" customFormat="1" ht="15">
      <c r="A28" s="648"/>
      <c r="B28" s="455"/>
      <c r="C28" s="2664"/>
      <c r="D28" s="447"/>
      <c r="E28" s="2575"/>
      <c r="F28" s="447"/>
      <c r="G28" s="2575"/>
      <c r="H28" s="447"/>
      <c r="I28" s="446"/>
      <c r="J28" s="447"/>
      <c r="K28" s="671"/>
      <c r="L28" s="1134"/>
      <c r="M28" s="1135"/>
      <c r="N28" s="1135"/>
      <c r="O28" s="1136"/>
      <c r="P28" s="3301"/>
      <c r="Q28" s="1797"/>
      <c r="R28" s="769"/>
      <c r="S28" s="770"/>
      <c r="T28" s="769"/>
      <c r="U28" s="770"/>
      <c r="V28" s="769"/>
      <c r="W28" s="770"/>
      <c r="X28" s="771"/>
      <c r="Y28" s="3301"/>
      <c r="Z28" s="55"/>
      <c r="AA28" s="1813">
        <v>1</v>
      </c>
      <c r="AB28" s="1813">
        <v>1</v>
      </c>
      <c r="AC28" s="1813">
        <v>1</v>
      </c>
    </row>
    <row r="29" spans="1:29" s="117" customFormat="1" ht="15">
      <c r="A29" s="648"/>
      <c r="B29" s="1386" t="s">
        <v>2626</v>
      </c>
      <c r="C29" s="2571" t="str">
        <f>估价对象房地状况!C22</f>
        <v>七通</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301"/>
      <c r="Q29" s="1797" t="str">
        <f t="shared" ref="Q29" si="9">B29</f>
        <v>基础设施水平</v>
      </c>
      <c r="R29" s="769" t="s">
        <v>17</v>
      </c>
      <c r="S29" s="770">
        <f>F29</f>
        <v>100</v>
      </c>
      <c r="T29" s="769" t="s">
        <v>17</v>
      </c>
      <c r="U29" s="770">
        <f>H29</f>
        <v>100</v>
      </c>
      <c r="V29" s="769" t="s">
        <v>17</v>
      </c>
      <c r="W29" s="770">
        <f>J29</f>
        <v>100</v>
      </c>
      <c r="X29" s="771"/>
      <c r="Y29" s="3301"/>
      <c r="Z29" s="55" t="str">
        <f>Q29</f>
        <v>基础设施水平</v>
      </c>
      <c r="AA29" s="1813">
        <f>D29/F29</f>
        <v>1</v>
      </c>
      <c r="AB29" s="1813">
        <f>D29/H29</f>
        <v>1</v>
      </c>
      <c r="AC29" s="1813">
        <f>D29/J29</f>
        <v>1</v>
      </c>
    </row>
    <row r="30" spans="1:29" s="117" customFormat="1" ht="15">
      <c r="A30" s="648"/>
      <c r="B30" s="455"/>
      <c r="C30" s="2664"/>
      <c r="D30" s="447"/>
      <c r="E30" s="2665"/>
      <c r="F30" s="447"/>
      <c r="G30" s="2665"/>
      <c r="H30" s="447"/>
      <c r="I30" s="2665"/>
      <c r="J30" s="447"/>
      <c r="K30" s="671"/>
      <c r="L30" s="1134"/>
      <c r="M30" s="1135"/>
      <c r="N30" s="1135"/>
      <c r="O30" s="1136"/>
      <c r="P30" s="3301"/>
      <c r="Q30" s="1797"/>
      <c r="R30" s="769"/>
      <c r="S30" s="770"/>
      <c r="T30" s="769"/>
      <c r="U30" s="770"/>
      <c r="V30" s="769"/>
      <c r="W30" s="770"/>
      <c r="X30" s="771"/>
      <c r="Y30" s="3301"/>
      <c r="Z30" s="55"/>
      <c r="AA30" s="1813">
        <v>1</v>
      </c>
      <c r="AB30" s="1813">
        <v>1</v>
      </c>
      <c r="AC30" s="1813">
        <v>1</v>
      </c>
    </row>
    <row r="31" spans="1:29" ht="15">
      <c r="A31" s="427"/>
      <c r="B31" s="455" t="s">
        <v>2627</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301"/>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301"/>
      <c r="Z31" s="1816" t="str">
        <f t="shared" ref="Z31:Z45" si="13">Q31</f>
        <v>临街状况</v>
      </c>
      <c r="AA31" s="1813">
        <f t="shared" si="3"/>
        <v>1</v>
      </c>
      <c r="AB31" s="1813">
        <f t="shared" si="4"/>
        <v>1</v>
      </c>
      <c r="AC31" s="1813">
        <f t="shared" si="5"/>
        <v>1</v>
      </c>
    </row>
    <row r="32" spans="1:29" ht="27">
      <c r="A32" s="427"/>
      <c r="B32" s="1386" t="s">
        <v>2662</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301"/>
      <c r="Q32" s="1812" t="str">
        <f t="shared" si="8"/>
        <v>毗邻道路的类型与等级</v>
      </c>
      <c r="R32" s="773" t="s">
        <v>17</v>
      </c>
      <c r="S32" s="774">
        <f t="shared" si="10"/>
        <v>100</v>
      </c>
      <c r="T32" s="773" t="s">
        <v>17</v>
      </c>
      <c r="U32" s="774">
        <f t="shared" si="11"/>
        <v>100</v>
      </c>
      <c r="V32" s="773" t="s">
        <v>17</v>
      </c>
      <c r="W32" s="774">
        <f t="shared" si="12"/>
        <v>100</v>
      </c>
      <c r="X32" s="1815"/>
      <c r="Y32" s="3301"/>
      <c r="Z32" s="1816" t="str">
        <f t="shared" si="13"/>
        <v>毗邻道路的类型与等级</v>
      </c>
      <c r="AA32" s="1813">
        <f t="shared" si="3"/>
        <v>1</v>
      </c>
      <c r="AB32" s="1813">
        <f t="shared" si="4"/>
        <v>1</v>
      </c>
      <c r="AC32" s="1813">
        <f t="shared" si="5"/>
        <v>1</v>
      </c>
    </row>
    <row r="33" spans="1:29" ht="15">
      <c r="A33" s="427"/>
      <c r="B33" s="455"/>
      <c r="C33" s="446"/>
      <c r="D33" s="447"/>
      <c r="E33" s="2575"/>
      <c r="F33" s="447"/>
      <c r="G33" s="2575"/>
      <c r="H33" s="447"/>
      <c r="I33" s="446"/>
      <c r="J33" s="447"/>
      <c r="K33" s="612"/>
      <c r="L33" s="1142"/>
      <c r="M33" s="1133"/>
      <c r="N33" s="1133"/>
      <c r="O33" s="1141"/>
      <c r="P33" s="3301"/>
      <c r="Q33" s="1812"/>
      <c r="R33" s="773"/>
      <c r="S33" s="774"/>
      <c r="T33" s="773"/>
      <c r="U33" s="774"/>
      <c r="V33" s="773"/>
      <c r="W33" s="774"/>
      <c r="X33" s="1815"/>
      <c r="Y33" s="3301"/>
      <c r="Z33" s="1816"/>
      <c r="AA33" s="1813">
        <v>1</v>
      </c>
      <c r="AB33" s="1813">
        <v>1</v>
      </c>
      <c r="AC33" s="1813">
        <v>1</v>
      </c>
    </row>
    <row r="34" spans="1:29" ht="15">
      <c r="A34" s="427"/>
      <c r="B34" s="421" t="s">
        <v>2721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301"/>
      <c r="Q34" s="1812" t="str">
        <f t="shared" si="8"/>
        <v>土地级别</v>
      </c>
      <c r="R34" s="773" t="s">
        <v>17</v>
      </c>
      <c r="S34" s="774">
        <f t="shared" si="10"/>
        <v>100</v>
      </c>
      <c r="T34" s="773" t="s">
        <v>17</v>
      </c>
      <c r="U34" s="774">
        <f t="shared" si="11"/>
        <v>100</v>
      </c>
      <c r="V34" s="773" t="s">
        <v>17</v>
      </c>
      <c r="W34" s="774">
        <f t="shared" si="12"/>
        <v>100</v>
      </c>
      <c r="X34" s="1815"/>
      <c r="Y34" s="3301"/>
      <c r="Z34" s="1816" t="str">
        <f t="shared" si="13"/>
        <v>土地级别</v>
      </c>
      <c r="AA34" s="1813">
        <f t="shared" si="3"/>
        <v>1</v>
      </c>
      <c r="AB34" s="1813">
        <f t="shared" si="4"/>
        <v>1</v>
      </c>
      <c r="AC34" s="1813">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301"/>
      <c r="Q35" s="1812">
        <f t="shared" si="8"/>
        <v>111</v>
      </c>
      <c r="R35" s="773" t="s">
        <v>17</v>
      </c>
      <c r="S35" s="774">
        <f t="shared" si="10"/>
        <v>100</v>
      </c>
      <c r="T35" s="773" t="s">
        <v>17</v>
      </c>
      <c r="U35" s="774">
        <f t="shared" si="11"/>
        <v>100</v>
      </c>
      <c r="V35" s="773" t="s">
        <v>17</v>
      </c>
      <c r="W35" s="774">
        <f t="shared" si="12"/>
        <v>100</v>
      </c>
      <c r="X35" s="1815"/>
      <c r="Y35" s="3301"/>
      <c r="Z35" s="1816">
        <f t="shared" si="13"/>
        <v>111</v>
      </c>
      <c r="AA35" s="1813">
        <f t="shared" si="3"/>
        <v>1</v>
      </c>
      <c r="AB35" s="1813">
        <f t="shared" si="4"/>
        <v>1</v>
      </c>
      <c r="AC35" s="1813">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411" t="s">
        <v>2536</v>
      </c>
      <c r="Q36" s="1812">
        <f t="shared" si="8"/>
        <v>111</v>
      </c>
      <c r="R36" s="773" t="s">
        <v>17</v>
      </c>
      <c r="S36" s="774">
        <f t="shared" si="10"/>
        <v>100</v>
      </c>
      <c r="T36" s="773" t="s">
        <v>17</v>
      </c>
      <c r="U36" s="774">
        <f t="shared" si="11"/>
        <v>100</v>
      </c>
      <c r="V36" s="773" t="s">
        <v>17</v>
      </c>
      <c r="W36" s="774">
        <f t="shared" si="12"/>
        <v>100</v>
      </c>
      <c r="X36" s="1815"/>
      <c r="Y36" s="3305" t="s">
        <v>2536</v>
      </c>
      <c r="Z36" s="1816">
        <f t="shared" si="13"/>
        <v>111</v>
      </c>
      <c r="AA36" s="1813">
        <f t="shared" si="3"/>
        <v>1</v>
      </c>
      <c r="AB36" s="1813">
        <f t="shared" si="4"/>
        <v>1</v>
      </c>
      <c r="AC36" s="1813">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305"/>
      <c r="Q37" s="1812">
        <f t="shared" si="8"/>
        <v>111</v>
      </c>
      <c r="R37" s="776" t="s">
        <v>17</v>
      </c>
      <c r="S37" s="777">
        <f t="shared" si="10"/>
        <v>100</v>
      </c>
      <c r="T37" s="776" t="s">
        <v>17</v>
      </c>
      <c r="U37" s="777">
        <f t="shared" si="11"/>
        <v>100</v>
      </c>
      <c r="V37" s="776" t="s">
        <v>17</v>
      </c>
      <c r="W37" s="777">
        <f t="shared" si="12"/>
        <v>100</v>
      </c>
      <c r="X37" s="778"/>
      <c r="Y37" s="3305"/>
      <c r="Z37" s="779">
        <f t="shared" si="13"/>
        <v>111</v>
      </c>
      <c r="AA37" s="1813">
        <f t="shared" si="3"/>
        <v>1</v>
      </c>
      <c r="AB37" s="1813">
        <f t="shared" si="4"/>
        <v>1</v>
      </c>
      <c r="AC37" s="1813">
        <f t="shared" si="5"/>
        <v>1</v>
      </c>
    </row>
    <row r="38" spans="1:29" ht="15">
      <c r="A38" s="471" t="s">
        <v>2534</v>
      </c>
      <c r="B38" s="455" t="s">
        <v>2722</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305"/>
      <c r="Q38" s="1812" t="str">
        <f>B38</f>
        <v>宗地面积</v>
      </c>
      <c r="R38" s="773" t="s">
        <v>17</v>
      </c>
      <c r="S38" s="774" t="e">
        <f t="shared" si="10"/>
        <v>#N/A</v>
      </c>
      <c r="T38" s="773" t="s">
        <v>17</v>
      </c>
      <c r="U38" s="774" t="e">
        <f t="shared" si="11"/>
        <v>#N/A</v>
      </c>
      <c r="V38" s="773" t="s">
        <v>17</v>
      </c>
      <c r="W38" s="774" t="e">
        <f t="shared" si="12"/>
        <v>#N/A</v>
      </c>
      <c r="X38" s="1815"/>
      <c r="Y38" s="3305"/>
      <c r="Z38" s="1816" t="str">
        <f t="shared" si="13"/>
        <v>宗地面积</v>
      </c>
      <c r="AA38" s="1813" t="e">
        <f t="shared" si="3"/>
        <v>#N/A</v>
      </c>
      <c r="AB38" s="1813" t="e">
        <f t="shared" si="4"/>
        <v>#N/A</v>
      </c>
      <c r="AC38" s="1813" t="e">
        <f t="shared" si="5"/>
        <v>#N/A</v>
      </c>
    </row>
    <row r="39" spans="1:29" ht="15">
      <c r="A39" s="471"/>
      <c r="B39" s="421" t="s">
        <v>2723</v>
      </c>
      <c r="C39" s="2577"/>
      <c r="D39" s="434">
        <v>100</v>
      </c>
      <c r="E39" s="2577"/>
      <c r="F39" s="434">
        <f>SUMIF(119:119,E39,120:120)-SUMIF(119:119,C39,120:120)+100</f>
        <v>100</v>
      </c>
      <c r="G39" s="2577"/>
      <c r="H39" s="434">
        <f>SUMIF(119:119,G39,120:120)-SUMIF(119:119,C39,120:120)+100</f>
        <v>100</v>
      </c>
      <c r="I39" s="2577"/>
      <c r="J39" s="434">
        <f>SUMIF(119:119,I39,120:120)-SUMIF(119:119,C39,120:120)+100</f>
        <v>100</v>
      </c>
      <c r="K39" s="611"/>
      <c r="L39" s="1142"/>
      <c r="M39" s="1133"/>
      <c r="N39" s="1133"/>
      <c r="O39" s="1141"/>
      <c r="P39" s="3305"/>
      <c r="Q39" s="1812" t="str">
        <f t="shared" ref="Q39:Q45" si="14">B39</f>
        <v>宗地形状</v>
      </c>
      <c r="R39" s="773" t="s">
        <v>17</v>
      </c>
      <c r="S39" s="774">
        <f t="shared" si="10"/>
        <v>100</v>
      </c>
      <c r="T39" s="773" t="s">
        <v>17</v>
      </c>
      <c r="U39" s="774">
        <f t="shared" si="11"/>
        <v>100</v>
      </c>
      <c r="V39" s="773" t="s">
        <v>17</v>
      </c>
      <c r="W39" s="774">
        <f t="shared" si="12"/>
        <v>100</v>
      </c>
      <c r="X39" s="1815"/>
      <c r="Y39" s="3305"/>
      <c r="Z39" s="1816" t="str">
        <f t="shared" si="13"/>
        <v>宗地形状</v>
      </c>
      <c r="AA39" s="1813">
        <f t="shared" si="3"/>
        <v>1</v>
      </c>
      <c r="AB39" s="1813">
        <f t="shared" si="4"/>
        <v>1</v>
      </c>
      <c r="AC39" s="1813">
        <f t="shared" si="5"/>
        <v>1</v>
      </c>
    </row>
    <row r="40" spans="1:29" ht="15">
      <c r="A40" s="471"/>
      <c r="B40" s="421" t="s">
        <v>2724</v>
      </c>
      <c r="C40" s="2577"/>
      <c r="D40" s="434">
        <v>100</v>
      </c>
      <c r="E40" s="2577"/>
      <c r="F40" s="434">
        <f>SUMIF(121:121,E40,122:122)-SUMIF(121:121,C40,122:122)+100</f>
        <v>100</v>
      </c>
      <c r="G40" s="2577"/>
      <c r="H40" s="434">
        <f>SUMIF(121:121,G40,122:122)-SUMIF(121:121,C40,122:122)+100</f>
        <v>100</v>
      </c>
      <c r="I40" s="2577"/>
      <c r="J40" s="434">
        <f>SUMIF(121:121,I40,122:122)-SUMIF(121:121,C40,122:122)+100</f>
        <v>100</v>
      </c>
      <c r="K40" s="611"/>
      <c r="L40" s="1142"/>
      <c r="M40" s="1133"/>
      <c r="N40" s="1133"/>
      <c r="O40" s="1141"/>
      <c r="P40" s="3305"/>
      <c r="Q40" s="1812" t="str">
        <f t="shared" si="14"/>
        <v>临街宽度及深度</v>
      </c>
      <c r="R40" s="773" t="s">
        <v>17</v>
      </c>
      <c r="S40" s="774">
        <f t="shared" si="10"/>
        <v>100</v>
      </c>
      <c r="T40" s="773" t="s">
        <v>17</v>
      </c>
      <c r="U40" s="774">
        <f t="shared" si="11"/>
        <v>100</v>
      </c>
      <c r="V40" s="773" t="s">
        <v>17</v>
      </c>
      <c r="W40" s="774">
        <f t="shared" si="12"/>
        <v>100</v>
      </c>
      <c r="X40" s="1815"/>
      <c r="Y40" s="3305"/>
      <c r="Z40" s="1816" t="str">
        <f t="shared" si="13"/>
        <v>临街宽度及深度</v>
      </c>
      <c r="AA40" s="1813">
        <f t="shared" si="3"/>
        <v>1</v>
      </c>
      <c r="AB40" s="1813">
        <f t="shared" si="4"/>
        <v>1</v>
      </c>
      <c r="AC40" s="1813">
        <f t="shared" si="5"/>
        <v>1</v>
      </c>
    </row>
    <row r="41" spans="1:29" s="117" customFormat="1" ht="15">
      <c r="A41" s="472"/>
      <c r="B41" s="421" t="s">
        <v>2725</v>
      </c>
      <c r="C41" s="2666"/>
      <c r="D41" s="135">
        <v>100</v>
      </c>
      <c r="E41" s="2666"/>
      <c r="F41" s="434">
        <f>SUMIF(123:123,E41,124:124)-SUMIF(123:123,C41,124:124)+100</f>
        <v>100</v>
      </c>
      <c r="G41" s="2666"/>
      <c r="H41" s="434">
        <f>SUMIF(123:123,G41,124:124)-SUMIF(123:123,C41,124:124)+100</f>
        <v>100</v>
      </c>
      <c r="I41" s="2666"/>
      <c r="J41" s="434">
        <f>SUMIF(123:123,I41,124:124)-SUMIF(123:123,C41,124:124)+100</f>
        <v>100</v>
      </c>
      <c r="K41" s="611"/>
      <c r="L41" s="1134"/>
      <c r="M41" s="1135"/>
      <c r="N41" s="1135"/>
      <c r="O41" s="1136"/>
      <c r="P41" s="3305"/>
      <c r="Q41" s="1812" t="str">
        <f t="shared" si="14"/>
        <v>宗地开发程度</v>
      </c>
      <c r="R41" s="769" t="s">
        <v>17</v>
      </c>
      <c r="S41" s="770">
        <f t="shared" si="10"/>
        <v>100</v>
      </c>
      <c r="T41" s="769" t="s">
        <v>17</v>
      </c>
      <c r="U41" s="770">
        <f t="shared" si="11"/>
        <v>100</v>
      </c>
      <c r="V41" s="769" t="s">
        <v>17</v>
      </c>
      <c r="W41" s="770">
        <f t="shared" si="12"/>
        <v>100</v>
      </c>
      <c r="X41" s="771"/>
      <c r="Y41" s="3305"/>
      <c r="Z41" s="55" t="str">
        <f t="shared" si="13"/>
        <v>宗地开发程度</v>
      </c>
      <c r="AA41" s="772">
        <f t="shared" si="3"/>
        <v>1</v>
      </c>
      <c r="AB41" s="772">
        <f t="shared" si="4"/>
        <v>1</v>
      </c>
      <c r="AC41" s="772">
        <f t="shared" si="5"/>
        <v>1</v>
      </c>
    </row>
    <row r="42" spans="1:29" ht="15">
      <c r="A42" s="471"/>
      <c r="B42" s="421" t="s">
        <v>2726</v>
      </c>
      <c r="C42" s="2577"/>
      <c r="D42" s="434">
        <v>100</v>
      </c>
      <c r="E42" s="2577"/>
      <c r="F42" s="434">
        <f>SUMIF(125:125,E42,126:126)-SUMIF(125:125,C42,126:126)+100</f>
        <v>100</v>
      </c>
      <c r="G42" s="2577"/>
      <c r="H42" s="434">
        <f>SUMIF(125:125,G42,126:126)-SUMIF(125:125,C42,126:126)+100</f>
        <v>100</v>
      </c>
      <c r="I42" s="2577"/>
      <c r="J42" s="434">
        <f>SUMIF(125:125,I42,126:126)-SUMIF(125:125,C42,126:126)+100</f>
        <v>100</v>
      </c>
      <c r="K42" s="611"/>
      <c r="L42" s="1142"/>
      <c r="M42" s="1133"/>
      <c r="N42" s="1133"/>
      <c r="O42" s="1141"/>
      <c r="P42" s="3305" t="s">
        <v>2536</v>
      </c>
      <c r="Q42" s="1812" t="str">
        <f t="shared" si="14"/>
        <v>工程地质条件</v>
      </c>
      <c r="R42" s="773" t="s">
        <v>17</v>
      </c>
      <c r="S42" s="774">
        <f t="shared" si="10"/>
        <v>100</v>
      </c>
      <c r="T42" s="773" t="s">
        <v>17</v>
      </c>
      <c r="U42" s="774">
        <f t="shared" si="11"/>
        <v>100</v>
      </c>
      <c r="V42" s="773" t="s">
        <v>17</v>
      </c>
      <c r="W42" s="774">
        <f t="shared" si="12"/>
        <v>100</v>
      </c>
      <c r="X42" s="1815"/>
      <c r="Y42" s="3305" t="s">
        <v>2536</v>
      </c>
      <c r="Z42" s="1816" t="str">
        <f t="shared" si="13"/>
        <v>工程地质条件</v>
      </c>
      <c r="AA42" s="1813">
        <f t="shared" si="3"/>
        <v>1</v>
      </c>
      <c r="AB42" s="1813">
        <f t="shared" si="4"/>
        <v>1</v>
      </c>
      <c r="AC42" s="1813">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305"/>
      <c r="Q43" s="1812">
        <f t="shared" si="14"/>
        <v>111</v>
      </c>
      <c r="R43" s="773" t="s">
        <v>17</v>
      </c>
      <c r="S43" s="774">
        <f t="shared" si="10"/>
        <v>100</v>
      </c>
      <c r="T43" s="773" t="s">
        <v>17</v>
      </c>
      <c r="U43" s="774">
        <f t="shared" si="11"/>
        <v>100</v>
      </c>
      <c r="V43" s="773" t="s">
        <v>17</v>
      </c>
      <c r="W43" s="774">
        <f t="shared" si="12"/>
        <v>100</v>
      </c>
      <c r="X43" s="1815"/>
      <c r="Y43" s="3305"/>
      <c r="Z43" s="1816">
        <f t="shared" si="13"/>
        <v>111</v>
      </c>
      <c r="AA43" s="1813">
        <f t="shared" si="3"/>
        <v>1</v>
      </c>
      <c r="AB43" s="1813">
        <f t="shared" si="4"/>
        <v>1</v>
      </c>
      <c r="AC43" s="1813">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305"/>
      <c r="Q44" s="1812">
        <f t="shared" si="14"/>
        <v>111</v>
      </c>
      <c r="R44" s="773" t="s">
        <v>17</v>
      </c>
      <c r="S44" s="774">
        <f t="shared" si="10"/>
        <v>100</v>
      </c>
      <c r="T44" s="773" t="s">
        <v>17</v>
      </c>
      <c r="U44" s="774">
        <f t="shared" si="11"/>
        <v>100</v>
      </c>
      <c r="V44" s="773" t="s">
        <v>17</v>
      </c>
      <c r="W44" s="774">
        <f t="shared" si="12"/>
        <v>100</v>
      </c>
      <c r="X44" s="1815"/>
      <c r="Y44" s="3305"/>
      <c r="Z44" s="1816">
        <f t="shared" si="13"/>
        <v>111</v>
      </c>
      <c r="AA44" s="1813">
        <f t="shared" si="3"/>
        <v>1</v>
      </c>
      <c r="AB44" s="1813">
        <f t="shared" si="4"/>
        <v>1</v>
      </c>
      <c r="AC44" s="1813">
        <f t="shared" si="5"/>
        <v>1</v>
      </c>
    </row>
    <row r="45" spans="1:29" s="470" customFormat="1" ht="15.75" thickBot="1">
      <c r="A45" s="467"/>
      <c r="B45" s="1389">
        <v>111</v>
      </c>
      <c r="C45" s="2667"/>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305"/>
      <c r="Q45" s="1812">
        <f t="shared" si="14"/>
        <v>111</v>
      </c>
      <c r="R45" s="776" t="s">
        <v>17</v>
      </c>
      <c r="S45" s="777">
        <f t="shared" si="10"/>
        <v>100</v>
      </c>
      <c r="T45" s="776" t="s">
        <v>17</v>
      </c>
      <c r="U45" s="777">
        <f t="shared" si="11"/>
        <v>100</v>
      </c>
      <c r="V45" s="776" t="s">
        <v>17</v>
      </c>
      <c r="W45" s="777">
        <f t="shared" si="12"/>
        <v>100</v>
      </c>
      <c r="X45" s="778"/>
      <c r="Y45" s="3305"/>
      <c r="Z45" s="779">
        <f t="shared" si="13"/>
        <v>111</v>
      </c>
      <c r="AA45" s="1813">
        <f t="shared" si="3"/>
        <v>1</v>
      </c>
      <c r="AB45" s="1813">
        <f t="shared" si="4"/>
        <v>1</v>
      </c>
      <c r="AC45" s="1813">
        <f t="shared" si="5"/>
        <v>1</v>
      </c>
    </row>
    <row r="46" spans="1:29" ht="15">
      <c r="A46" s="478" t="s">
        <v>2691</v>
      </c>
      <c r="B46" s="2668" t="s">
        <v>2727</v>
      </c>
      <c r="C46" s="681" t="s">
        <v>1</v>
      </c>
      <c r="D46" s="480"/>
      <c r="E46" s="481"/>
      <c r="F46" s="482"/>
      <c r="G46" s="483"/>
      <c r="H46" s="484"/>
      <c r="I46" s="481"/>
      <c r="J46" s="484"/>
      <c r="K46" s="782"/>
      <c r="L46" s="1145"/>
      <c r="M46" s="1146"/>
      <c r="N46" s="1133"/>
      <c r="O46" s="1146"/>
      <c r="P46" s="3293" t="str">
        <f>A46</f>
        <v>成交单价</v>
      </c>
      <c r="Q46" s="3293"/>
      <c r="R46" s="3327">
        <f>E46</f>
        <v>0</v>
      </c>
      <c r="S46" s="3327"/>
      <c r="T46" s="3327">
        <f>G46</f>
        <v>0</v>
      </c>
      <c r="U46" s="3327"/>
      <c r="V46" s="3327">
        <f>I46</f>
        <v>0</v>
      </c>
      <c r="W46" s="3327"/>
      <c r="X46" s="758"/>
      <c r="Y46" s="780"/>
      <c r="Z46" s="758"/>
      <c r="AA46" s="758"/>
      <c r="AB46" s="758"/>
      <c r="AC46" s="758"/>
    </row>
    <row r="47" spans="1:29" ht="15.75" thickBot="1">
      <c r="A47" s="485" t="s">
        <v>2640</v>
      </c>
      <c r="B47" s="682"/>
      <c r="C47" s="489" t="e">
        <f>R48</f>
        <v>#DIV/0!</v>
      </c>
      <c r="D47" s="488"/>
      <c r="E47" s="489" t="e">
        <f>R47</f>
        <v>#DIV/0!</v>
      </c>
      <c r="F47" s="490"/>
      <c r="G47" s="487" t="e">
        <f>T47</f>
        <v>#DIV/0!</v>
      </c>
      <c r="H47" s="488"/>
      <c r="I47" s="489" t="e">
        <f>V47</f>
        <v>#DIV/0!</v>
      </c>
      <c r="J47" s="488"/>
      <c r="K47" s="783"/>
      <c r="L47" s="1145"/>
      <c r="M47" s="1146"/>
      <c r="N47" s="1146"/>
      <c r="O47" s="1146"/>
      <c r="P47" s="3293" t="str">
        <f>A47</f>
        <v>比较价值（元/平方米）</v>
      </c>
      <c r="Q47" s="3293"/>
      <c r="R47" s="3412" t="e">
        <f>ROUND(PRODUCT(R46,AA7:AA45),0)</f>
        <v>#DIV/0!</v>
      </c>
      <c r="S47" s="3412"/>
      <c r="T47" s="3412" t="e">
        <f>ROUND(PRODUCT(T46,AB7:AB45),0)</f>
        <v>#DIV/0!</v>
      </c>
      <c r="U47" s="3412"/>
      <c r="V47" s="3412" t="e">
        <f>ROUND(PRODUCT(V46,AC7:AC45),0)</f>
        <v>#DIV/0!</v>
      </c>
      <c r="W47" s="3412"/>
      <c r="X47" s="758"/>
      <c r="Y47" s="758"/>
      <c r="Z47" s="758"/>
      <c r="AA47" s="758"/>
      <c r="AB47" s="758"/>
      <c r="AC47" s="758"/>
    </row>
    <row r="48" spans="1:29" ht="15.75" thickBot="1">
      <c r="A48" s="491" t="s">
        <v>2728</v>
      </c>
      <c r="B48" s="492"/>
      <c r="C48" s="493" t="e">
        <f>R48</f>
        <v>#DIV/0!</v>
      </c>
      <c r="D48" s="493"/>
      <c r="E48" s="493"/>
      <c r="F48" s="493"/>
      <c r="G48" s="493"/>
      <c r="H48" s="493"/>
      <c r="I48" s="493"/>
      <c r="J48" s="493"/>
      <c r="K48" s="784"/>
      <c r="L48" s="1145"/>
      <c r="M48" s="1146"/>
      <c r="N48" s="1146"/>
      <c r="O48" s="1146"/>
      <c r="P48" s="3351" t="str">
        <f>A48</f>
        <v>估价对象XX用房的比较价值（楼面单价，元/平方米）</v>
      </c>
      <c r="Q48" s="3352"/>
      <c r="R48" s="3413" t="e">
        <f>ROUND(AVERAGE(R47:V47),0)</f>
        <v>#DIV/0!</v>
      </c>
      <c r="S48" s="3413"/>
      <c r="T48" s="3413"/>
      <c r="U48" s="3413"/>
      <c r="V48" s="3413"/>
      <c r="W48" s="3413"/>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2642</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2643</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2644</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2729</v>
      </c>
      <c r="B55" s="684" t="s">
        <v>2730</v>
      </c>
      <c r="C55" s="2669" t="s">
        <v>2731</v>
      </c>
      <c r="D55" s="2670" t="s">
        <v>2732</v>
      </c>
      <c r="E55" s="685" t="s">
        <v>2733</v>
      </c>
      <c r="F55" s="1109" t="s">
        <v>2734</v>
      </c>
      <c r="G55" s="3310" t="s">
        <v>2735</v>
      </c>
      <c r="H55" s="3414"/>
      <c r="I55" s="143" t="s">
        <v>2736</v>
      </c>
      <c r="J55" s="2671">
        <f>项目基本情况!F35</f>
        <v>0</v>
      </c>
      <c r="K55" s="2672" t="s">
        <v>2737</v>
      </c>
      <c r="L55" s="1108"/>
      <c r="M55" s="1146"/>
      <c r="N55" s="1146"/>
      <c r="O55" s="1146"/>
    </row>
    <row r="56" spans="1:15" s="691" customFormat="1">
      <c r="A56" s="687" t="s">
        <v>2738</v>
      </c>
      <c r="B56" s="688" t="e">
        <f>C48</f>
        <v>#DIV/0!</v>
      </c>
      <c r="C56" s="689">
        <v>1</v>
      </c>
      <c r="D56" s="1165">
        <v>1</v>
      </c>
      <c r="E56" s="689">
        <f>'数据-汇总表'!E8+'数据-汇总表'!E9</f>
        <v>111832.09</v>
      </c>
      <c r="F56" s="1105" t="e">
        <f t="shared" ref="F56:F65" si="15">ROUND(B56*E56/10000,0)</f>
        <v>#DIV/0!</v>
      </c>
      <c r="G56" s="3292"/>
      <c r="H56" s="3293"/>
      <c r="I56" s="1110">
        <v>1</v>
      </c>
      <c r="J56" s="1113">
        <v>1</v>
      </c>
      <c r="K56" s="1147"/>
      <c r="L56" s="943"/>
      <c r="M56" s="943"/>
      <c r="N56" s="943"/>
      <c r="O56" s="943"/>
    </row>
    <row r="57" spans="1:15" s="691" customFormat="1">
      <c r="A57" s="692" t="s">
        <v>2739</v>
      </c>
      <c r="B57" s="261" t="e">
        <f>ROUND($C$48*C57*D57,0)</f>
        <v>#DIV/0!</v>
      </c>
      <c r="C57" s="199">
        <f t="shared" ref="C57:C65" si="16">IF($C$55="北京市系数",I57,J57)</f>
        <v>0.8</v>
      </c>
      <c r="D57" s="1166">
        <v>0.25</v>
      </c>
      <c r="E57" s="693"/>
      <c r="F57" s="1105" t="e">
        <f t="shared" si="15"/>
        <v>#DIV/0!</v>
      </c>
      <c r="G57" s="3415" t="s">
        <v>2740</v>
      </c>
      <c r="H57" s="1106" t="str">
        <f>项目基本情况!B37</f>
        <v>一级</v>
      </c>
      <c r="I57" s="1110">
        <f>SUMIF(修正!A45:A56,H57,修正!B45:B56)</f>
        <v>0.8</v>
      </c>
      <c r="J57" s="1114"/>
      <c r="K57" s="1146"/>
      <c r="L57" s="943"/>
      <c r="M57" s="943"/>
      <c r="N57" s="943"/>
      <c r="O57" s="943"/>
    </row>
    <row r="58" spans="1:15" s="691" customFormat="1">
      <c r="A58" s="692" t="s">
        <v>2741</v>
      </c>
      <c r="B58" s="261" t="e">
        <f t="shared" ref="B58:B65" si="17">ROUND($C$48*C58*D58,0)</f>
        <v>#DIV/0!</v>
      </c>
      <c r="C58" s="199">
        <f t="shared" si="16"/>
        <v>0.5</v>
      </c>
      <c r="D58" s="1166">
        <v>0.25</v>
      </c>
      <c r="E58" s="693"/>
      <c r="F58" s="1105" t="e">
        <f t="shared" si="15"/>
        <v>#DIV/0!</v>
      </c>
      <c r="G58" s="3415"/>
      <c r="H58" s="1106" t="str">
        <f>项目基本情况!B37</f>
        <v>一级</v>
      </c>
      <c r="I58" s="1110">
        <f>SUMIF(修正!A45:A56,H58,修正!C45:C56)</f>
        <v>0.5</v>
      </c>
      <c r="J58" s="1114"/>
      <c r="K58" s="1147"/>
      <c r="L58" s="943"/>
      <c r="M58" s="943"/>
      <c r="N58" s="943"/>
      <c r="O58" s="943"/>
    </row>
    <row r="59" spans="1:15" s="691" customFormat="1">
      <c r="A59" s="692" t="s">
        <v>2742</v>
      </c>
      <c r="B59" s="261" t="e">
        <f t="shared" si="17"/>
        <v>#DIV/0!</v>
      </c>
      <c r="C59" s="199">
        <f t="shared" si="16"/>
        <v>0.36</v>
      </c>
      <c r="D59" s="1166">
        <v>0.25</v>
      </c>
      <c r="E59" s="693"/>
      <c r="F59" s="1105" t="e">
        <f t="shared" si="15"/>
        <v>#DIV/0!</v>
      </c>
      <c r="G59" s="3415"/>
      <c r="H59" s="1106" t="str">
        <f>项目基本情况!B37</f>
        <v>一级</v>
      </c>
      <c r="I59" s="1110">
        <f>SUMIF(修正!A45:A56,H59,修正!D45:D56)</f>
        <v>0.36</v>
      </c>
      <c r="J59" s="1114"/>
      <c r="K59" s="1146"/>
      <c r="L59" s="943"/>
      <c r="M59" s="943"/>
      <c r="N59" s="943"/>
      <c r="O59" s="943"/>
    </row>
    <row r="60" spans="1:15" s="691" customFormat="1">
      <c r="A60" s="692" t="s">
        <v>2743</v>
      </c>
      <c r="B60" s="261" t="e">
        <f t="shared" si="17"/>
        <v>#DIV/0!</v>
      </c>
      <c r="C60" s="199">
        <f t="shared" si="16"/>
        <v>0.3</v>
      </c>
      <c r="D60" s="1166">
        <v>0.25</v>
      </c>
      <c r="E60" s="693"/>
      <c r="F60" s="1105" t="e">
        <f t="shared" si="15"/>
        <v>#DIV/0!</v>
      </c>
      <c r="G60" s="3415"/>
      <c r="H60" s="1106" t="str">
        <f>项目基本情况!B37</f>
        <v>一级</v>
      </c>
      <c r="I60" s="1110">
        <f>SUMIF(修正!A45:A56,H60,修正!E45:E56)</f>
        <v>0.3</v>
      </c>
      <c r="J60" s="1114"/>
      <c r="K60" s="1147"/>
      <c r="L60" s="943"/>
      <c r="M60" s="943"/>
      <c r="N60" s="943"/>
      <c r="O60" s="943"/>
    </row>
    <row r="61" spans="1:15" s="691" customFormat="1">
      <c r="A61" s="692" t="s">
        <v>2744</v>
      </c>
      <c r="B61" s="261" t="e">
        <f t="shared" si="17"/>
        <v>#DIV/0!</v>
      </c>
      <c r="C61" s="199">
        <f t="shared" si="16"/>
        <v>0.3</v>
      </c>
      <c r="D61" s="1166">
        <v>0.25</v>
      </c>
      <c r="E61" s="260">
        <f>'数据-汇总表'!E11</f>
        <v>0</v>
      </c>
      <c r="F61" s="1105" t="e">
        <f t="shared" si="15"/>
        <v>#DIV/0!</v>
      </c>
      <c r="G61" s="2673" t="s">
        <v>2745</v>
      </c>
      <c r="H61" s="1106" t="str">
        <f>项目基本情况!C37</f>
        <v>一级</v>
      </c>
      <c r="I61" s="1110">
        <f>SUMIF(修正!A45:A56,H61,修正!F45:F56)</f>
        <v>0.3</v>
      </c>
      <c r="J61" s="1114"/>
      <c r="K61" s="1146"/>
      <c r="L61" s="943"/>
      <c r="M61" s="943"/>
      <c r="N61" s="943"/>
      <c r="O61" s="943"/>
    </row>
    <row r="62" spans="1:15" s="691" customFormat="1">
      <c r="A62" s="692" t="s">
        <v>2746</v>
      </c>
      <c r="B62" s="261" t="e">
        <f t="shared" si="17"/>
        <v>#DIV/0!</v>
      </c>
      <c r="C62" s="199">
        <f t="shared" si="16"/>
        <v>0.3</v>
      </c>
      <c r="D62" s="1166">
        <v>0.25</v>
      </c>
      <c r="E62" s="260">
        <f>'数据-汇总表'!E12</f>
        <v>0</v>
      </c>
      <c r="F62" s="1105" t="e">
        <f t="shared" si="15"/>
        <v>#DIV/0!</v>
      </c>
      <c r="G62" s="1111" t="s">
        <v>2747</v>
      </c>
      <c r="H62" s="1106" t="str">
        <f>IF(G62="商业",项目基本情况!B37,IF(G62="办公",项目基本情况!C37,IF(G62="住宅",项目基本情况!D37,项目基本情况!E37)))</f>
        <v>一级</v>
      </c>
      <c r="I62" s="1110">
        <f>SUMIF(修正!A45:A56,H62,修正!G45:G56)</f>
        <v>0.3</v>
      </c>
      <c r="J62" s="1114"/>
      <c r="K62" s="1147"/>
      <c r="L62" s="943"/>
      <c r="M62" s="943"/>
      <c r="N62" s="943"/>
      <c r="O62" s="943"/>
    </row>
    <row r="63" spans="1:15" s="691" customFormat="1">
      <c r="A63" s="692" t="s">
        <v>2748</v>
      </c>
      <c r="B63" s="261" t="e">
        <f t="shared" si="17"/>
        <v>#DIV/0!</v>
      </c>
      <c r="C63" s="199">
        <f t="shared" si="16"/>
        <v>0</v>
      </c>
      <c r="D63" s="1166">
        <v>0.25</v>
      </c>
      <c r="E63" s="260">
        <f>'数据-汇总表'!E13</f>
        <v>23320.11</v>
      </c>
      <c r="F63" s="1105" t="e">
        <f t="shared" si="15"/>
        <v>#DIV/0!</v>
      </c>
      <c r="G63" s="1111" t="s">
        <v>2749</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2750</v>
      </c>
      <c r="B64" s="261" t="e">
        <f t="shared" si="17"/>
        <v>#DIV/0!</v>
      </c>
      <c r="C64" s="199">
        <f t="shared" si="16"/>
        <v>0.25</v>
      </c>
      <c r="D64" s="1166">
        <v>0.25</v>
      </c>
      <c r="E64" s="260">
        <f>'数据-汇总表'!E14</f>
        <v>0</v>
      </c>
      <c r="F64" s="1105" t="e">
        <f t="shared" si="15"/>
        <v>#DIV/0!</v>
      </c>
      <c r="G64" s="2673" t="s">
        <v>2740</v>
      </c>
      <c r="H64" s="1106" t="str">
        <f>项目基本情况!B37</f>
        <v>一级</v>
      </c>
      <c r="I64" s="1110">
        <f>SUMIF(修正!A45:A56,H64,修正!H45:H56)</f>
        <v>0.25</v>
      </c>
      <c r="J64" s="1114"/>
      <c r="K64" s="1147"/>
      <c r="L64" s="943"/>
      <c r="M64" s="943"/>
      <c r="N64" s="943"/>
      <c r="O64" s="943"/>
    </row>
    <row r="65" spans="1:17" s="691" customFormat="1" ht="15" thickBot="1">
      <c r="A65" s="692" t="s">
        <v>2751</v>
      </c>
      <c r="B65" s="261" t="e">
        <f t="shared" si="17"/>
        <v>#DIV/0!</v>
      </c>
      <c r="C65" s="199">
        <f t="shared" si="16"/>
        <v>0.25</v>
      </c>
      <c r="D65" s="1166">
        <v>0.25</v>
      </c>
      <c r="E65" s="260">
        <f>'数据-汇总表'!E15</f>
        <v>0</v>
      </c>
      <c r="F65" s="1105" t="e">
        <f t="shared" si="15"/>
        <v>#DIV/0!</v>
      </c>
      <c r="G65" s="2674" t="s">
        <v>2745</v>
      </c>
      <c r="H65" s="1116" t="str">
        <f>项目基本情况!C37</f>
        <v>一级</v>
      </c>
      <c r="I65" s="1112">
        <f>SUMIF(修正!A45:A56,H65,修正!H45:H56)</f>
        <v>0.25</v>
      </c>
      <c r="J65" s="1115"/>
      <c r="K65" s="1146"/>
      <c r="L65" s="943"/>
      <c r="M65" s="943"/>
      <c r="N65" s="943"/>
      <c r="O65" s="943"/>
    </row>
    <row r="66" spans="1:17" s="691" customFormat="1" ht="13.5" thickBot="1">
      <c r="A66" s="694" t="s">
        <v>2752</v>
      </c>
      <c r="B66" s="695" t="s">
        <v>28</v>
      </c>
      <c r="C66" s="695" t="s">
        <v>29</v>
      </c>
      <c r="D66" s="695" t="s">
        <v>1029</v>
      </c>
      <c r="E66" s="695">
        <f>IF(B46="楼面地价",SUM(E56:E65),'数据-汇总表'!D3)</f>
        <v>135152.20000000001</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2018-10-1</v>
      </c>
      <c r="D68" s="760">
        <f>EDATE(C68,-3)</f>
        <v>43282</v>
      </c>
      <c r="E68" s="760">
        <f>EDATE(D68,-3)</f>
        <v>43191</v>
      </c>
      <c r="F68" s="760">
        <f t="shared" ref="F68:O68" si="18">EDATE(E68,-3)</f>
        <v>43101</v>
      </c>
      <c r="G68" s="760">
        <f t="shared" si="18"/>
        <v>43009</v>
      </c>
      <c r="H68" s="760">
        <f t="shared" si="18"/>
        <v>42917</v>
      </c>
      <c r="I68" s="760">
        <f t="shared" si="18"/>
        <v>42826</v>
      </c>
      <c r="J68" s="760">
        <f t="shared" si="18"/>
        <v>42736</v>
      </c>
      <c r="K68" s="760">
        <f t="shared" si="18"/>
        <v>42644</v>
      </c>
      <c r="L68" s="760">
        <f t="shared" si="18"/>
        <v>42552</v>
      </c>
      <c r="M68" s="760">
        <f t="shared" si="18"/>
        <v>42461</v>
      </c>
      <c r="N68" s="760">
        <f t="shared" si="18"/>
        <v>42370</v>
      </c>
      <c r="O68" s="760">
        <f t="shared" si="18"/>
        <v>42278</v>
      </c>
    </row>
    <row r="69" spans="1:17" ht="21.75" thickBot="1">
      <c r="A69" s="762" t="s">
        <v>2645</v>
      </c>
      <c r="B69" s="758"/>
      <c r="C69" s="763"/>
      <c r="D69" s="763"/>
      <c r="E69" s="763"/>
      <c r="F69" s="764"/>
      <c r="G69" s="764"/>
      <c r="H69" s="763"/>
      <c r="I69" s="763"/>
      <c r="J69" s="1161"/>
      <c r="K69" s="1162"/>
      <c r="L69" s="1163"/>
      <c r="M69" s="1161"/>
      <c r="N69" s="1161"/>
      <c r="O69" s="1161"/>
      <c r="P69" s="502"/>
      <c r="Q69" s="503"/>
    </row>
    <row r="70" spans="1:17" s="507" customFormat="1" ht="15">
      <c r="A70" s="2675" t="s">
        <v>2753</v>
      </c>
      <c r="B70" s="1361"/>
      <c r="C70" s="1574" t="str">
        <f>YEAR(C68)&amp;"-"&amp;ROUNDUP(MONTH(C68)/3,0)</f>
        <v>2018-4</v>
      </c>
      <c r="D70" s="1574" t="str">
        <f>YEAR(D68)&amp;"-"&amp;ROUNDUP(MONTH(D68)/3,0)</f>
        <v>2018-3</v>
      </c>
      <c r="E70" s="1574" t="str">
        <f t="shared" ref="E70:O70" si="19">YEAR(E68)&amp;"-"&amp;ROUNDUP(MONTH(E68)/3,0)</f>
        <v>2018-2</v>
      </c>
      <c r="F70" s="1574" t="str">
        <f t="shared" si="19"/>
        <v>2018-1</v>
      </c>
      <c r="G70" s="1574" t="str">
        <f t="shared" si="19"/>
        <v>2017-4</v>
      </c>
      <c r="H70" s="1574" t="str">
        <f t="shared" si="19"/>
        <v>2017-3</v>
      </c>
      <c r="I70" s="1574" t="str">
        <f t="shared" si="19"/>
        <v>2017-2</v>
      </c>
      <c r="J70" s="1574" t="str">
        <f t="shared" si="19"/>
        <v>2017-1</v>
      </c>
      <c r="K70" s="1574" t="str">
        <f t="shared" si="19"/>
        <v>2016-4</v>
      </c>
      <c r="L70" s="1574" t="str">
        <f t="shared" si="19"/>
        <v>2016-3</v>
      </c>
      <c r="M70" s="1574" t="str">
        <f t="shared" si="19"/>
        <v>2016-2</v>
      </c>
      <c r="N70" s="1574" t="str">
        <f t="shared" si="19"/>
        <v>2016-1</v>
      </c>
      <c r="O70" s="1574" t="str">
        <f t="shared" si="19"/>
        <v>2015-4</v>
      </c>
      <c r="P70" s="506"/>
    </row>
    <row r="71" spans="1:17" s="117" customFormat="1" ht="30" customHeight="1">
      <c r="A71" s="2676" t="s">
        <v>2754</v>
      </c>
      <c r="B71" s="331" t="str">
        <f>"北京市平均增长率"&amp;TEXT(SUMIF('基准地价修正（车库）'!N21:N25,A71,'基准地价修正（车库）'!P21:P25),"0.00%")</f>
        <v>北京市平均增长率2.41%</v>
      </c>
      <c r="C71" s="602">
        <v>100</v>
      </c>
      <c r="D71" s="594"/>
      <c r="E71" s="594"/>
      <c r="F71" s="594"/>
      <c r="G71" s="594"/>
      <c r="H71" s="594"/>
      <c r="I71" s="594"/>
      <c r="J71" s="594"/>
      <c r="K71" s="594"/>
      <c r="L71" s="594"/>
      <c r="M71" s="1569"/>
      <c r="N71" s="594"/>
      <c r="O71" s="1570"/>
      <c r="P71" s="503"/>
    </row>
    <row r="72" spans="1:17" s="117" customFormat="1" ht="15.75" thickBot="1">
      <c r="A72" s="514" t="s">
        <v>2556</v>
      </c>
      <c r="B72" s="515"/>
      <c r="C72" s="516"/>
      <c r="D72" s="517"/>
      <c r="E72" s="517"/>
      <c r="F72" s="517"/>
      <c r="G72" s="517"/>
      <c r="H72" s="517"/>
      <c r="I72" s="517"/>
      <c r="J72" s="517"/>
      <c r="K72" s="517"/>
      <c r="L72" s="517"/>
      <c r="M72" s="518"/>
      <c r="N72" s="517"/>
      <c r="O72" s="1164"/>
      <c r="P72" s="503"/>
      <c r="Q72" s="503"/>
    </row>
    <row r="73" spans="1:17" s="117" customFormat="1" ht="15">
      <c r="A73" s="520" t="s">
        <v>2521</v>
      </c>
      <c r="B73" s="509"/>
      <c r="C73" s="521" t="s">
        <v>2623</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2559</v>
      </c>
      <c r="B75" s="527" t="s">
        <v>2525</v>
      </c>
      <c r="C75" s="529"/>
      <c r="D75" s="529"/>
      <c r="E75" s="529"/>
      <c r="F75" s="529"/>
      <c r="G75" s="529"/>
      <c r="H75" s="529"/>
      <c r="I75" s="529"/>
      <c r="J75" s="529"/>
      <c r="K75" s="530"/>
      <c r="L75" s="531"/>
      <c r="M75" s="532"/>
      <c r="N75" s="1154"/>
      <c r="O75" s="1154"/>
      <c r="P75" s="45"/>
      <c r="Q75" s="503"/>
    </row>
    <row r="76" spans="1:17" ht="15.75" thickBot="1">
      <c r="A76" s="533"/>
      <c r="B76" s="534"/>
      <c r="C76" s="535"/>
      <c r="D76" s="535"/>
      <c r="E76" s="535"/>
      <c r="F76" s="535"/>
      <c r="G76" s="535"/>
      <c r="H76" s="535"/>
      <c r="I76" s="535"/>
      <c r="J76" s="535"/>
      <c r="K76" s="535"/>
      <c r="L76" s="535"/>
      <c r="M76" s="536"/>
      <c r="N76" s="1155"/>
      <c r="O76" s="1155"/>
      <c r="P76" s="45"/>
      <c r="Q76" s="503"/>
    </row>
    <row r="77" spans="1:17" ht="27.75" thickTop="1">
      <c r="A77" s="533"/>
      <c r="B77" s="537" t="s">
        <v>2528</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2529</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c r="D80" s="548"/>
      <c r="E80" s="548"/>
      <c r="F80" s="548"/>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2530</v>
      </c>
      <c r="B88" s="527" t="s">
        <v>2567</v>
      </c>
      <c r="C88" s="572" t="s">
        <v>2568</v>
      </c>
      <c r="D88" s="572" t="s">
        <v>2569</v>
      </c>
      <c r="E88" s="572" t="s">
        <v>2570</v>
      </c>
      <c r="F88" s="572" t="s">
        <v>2571</v>
      </c>
      <c r="G88" s="572" t="s">
        <v>2572</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2755</v>
      </c>
      <c r="C90" s="577" t="s">
        <v>2568</v>
      </c>
      <c r="D90" s="577" t="s">
        <v>2569</v>
      </c>
      <c r="E90" s="577" t="s">
        <v>2570</v>
      </c>
      <c r="F90" s="577" t="s">
        <v>2571</v>
      </c>
      <c r="G90" s="577" t="s">
        <v>2572</v>
      </c>
      <c r="H90" s="538"/>
      <c r="I90" s="538"/>
      <c r="J90" s="538"/>
      <c r="K90" s="539"/>
      <c r="L90" s="540"/>
      <c r="M90" s="541"/>
      <c r="N90" s="1154"/>
      <c r="O90" s="1154"/>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5"/>
      <c r="Q91" s="503"/>
    </row>
    <row r="92" spans="1:17" ht="15.75" thickTop="1">
      <c r="A92" s="533"/>
      <c r="B92" s="537" t="s">
        <v>2668</v>
      </c>
      <c r="C92" s="577" t="s">
        <v>2568</v>
      </c>
      <c r="D92" s="577" t="s">
        <v>2569</v>
      </c>
      <c r="E92" s="577" t="s">
        <v>2570</v>
      </c>
      <c r="F92" s="577" t="s">
        <v>2571</v>
      </c>
      <c r="G92" s="577" t="s">
        <v>2572</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2573</v>
      </c>
      <c r="C94" s="577" t="s">
        <v>2568</v>
      </c>
      <c r="D94" s="577" t="s">
        <v>2569</v>
      </c>
      <c r="E94" s="577" t="s">
        <v>2570</v>
      </c>
      <c r="F94" s="577" t="s">
        <v>2571</v>
      </c>
      <c r="G94" s="577" t="s">
        <v>2572</v>
      </c>
      <c r="H94" s="538"/>
      <c r="I94" s="538"/>
      <c r="J94" s="538"/>
      <c r="K94" s="539"/>
      <c r="L94" s="540"/>
      <c r="M94" s="541"/>
      <c r="N94" s="1154"/>
      <c r="O94" s="1154"/>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5"/>
      <c r="Q95" s="503"/>
    </row>
    <row r="96" spans="1:17" s="117" customFormat="1" ht="15.75" thickTop="1">
      <c r="A96" s="578"/>
      <c r="B96" s="537" t="s">
        <v>2756</v>
      </c>
      <c r="C96" s="577" t="s">
        <v>2568</v>
      </c>
      <c r="D96" s="577" t="s">
        <v>2569</v>
      </c>
      <c r="E96" s="577" t="s">
        <v>2570</v>
      </c>
      <c r="F96" s="577" t="s">
        <v>2571</v>
      </c>
      <c r="G96" s="577" t="s">
        <v>2572</v>
      </c>
      <c r="H96" s="577"/>
      <c r="I96" s="577"/>
      <c r="J96" s="577"/>
      <c r="K96" s="577"/>
      <c r="L96" s="697"/>
      <c r="M96" s="621"/>
      <c r="N96" s="1153"/>
      <c r="O96" s="1153"/>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7" customFormat="1" ht="27.75" thickTop="1">
      <c r="A98" s="578"/>
      <c r="B98" s="537" t="s">
        <v>2757</v>
      </c>
      <c r="C98" s="572" t="s">
        <v>2568</v>
      </c>
      <c r="D98" s="572" t="s">
        <v>2569</v>
      </c>
      <c r="E98" s="572" t="s">
        <v>2570</v>
      </c>
      <c r="F98" s="572" t="s">
        <v>2571</v>
      </c>
      <c r="G98" s="572" t="s">
        <v>2572</v>
      </c>
      <c r="H98" s="577"/>
      <c r="I98" s="577"/>
      <c r="J98" s="577"/>
      <c r="K98" s="577"/>
      <c r="L98" s="577"/>
      <c r="M98" s="621"/>
      <c r="N98" s="1153"/>
      <c r="O98" s="1153"/>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5"/>
      <c r="Q99" s="503"/>
    </row>
    <row r="100" spans="1:17" s="470" customFormat="1" ht="15.75" thickTop="1">
      <c r="A100" s="552"/>
      <c r="B100" s="537" t="s">
        <v>2625</v>
      </c>
      <c r="C100" s="572" t="s">
        <v>2568</v>
      </c>
      <c r="D100" s="572" t="s">
        <v>2569</v>
      </c>
      <c r="E100" s="572" t="s">
        <v>2570</v>
      </c>
      <c r="F100" s="572" t="s">
        <v>2571</v>
      </c>
      <c r="G100" s="572" t="s">
        <v>2572</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2626</v>
      </c>
      <c r="C102" s="659" t="s">
        <v>2646</v>
      </c>
      <c r="D102" s="659" t="s">
        <v>2647</v>
      </c>
      <c r="E102" s="659" t="s">
        <v>2648</v>
      </c>
      <c r="F102" s="659" t="s">
        <v>2649</v>
      </c>
      <c r="G102" s="659" t="s">
        <v>2650</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2758</v>
      </c>
      <c r="D104" s="538" t="s">
        <v>2759</v>
      </c>
      <c r="E104" s="538" t="s">
        <v>2760</v>
      </c>
      <c r="F104" s="538" t="s">
        <v>2761</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2662</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2721</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2534</v>
      </c>
      <c r="B116" s="527" t="s">
        <v>2762</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c r="D117" s="594"/>
      <c r="E117" s="594"/>
      <c r="F117" s="594"/>
      <c r="G117" s="594"/>
      <c r="H117" s="594"/>
      <c r="I117" s="594"/>
      <c r="J117" s="595"/>
      <c r="K117" s="595"/>
      <c r="L117" s="596"/>
      <c r="M117" s="597"/>
      <c r="N117" s="1154"/>
      <c r="O117" s="1154"/>
      <c r="P117" s="45"/>
      <c r="Q117" s="503"/>
    </row>
    <row r="118" spans="1:17" ht="15.75" thickBot="1">
      <c r="A118" s="533"/>
      <c r="B118" s="542"/>
      <c r="C118" s="569"/>
      <c r="D118" s="590"/>
      <c r="E118" s="590"/>
      <c r="F118" s="590"/>
      <c r="G118" s="590"/>
      <c r="H118" s="590"/>
      <c r="I118" s="590"/>
      <c r="J118" s="590"/>
      <c r="K118" s="590"/>
      <c r="L118" s="590"/>
      <c r="M118" s="591"/>
      <c r="N118" s="1155"/>
      <c r="O118" s="1155"/>
      <c r="P118" s="45"/>
      <c r="Q118" s="503"/>
    </row>
    <row r="119" spans="1:17" ht="15" thickTop="1">
      <c r="A119" s="598"/>
      <c r="B119" s="537" t="s">
        <v>2763</v>
      </c>
      <c r="C119" s="582"/>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2764</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2765</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2766</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2715</v>
      </c>
      <c r="B1" s="394"/>
      <c r="C1" s="395" t="s">
        <v>2767</v>
      </c>
      <c r="D1" s="754"/>
      <c r="E1" s="754"/>
      <c r="F1" s="753" t="s">
        <v>2614</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2298</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2300</v>
      </c>
      <c r="B3" s="608" t="e">
        <f>ROUND(IF(D3="",B2*10000/'数据-汇总表'!E3,B2*10000/D3),0)</f>
        <v>#DIV/0!</v>
      </c>
      <c r="C3" s="246" t="s">
        <v>2717</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2616</v>
      </c>
      <c r="B4" s="401"/>
      <c r="C4" s="3310" t="s">
        <v>2617</v>
      </c>
      <c r="D4" s="3311"/>
      <c r="E4" s="3312" t="s">
        <v>2618</v>
      </c>
      <c r="F4" s="3313"/>
      <c r="G4" s="3310" t="s">
        <v>2619</v>
      </c>
      <c r="H4" s="3311"/>
      <c r="I4" s="3310" t="s">
        <v>2620</v>
      </c>
      <c r="J4" s="3311"/>
      <c r="K4" s="609" t="s">
        <v>2621</v>
      </c>
      <c r="L4" s="1132"/>
      <c r="M4" s="1133"/>
      <c r="N4" s="1133"/>
      <c r="O4" s="1133"/>
      <c r="P4" s="3355" t="s">
        <v>2622</v>
      </c>
      <c r="Q4" s="3356"/>
      <c r="R4" s="3359" t="s">
        <v>2618</v>
      </c>
      <c r="S4" s="3360"/>
      <c r="T4" s="3359" t="s">
        <v>2619</v>
      </c>
      <c r="U4" s="3360"/>
      <c r="V4" s="3327" t="s">
        <v>2620</v>
      </c>
      <c r="W4" s="3327"/>
      <c r="X4" s="1815"/>
      <c r="Y4" s="3359" t="s">
        <v>2622</v>
      </c>
      <c r="Z4" s="3360"/>
      <c r="AA4" s="3354" t="s">
        <v>2618</v>
      </c>
      <c r="AB4" s="3339" t="s">
        <v>2619</v>
      </c>
      <c r="AC4" s="3354" t="s">
        <v>2620</v>
      </c>
    </row>
    <row r="5" spans="1:29" ht="15">
      <c r="A5" s="403"/>
      <c r="B5" s="404"/>
      <c r="C5" s="3363" t="s">
        <v>2513</v>
      </c>
      <c r="D5" s="3364"/>
      <c r="E5" s="3367" t="s">
        <v>2514</v>
      </c>
      <c r="F5" s="3368"/>
      <c r="G5" s="3363" t="s">
        <v>2515</v>
      </c>
      <c r="H5" s="3364"/>
      <c r="I5" s="3363" t="s">
        <v>2516</v>
      </c>
      <c r="J5" s="3364"/>
      <c r="K5" s="609"/>
      <c r="L5" s="1132"/>
      <c r="M5" s="1133"/>
      <c r="N5" s="1133"/>
      <c r="O5" s="1133"/>
      <c r="P5" s="3357"/>
      <c r="Q5" s="3317"/>
      <c r="R5" s="3322"/>
      <c r="S5" s="3323"/>
      <c r="T5" s="3322"/>
      <c r="U5" s="3323"/>
      <c r="V5" s="3327"/>
      <c r="W5" s="3327"/>
      <c r="X5" s="1815"/>
      <c r="Y5" s="3322"/>
      <c r="Z5" s="3323"/>
      <c r="AA5" s="3339"/>
      <c r="AB5" s="3339"/>
      <c r="AC5" s="3339"/>
    </row>
    <row r="6" spans="1:29" ht="15.75" thickBot="1">
      <c r="A6" s="405"/>
      <c r="B6" s="406"/>
      <c r="C6" s="3328" t="s">
        <v>2768</v>
      </c>
      <c r="D6" s="3329"/>
      <c r="E6" s="3336" t="s">
        <v>2768</v>
      </c>
      <c r="F6" s="3337"/>
      <c r="G6" s="3328" t="s">
        <v>2768</v>
      </c>
      <c r="H6" s="3329"/>
      <c r="I6" s="3328" t="s">
        <v>2768</v>
      </c>
      <c r="J6" s="3329"/>
      <c r="K6" s="609" t="s">
        <v>2518</v>
      </c>
      <c r="L6" s="1132"/>
      <c r="M6" s="1133"/>
      <c r="N6" s="1133"/>
      <c r="O6" s="1133"/>
      <c r="P6" s="3358"/>
      <c r="Q6" s="3319"/>
      <c r="R6" s="3322"/>
      <c r="S6" s="3323"/>
      <c r="T6" s="3324"/>
      <c r="U6" s="3325"/>
      <c r="V6" s="3327"/>
      <c r="W6" s="3327"/>
      <c r="X6" s="1815"/>
      <c r="Y6" s="3324"/>
      <c r="Z6" s="3325"/>
      <c r="AA6" s="3340"/>
      <c r="AB6" s="3340"/>
      <c r="AC6" s="3340"/>
    </row>
    <row r="7" spans="1:29" s="117" customFormat="1" ht="15.75" thickBot="1">
      <c r="A7" s="407" t="s">
        <v>2519</v>
      </c>
      <c r="B7" s="408"/>
      <c r="C7" s="409">
        <f>'数据-取费表'!B2</f>
        <v>43395</v>
      </c>
      <c r="D7" s="410">
        <v>100</v>
      </c>
      <c r="E7" s="411"/>
      <c r="F7" s="412">
        <f>SUMIF(65:65,YEAR(E7)&amp;"-"&amp;INT((MONTH(E7)+2)/3),66:66)</f>
        <v>0</v>
      </c>
      <c r="G7" s="2660"/>
      <c r="H7" s="410">
        <f>SUMIF(65:65,YEAR(G7)&amp;"-"&amp;INT((MONTH(G7)+2)/3),66:66)</f>
        <v>0</v>
      </c>
      <c r="I7" s="2660"/>
      <c r="J7" s="410">
        <f>SUMIF(65:65,YEAR(I7)&amp;"-"&amp;INT((MONTH(I7)+2)/3),66:66)</f>
        <v>0</v>
      </c>
      <c r="K7" s="610"/>
      <c r="L7" s="1134"/>
      <c r="M7" s="1135"/>
      <c r="N7" s="1135"/>
      <c r="O7" s="1135"/>
      <c r="P7" s="3334" t="s">
        <v>2520</v>
      </c>
      <c r="Q7" s="3335"/>
      <c r="R7" s="769" t="s">
        <v>17</v>
      </c>
      <c r="S7" s="770">
        <f t="shared" ref="S7:S15" si="0">F7</f>
        <v>0</v>
      </c>
      <c r="T7" s="769" t="s">
        <v>17</v>
      </c>
      <c r="U7" s="770">
        <f t="shared" ref="U7:U15" si="1">H7</f>
        <v>0</v>
      </c>
      <c r="V7" s="769" t="s">
        <v>17</v>
      </c>
      <c r="W7" s="770">
        <f t="shared" ref="W7:W15" si="2">J7</f>
        <v>0</v>
      </c>
      <c r="X7" s="771"/>
      <c r="Y7" s="3334" t="s">
        <v>2520</v>
      </c>
      <c r="Z7" s="3333"/>
      <c r="AA7" s="772" t="e">
        <f>D7/F7</f>
        <v>#DIV/0!</v>
      </c>
      <c r="AB7" s="772" t="e">
        <f>D7/H7</f>
        <v>#DIV/0!</v>
      </c>
      <c r="AC7" s="772" t="e">
        <f>D7/J7</f>
        <v>#DIV/0!</v>
      </c>
    </row>
    <row r="8" spans="1:29" s="117" customFormat="1" ht="15.75" thickBot="1">
      <c r="A8" s="407" t="s">
        <v>2521</v>
      </c>
      <c r="B8" s="408"/>
      <c r="C8" s="413" t="s">
        <v>2522</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334" t="s">
        <v>2523</v>
      </c>
      <c r="Q8" s="3333"/>
      <c r="R8" s="769" t="s">
        <v>17</v>
      </c>
      <c r="S8" s="770">
        <f t="shared" si="0"/>
        <v>0</v>
      </c>
      <c r="T8" s="769" t="s">
        <v>17</v>
      </c>
      <c r="U8" s="770">
        <f t="shared" si="1"/>
        <v>0</v>
      </c>
      <c r="V8" s="769" t="s">
        <v>17</v>
      </c>
      <c r="W8" s="770">
        <f t="shared" si="2"/>
        <v>0</v>
      </c>
      <c r="X8" s="771"/>
      <c r="Y8" s="3334" t="s">
        <v>2523</v>
      </c>
      <c r="Z8" s="3333"/>
      <c r="AA8" s="772" t="e">
        <f t="shared" ref="AA8:AA40" si="3">D8/F8</f>
        <v>#DIV/0!</v>
      </c>
      <c r="AB8" s="772" t="e">
        <f t="shared" ref="AB8:AB40" si="4">D8/H8</f>
        <v>#DIV/0!</v>
      </c>
      <c r="AC8" s="772" t="e">
        <f t="shared" ref="AC8:AC40" si="5">D8/J8</f>
        <v>#DIV/0!</v>
      </c>
    </row>
    <row r="9" spans="1:29" s="117" customFormat="1">
      <c r="A9" s="414" t="s">
        <v>2524</v>
      </c>
      <c r="B9" s="71" t="s">
        <v>2525</v>
      </c>
      <c r="C9" s="2663"/>
      <c r="D9" s="134">
        <v>100</v>
      </c>
      <c r="E9" s="2663"/>
      <c r="F9" s="134">
        <f>SUMIF(70:70,E9,71:71)-SUMIF(70:70,C9,71:71)+100</f>
        <v>100</v>
      </c>
      <c r="G9" s="2663"/>
      <c r="H9" s="134">
        <f>SUMIF(70:70,G9,71:71)-SUMIF(70:70,C9,71:71)+100</f>
        <v>100</v>
      </c>
      <c r="I9" s="2663"/>
      <c r="J9" s="134">
        <f>SUMIF(70:70,I9,71:71)-SUMIF(70:70,C9,71:71)+100</f>
        <v>100</v>
      </c>
      <c r="K9" s="610"/>
      <c r="L9" s="1134"/>
      <c r="M9" s="1135"/>
      <c r="N9" s="1135"/>
      <c r="O9" s="1136"/>
      <c r="P9" s="3293" t="s">
        <v>2526</v>
      </c>
      <c r="Q9" s="1797" t="str">
        <f t="shared" ref="Q9:Q15" si="6">B9</f>
        <v>用途</v>
      </c>
      <c r="R9" s="769" t="s">
        <v>17</v>
      </c>
      <c r="S9" s="770">
        <f t="shared" si="0"/>
        <v>100</v>
      </c>
      <c r="T9" s="769" t="s">
        <v>17</v>
      </c>
      <c r="U9" s="770">
        <f t="shared" si="1"/>
        <v>100</v>
      </c>
      <c r="V9" s="769" t="s">
        <v>17</v>
      </c>
      <c r="W9" s="770">
        <f t="shared" si="2"/>
        <v>100</v>
      </c>
      <c r="X9" s="771"/>
      <c r="Y9" s="3150" t="s">
        <v>2527</v>
      </c>
      <c r="Z9" s="55" t="str">
        <f t="shared" ref="Z9:Z15" si="7">Q9</f>
        <v>用途</v>
      </c>
      <c r="AA9" s="772">
        <f t="shared" si="3"/>
        <v>1</v>
      </c>
      <c r="AB9" s="772">
        <f t="shared" si="4"/>
        <v>1</v>
      </c>
      <c r="AC9" s="772">
        <f t="shared" si="5"/>
        <v>1</v>
      </c>
    </row>
    <row r="10" spans="1:29" s="426" customFormat="1" ht="27">
      <c r="A10" s="420"/>
      <c r="B10" s="421" t="s">
        <v>2528</v>
      </c>
      <c r="C10" s="431"/>
      <c r="D10" s="135">
        <v>100</v>
      </c>
      <c r="E10" s="431"/>
      <c r="F10" s="135">
        <f>ROUND(100/'数据-取费表'!G16,0)</f>
        <v>113</v>
      </c>
      <c r="G10" s="431"/>
      <c r="H10" s="135">
        <f>ROUND(100/'数据-取费表'!G16,0)</f>
        <v>113</v>
      </c>
      <c r="I10" s="431"/>
      <c r="J10" s="135">
        <f>ROUND(100/'数据-取费表'!G16,0)</f>
        <v>113</v>
      </c>
      <c r="K10" s="671"/>
      <c r="L10" s="1137"/>
      <c r="M10" s="1138"/>
      <c r="N10" s="1138"/>
      <c r="O10" s="1139"/>
      <c r="P10" s="3293"/>
      <c r="Q10" s="1797" t="str">
        <f t="shared" si="6"/>
        <v>土地使用年限（年）</v>
      </c>
      <c r="R10" s="769" t="s">
        <v>17</v>
      </c>
      <c r="S10" s="770">
        <f t="shared" si="0"/>
        <v>113</v>
      </c>
      <c r="T10" s="769" t="s">
        <v>17</v>
      </c>
      <c r="U10" s="770">
        <f t="shared" si="1"/>
        <v>113</v>
      </c>
      <c r="V10" s="769" t="s">
        <v>17</v>
      </c>
      <c r="W10" s="770">
        <f t="shared" si="2"/>
        <v>113</v>
      </c>
      <c r="X10" s="771"/>
      <c r="Y10" s="3150"/>
      <c r="Z10" s="55" t="str">
        <f t="shared" si="7"/>
        <v>土地使用年限（年）</v>
      </c>
      <c r="AA10" s="772">
        <f t="shared" si="3"/>
        <v>0.88495575221238942</v>
      </c>
      <c r="AB10" s="772">
        <f t="shared" si="4"/>
        <v>0.88495575221238942</v>
      </c>
      <c r="AC10" s="772">
        <f t="shared" si="5"/>
        <v>0.88495575221238942</v>
      </c>
    </row>
    <row r="11" spans="1:29" ht="15">
      <c r="A11" s="427"/>
      <c r="B11" s="421" t="s">
        <v>2529</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293"/>
      <c r="Q11" s="1797" t="str">
        <f t="shared" si="6"/>
        <v>容积率</v>
      </c>
      <c r="R11" s="769" t="s">
        <v>17</v>
      </c>
      <c r="S11" s="770" t="e">
        <f t="shared" si="0"/>
        <v>#N/A</v>
      </c>
      <c r="T11" s="769" t="s">
        <v>17</v>
      </c>
      <c r="U11" s="770" t="e">
        <f t="shared" si="1"/>
        <v>#N/A</v>
      </c>
      <c r="V11" s="769" t="s">
        <v>17</v>
      </c>
      <c r="W11" s="770" t="e">
        <f t="shared" si="2"/>
        <v>#N/A</v>
      </c>
      <c r="X11" s="771"/>
      <c r="Y11" s="3150"/>
      <c r="Z11" s="55" t="str">
        <f t="shared" si="7"/>
        <v>容积率</v>
      </c>
      <c r="AA11" s="772" t="e">
        <f t="shared" si="3"/>
        <v>#N/A</v>
      </c>
      <c r="AB11" s="772" t="e">
        <f t="shared" si="4"/>
        <v>#N/A</v>
      </c>
      <c r="AC11" s="772" t="e">
        <f t="shared" si="5"/>
        <v>#N/A</v>
      </c>
    </row>
    <row r="12" spans="1:29" s="117" customFormat="1" ht="15">
      <c r="A12" s="430"/>
      <c r="B12" s="2564">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293"/>
      <c r="Q12" s="1797">
        <f t="shared" si="6"/>
        <v>111</v>
      </c>
      <c r="R12" s="769" t="s">
        <v>17</v>
      </c>
      <c r="S12" s="770">
        <f t="shared" si="0"/>
        <v>100</v>
      </c>
      <c r="T12" s="769" t="s">
        <v>17</v>
      </c>
      <c r="U12" s="770">
        <f t="shared" si="1"/>
        <v>100</v>
      </c>
      <c r="V12" s="769" t="s">
        <v>17</v>
      </c>
      <c r="W12" s="770">
        <f t="shared" si="2"/>
        <v>100</v>
      </c>
      <c r="X12" s="771"/>
      <c r="Y12" s="3150"/>
      <c r="Z12" s="55">
        <f t="shared" si="7"/>
        <v>111</v>
      </c>
      <c r="AA12" s="772">
        <f>D12/F12</f>
        <v>1</v>
      </c>
      <c r="AB12" s="772">
        <f>D12/H12</f>
        <v>1</v>
      </c>
      <c r="AC12" s="772">
        <f>D12/J12</f>
        <v>1</v>
      </c>
    </row>
    <row r="13" spans="1:29" ht="15">
      <c r="A13" s="427"/>
      <c r="B13" s="2564">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293"/>
      <c r="Q13" s="1797">
        <f t="shared" si="6"/>
        <v>111</v>
      </c>
      <c r="R13" s="769" t="s">
        <v>17</v>
      </c>
      <c r="S13" s="770">
        <f t="shared" si="0"/>
        <v>100</v>
      </c>
      <c r="T13" s="769" t="s">
        <v>17</v>
      </c>
      <c r="U13" s="770">
        <f t="shared" si="1"/>
        <v>100</v>
      </c>
      <c r="V13" s="769" t="s">
        <v>17</v>
      </c>
      <c r="W13" s="770">
        <f t="shared" si="2"/>
        <v>100</v>
      </c>
      <c r="X13" s="771"/>
      <c r="Y13" s="3150"/>
      <c r="Z13" s="55">
        <f t="shared" si="7"/>
        <v>111</v>
      </c>
      <c r="AA13" s="772">
        <f t="shared" si="3"/>
        <v>1</v>
      </c>
      <c r="AB13" s="772">
        <f t="shared" si="4"/>
        <v>1</v>
      </c>
      <c r="AC13" s="772">
        <f t="shared" si="5"/>
        <v>1</v>
      </c>
    </row>
    <row r="14" spans="1:29" ht="15.75" thickBot="1">
      <c r="A14" s="435"/>
      <c r="B14" s="2566">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293"/>
      <c r="Q14" s="1797">
        <f t="shared" si="6"/>
        <v>111</v>
      </c>
      <c r="R14" s="769" t="s">
        <v>17</v>
      </c>
      <c r="S14" s="770">
        <f t="shared" si="0"/>
        <v>100</v>
      </c>
      <c r="T14" s="769" t="s">
        <v>17</v>
      </c>
      <c r="U14" s="770">
        <f t="shared" si="1"/>
        <v>100</v>
      </c>
      <c r="V14" s="769" t="s">
        <v>17</v>
      </c>
      <c r="W14" s="770">
        <f t="shared" si="2"/>
        <v>100</v>
      </c>
      <c r="X14" s="771"/>
      <c r="Y14" s="3150"/>
      <c r="Z14" s="55">
        <f t="shared" si="7"/>
        <v>111</v>
      </c>
      <c r="AA14" s="772">
        <f t="shared" si="3"/>
        <v>1</v>
      </c>
      <c r="AB14" s="772">
        <f t="shared" si="4"/>
        <v>1</v>
      </c>
      <c r="AC14" s="772">
        <f t="shared" si="5"/>
        <v>1</v>
      </c>
    </row>
    <row r="15" spans="1:29" ht="15">
      <c r="A15" s="439" t="s">
        <v>2530</v>
      </c>
      <c r="B15" s="628" t="s">
        <v>2769</v>
      </c>
      <c r="C15" s="2657">
        <f>估价对象房地状况!G15</f>
        <v>0</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300" t="s">
        <v>2531</v>
      </c>
      <c r="Q15" s="1812" t="str">
        <f t="shared" si="6"/>
        <v>产业集聚程度</v>
      </c>
      <c r="R15" s="773" t="s">
        <v>17</v>
      </c>
      <c r="S15" s="774">
        <f t="shared" si="0"/>
        <v>100</v>
      </c>
      <c r="T15" s="773" t="s">
        <v>17</v>
      </c>
      <c r="U15" s="774">
        <f t="shared" si="1"/>
        <v>100</v>
      </c>
      <c r="V15" s="773" t="s">
        <v>17</v>
      </c>
      <c r="W15" s="774">
        <f t="shared" si="2"/>
        <v>100</v>
      </c>
      <c r="X15" s="1815"/>
      <c r="Y15" s="3300" t="s">
        <v>2531</v>
      </c>
      <c r="Z15" s="1816" t="str">
        <f t="shared" si="7"/>
        <v>产业集聚程度</v>
      </c>
      <c r="AA15" s="1813">
        <f t="shared" si="3"/>
        <v>1</v>
      </c>
      <c r="AB15" s="1813">
        <f t="shared" si="4"/>
        <v>1</v>
      </c>
      <c r="AC15" s="1813">
        <f t="shared" si="5"/>
        <v>1</v>
      </c>
    </row>
    <row r="16" spans="1:29" ht="15">
      <c r="A16" s="427"/>
      <c r="B16" s="629"/>
      <c r="C16" s="446"/>
      <c r="D16" s="447"/>
      <c r="E16" s="2575"/>
      <c r="F16" s="447"/>
      <c r="G16" s="2575"/>
      <c r="H16" s="449"/>
      <c r="I16" s="2575"/>
      <c r="J16" s="447"/>
      <c r="K16" s="671"/>
      <c r="L16" s="1142"/>
      <c r="M16" s="1133"/>
      <c r="N16" s="1133"/>
      <c r="O16" s="1141"/>
      <c r="P16" s="3301"/>
      <c r="Q16" s="1812"/>
      <c r="R16" s="773"/>
      <c r="S16" s="774"/>
      <c r="T16" s="773"/>
      <c r="U16" s="774"/>
      <c r="V16" s="773"/>
      <c r="W16" s="774"/>
      <c r="X16" s="1815"/>
      <c r="Y16" s="3301"/>
      <c r="Z16" s="1816"/>
      <c r="AA16" s="1813">
        <v>1</v>
      </c>
      <c r="AB16" s="1813">
        <v>1</v>
      </c>
      <c r="AC16" s="1813">
        <v>1</v>
      </c>
    </row>
    <row r="17" spans="1:29" ht="15">
      <c r="A17" s="427"/>
      <c r="B17" s="630" t="s">
        <v>2680</v>
      </c>
      <c r="C17" s="2571">
        <f>估价对象房地状况!G16</f>
        <v>0</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301"/>
      <c r="Q17" s="1812" t="str">
        <f>B17</f>
        <v>交通便捷度</v>
      </c>
      <c r="R17" s="773" t="s">
        <v>17</v>
      </c>
      <c r="S17" s="774">
        <f>F17</f>
        <v>100</v>
      </c>
      <c r="T17" s="773" t="s">
        <v>17</v>
      </c>
      <c r="U17" s="774">
        <f>H17</f>
        <v>100</v>
      </c>
      <c r="V17" s="773" t="s">
        <v>17</v>
      </c>
      <c r="W17" s="774">
        <f>J17</f>
        <v>100</v>
      </c>
      <c r="X17" s="1815"/>
      <c r="Y17" s="3301"/>
      <c r="Z17" s="1816" t="str">
        <f>Q17</f>
        <v>交通便捷度</v>
      </c>
      <c r="AA17" s="1813">
        <f t="shared" si="3"/>
        <v>1</v>
      </c>
      <c r="AB17" s="1813">
        <f t="shared" si="4"/>
        <v>1</v>
      </c>
      <c r="AC17" s="1813">
        <f t="shared" si="5"/>
        <v>1</v>
      </c>
    </row>
    <row r="18" spans="1:29" ht="15">
      <c r="A18" s="427"/>
      <c r="B18" s="631"/>
      <c r="C18" s="446"/>
      <c r="D18" s="447"/>
      <c r="E18" s="2569"/>
      <c r="F18" s="447"/>
      <c r="G18" s="2569"/>
      <c r="H18" s="447"/>
      <c r="I18" s="2568"/>
      <c r="J18" s="447"/>
      <c r="K18" s="671"/>
      <c r="L18" s="1142"/>
      <c r="M18" s="1133"/>
      <c r="N18" s="1133"/>
      <c r="O18" s="1141"/>
      <c r="P18" s="3301"/>
      <c r="Q18" s="1812"/>
      <c r="R18" s="773"/>
      <c r="S18" s="774"/>
      <c r="T18" s="773"/>
      <c r="U18" s="774"/>
      <c r="V18" s="773"/>
      <c r="W18" s="774"/>
      <c r="X18" s="1815"/>
      <c r="Y18" s="3301"/>
      <c r="Z18" s="1816"/>
      <c r="AA18" s="1813">
        <v>1</v>
      </c>
      <c r="AB18" s="1813">
        <v>1</v>
      </c>
      <c r="AC18" s="1813">
        <v>1</v>
      </c>
    </row>
    <row r="19" spans="1:29" ht="15">
      <c r="A19" s="427"/>
      <c r="B19" s="630" t="s">
        <v>2719</v>
      </c>
      <c r="C19" s="2571">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301"/>
      <c r="Q19" s="1812" t="str">
        <f t="shared" ref="Q19:Q33" si="8">B19</f>
        <v>区域土地利用方向</v>
      </c>
      <c r="R19" s="773" t="s">
        <v>17</v>
      </c>
      <c r="S19" s="774">
        <f>F19</f>
        <v>100</v>
      </c>
      <c r="T19" s="773" t="s">
        <v>17</v>
      </c>
      <c r="U19" s="774">
        <f>H19</f>
        <v>100</v>
      </c>
      <c r="V19" s="773" t="s">
        <v>17</v>
      </c>
      <c r="W19" s="774">
        <f>J19</f>
        <v>100</v>
      </c>
      <c r="X19" s="1815"/>
      <c r="Y19" s="3301"/>
      <c r="Z19" s="1816" t="str">
        <f>Q19</f>
        <v>区域土地利用方向</v>
      </c>
      <c r="AA19" s="1813">
        <f t="shared" si="3"/>
        <v>1</v>
      </c>
      <c r="AB19" s="1813">
        <f t="shared" si="4"/>
        <v>1</v>
      </c>
      <c r="AC19" s="1813">
        <f t="shared" si="5"/>
        <v>1</v>
      </c>
    </row>
    <row r="20" spans="1:29" ht="15">
      <c r="A20" s="403"/>
      <c r="B20" s="631"/>
      <c r="C20" s="446"/>
      <c r="D20" s="447"/>
      <c r="E20" s="2569"/>
      <c r="F20" s="447"/>
      <c r="G20" s="2569"/>
      <c r="H20" s="447"/>
      <c r="I20" s="2569"/>
      <c r="J20" s="447"/>
      <c r="K20" s="811"/>
      <c r="L20" s="1142"/>
      <c r="M20" s="1133"/>
      <c r="N20" s="1133"/>
      <c r="O20" s="1141"/>
      <c r="P20" s="3301"/>
      <c r="Q20" s="1812"/>
      <c r="R20" s="773"/>
      <c r="S20" s="774"/>
      <c r="T20" s="773"/>
      <c r="U20" s="774"/>
      <c r="V20" s="773"/>
      <c r="W20" s="774"/>
      <c r="X20" s="1815"/>
      <c r="Y20" s="3301"/>
      <c r="Z20" s="1816"/>
      <c r="AA20" s="1813"/>
      <c r="AB20" s="1813"/>
      <c r="AC20" s="1813"/>
    </row>
    <row r="21" spans="1:29" ht="15">
      <c r="A21" s="403"/>
      <c r="B21" s="630" t="s">
        <v>2770</v>
      </c>
      <c r="C21" s="2571">
        <f>估价对象房地状况!G18</f>
        <v>0</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301"/>
      <c r="Q21" s="1812" t="str">
        <f t="shared" si="8"/>
        <v>环境状况</v>
      </c>
      <c r="R21" s="773" t="s">
        <v>17</v>
      </c>
      <c r="S21" s="774">
        <f>F21</f>
        <v>100</v>
      </c>
      <c r="T21" s="773" t="s">
        <v>17</v>
      </c>
      <c r="U21" s="774">
        <f>H21</f>
        <v>100</v>
      </c>
      <c r="V21" s="773" t="s">
        <v>17</v>
      </c>
      <c r="W21" s="774">
        <f>J21</f>
        <v>100</v>
      </c>
      <c r="X21" s="1815"/>
      <c r="Y21" s="3301"/>
      <c r="Z21" s="1816" t="str">
        <f>Q21</f>
        <v>环境状况</v>
      </c>
      <c r="AA21" s="1813">
        <f t="shared" si="3"/>
        <v>1</v>
      </c>
      <c r="AB21" s="1813">
        <f t="shared" si="4"/>
        <v>1</v>
      </c>
      <c r="AC21" s="1813">
        <f t="shared" si="5"/>
        <v>1</v>
      </c>
    </row>
    <row r="22" spans="1:29" ht="15">
      <c r="A22" s="403"/>
      <c r="B22" s="631"/>
      <c r="C22" s="446"/>
      <c r="D22" s="447"/>
      <c r="E22" s="2575"/>
      <c r="F22" s="447"/>
      <c r="G22" s="2575"/>
      <c r="H22" s="447"/>
      <c r="I22" s="446"/>
      <c r="J22" s="447"/>
      <c r="K22" s="671"/>
      <c r="L22" s="1142"/>
      <c r="M22" s="1133"/>
      <c r="N22" s="1133"/>
      <c r="O22" s="1141"/>
      <c r="P22" s="3301"/>
      <c r="Q22" s="1812"/>
      <c r="R22" s="773"/>
      <c r="S22" s="774"/>
      <c r="T22" s="773"/>
      <c r="U22" s="774"/>
      <c r="V22" s="773"/>
      <c r="W22" s="774"/>
      <c r="X22" s="1815"/>
      <c r="Y22" s="3301"/>
      <c r="Z22" s="1816"/>
      <c r="AA22" s="1813">
        <v>1</v>
      </c>
      <c r="AB22" s="1813">
        <v>1</v>
      </c>
      <c r="AC22" s="1813">
        <v>1</v>
      </c>
    </row>
    <row r="23" spans="1:29" s="117" customFormat="1" ht="15">
      <c r="A23" s="648"/>
      <c r="B23" s="632" t="s">
        <v>2625</v>
      </c>
      <c r="C23" s="2571">
        <f>估价对象房地状况!G19</f>
        <v>0</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301"/>
      <c r="Q23" s="1797" t="str">
        <f t="shared" si="8"/>
        <v>公共配套设施</v>
      </c>
      <c r="R23" s="769" t="s">
        <v>17</v>
      </c>
      <c r="S23" s="770">
        <f>F23</f>
        <v>100</v>
      </c>
      <c r="T23" s="769" t="s">
        <v>17</v>
      </c>
      <c r="U23" s="770">
        <f>H23</f>
        <v>100</v>
      </c>
      <c r="V23" s="769" t="s">
        <v>17</v>
      </c>
      <c r="W23" s="770">
        <f>J23</f>
        <v>100</v>
      </c>
      <c r="X23" s="771"/>
      <c r="Y23" s="3301"/>
      <c r="Z23" s="55" t="str">
        <f>Q23</f>
        <v>公共配套设施</v>
      </c>
      <c r="AA23" s="1813">
        <f>D23/F23</f>
        <v>1</v>
      </c>
      <c r="AB23" s="1813">
        <f>D23/H23</f>
        <v>1</v>
      </c>
      <c r="AC23" s="1813">
        <f>D23/J23</f>
        <v>1</v>
      </c>
    </row>
    <row r="24" spans="1:29" s="117" customFormat="1" ht="15">
      <c r="A24" s="648"/>
      <c r="B24" s="631"/>
      <c r="C24" s="2664"/>
      <c r="D24" s="447"/>
      <c r="E24" s="2575"/>
      <c r="F24" s="447"/>
      <c r="G24" s="2575"/>
      <c r="H24" s="447"/>
      <c r="I24" s="446"/>
      <c r="J24" s="447"/>
      <c r="K24" s="671"/>
      <c r="L24" s="1134"/>
      <c r="M24" s="1135"/>
      <c r="N24" s="1135"/>
      <c r="O24" s="1136"/>
      <c r="P24" s="3301"/>
      <c r="Q24" s="1797"/>
      <c r="R24" s="769"/>
      <c r="S24" s="770"/>
      <c r="T24" s="769"/>
      <c r="U24" s="770"/>
      <c r="V24" s="769"/>
      <c r="W24" s="770"/>
      <c r="X24" s="771"/>
      <c r="Y24" s="3301"/>
      <c r="Z24" s="55"/>
      <c r="AA24" s="772">
        <v>1</v>
      </c>
      <c r="AB24" s="772">
        <v>1</v>
      </c>
      <c r="AC24" s="772">
        <v>1</v>
      </c>
    </row>
    <row r="25" spans="1:29" s="117" customFormat="1" ht="15">
      <c r="A25" s="648"/>
      <c r="B25" s="632" t="s">
        <v>2626</v>
      </c>
      <c r="C25" s="2571">
        <f>估价对象房地状况!G20</f>
        <v>0</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301"/>
      <c r="Q25" s="1797" t="str">
        <f t="shared" ref="Q25" si="9">B25</f>
        <v>基础设施水平</v>
      </c>
      <c r="R25" s="769" t="s">
        <v>17</v>
      </c>
      <c r="S25" s="770">
        <f>F25</f>
        <v>100</v>
      </c>
      <c r="T25" s="769" t="s">
        <v>17</v>
      </c>
      <c r="U25" s="770">
        <f>H25</f>
        <v>100</v>
      </c>
      <c r="V25" s="769" t="s">
        <v>17</v>
      </c>
      <c r="W25" s="770">
        <f>J25</f>
        <v>100</v>
      </c>
      <c r="X25" s="771"/>
      <c r="Y25" s="3301"/>
      <c r="Z25" s="55" t="str">
        <f>Q25</f>
        <v>基础设施水平</v>
      </c>
      <c r="AA25" s="1813">
        <f>D25/F25</f>
        <v>1</v>
      </c>
      <c r="AB25" s="1813">
        <f>D25/H25</f>
        <v>1</v>
      </c>
      <c r="AC25" s="1813">
        <f>D25/J25</f>
        <v>1</v>
      </c>
    </row>
    <row r="26" spans="1:29" s="117" customFormat="1" ht="15">
      <c r="A26" s="648"/>
      <c r="B26" s="631"/>
      <c r="C26" s="2664"/>
      <c r="D26" s="447"/>
      <c r="E26" s="2665"/>
      <c r="F26" s="447"/>
      <c r="G26" s="2665"/>
      <c r="H26" s="447"/>
      <c r="I26" s="2665"/>
      <c r="J26" s="447"/>
      <c r="K26" s="671"/>
      <c r="L26" s="1134"/>
      <c r="M26" s="1135"/>
      <c r="N26" s="1135"/>
      <c r="O26" s="1136"/>
      <c r="P26" s="3301"/>
      <c r="Q26" s="1797"/>
      <c r="R26" s="769"/>
      <c r="S26" s="770"/>
      <c r="T26" s="769"/>
      <c r="U26" s="770"/>
      <c r="V26" s="769"/>
      <c r="W26" s="770"/>
      <c r="X26" s="771"/>
      <c r="Y26" s="3301"/>
      <c r="Z26" s="55"/>
      <c r="AA26" s="772">
        <v>1</v>
      </c>
      <c r="AB26" s="772">
        <v>1</v>
      </c>
      <c r="AC26" s="772">
        <v>1</v>
      </c>
    </row>
    <row r="27" spans="1:29" ht="15">
      <c r="A27" s="427"/>
      <c r="B27" s="631" t="s">
        <v>2627</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301"/>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301"/>
      <c r="Z27" s="1816" t="str">
        <f t="shared" ref="Z27:Z40" si="13">Q27</f>
        <v>临街状况</v>
      </c>
      <c r="AA27" s="1813">
        <f t="shared" si="3"/>
        <v>1</v>
      </c>
      <c r="AB27" s="1813">
        <f t="shared" si="4"/>
        <v>1</v>
      </c>
      <c r="AC27" s="1813">
        <f t="shared" si="5"/>
        <v>1</v>
      </c>
    </row>
    <row r="28" spans="1:29" ht="27">
      <c r="A28" s="427"/>
      <c r="B28" s="632" t="s">
        <v>2662</v>
      </c>
      <c r="C28" s="2677">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301"/>
      <c r="Q28" s="1812" t="str">
        <f t="shared" si="8"/>
        <v>毗邻道路的类型与等级</v>
      </c>
      <c r="R28" s="773" t="s">
        <v>17</v>
      </c>
      <c r="S28" s="774">
        <f t="shared" si="10"/>
        <v>100</v>
      </c>
      <c r="T28" s="773" t="s">
        <v>17</v>
      </c>
      <c r="U28" s="774">
        <f t="shared" si="11"/>
        <v>100</v>
      </c>
      <c r="V28" s="773" t="s">
        <v>17</v>
      </c>
      <c r="W28" s="774">
        <f t="shared" si="12"/>
        <v>100</v>
      </c>
      <c r="X28" s="1815"/>
      <c r="Y28" s="3301"/>
      <c r="Z28" s="1816" t="str">
        <f t="shared" si="13"/>
        <v>毗邻道路的类型与等级</v>
      </c>
      <c r="AA28" s="1813">
        <f t="shared" si="3"/>
        <v>1</v>
      </c>
      <c r="AB28" s="1813">
        <f t="shared" si="4"/>
        <v>1</v>
      </c>
      <c r="AC28" s="1813">
        <f t="shared" si="5"/>
        <v>1</v>
      </c>
    </row>
    <row r="29" spans="1:29" ht="15">
      <c r="A29" s="427"/>
      <c r="B29" s="631"/>
      <c r="C29" s="446"/>
      <c r="D29" s="447"/>
      <c r="E29" s="2575"/>
      <c r="F29" s="447"/>
      <c r="G29" s="2575"/>
      <c r="H29" s="447"/>
      <c r="I29" s="2575"/>
      <c r="J29" s="447"/>
      <c r="K29" s="612"/>
      <c r="L29" s="1142"/>
      <c r="M29" s="1133"/>
      <c r="N29" s="1133"/>
      <c r="O29" s="1141"/>
      <c r="P29" s="3301"/>
      <c r="Q29" s="1812"/>
      <c r="R29" s="773"/>
      <c r="S29" s="774"/>
      <c r="T29" s="773"/>
      <c r="U29" s="774"/>
      <c r="V29" s="773"/>
      <c r="W29" s="774"/>
      <c r="X29" s="1815"/>
      <c r="Y29" s="3301"/>
      <c r="Z29" s="1816"/>
      <c r="AA29" s="1813">
        <v>1</v>
      </c>
      <c r="AB29" s="1813">
        <v>1</v>
      </c>
      <c r="AC29" s="1813">
        <v>1</v>
      </c>
    </row>
    <row r="30" spans="1:29" ht="15">
      <c r="A30" s="427"/>
      <c r="B30" s="653" t="s">
        <v>2721</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301"/>
      <c r="Q30" s="1812" t="str">
        <f t="shared" si="8"/>
        <v>土地级别</v>
      </c>
      <c r="R30" s="773" t="s">
        <v>17</v>
      </c>
      <c r="S30" s="774">
        <f t="shared" si="10"/>
        <v>100</v>
      </c>
      <c r="T30" s="773" t="s">
        <v>17</v>
      </c>
      <c r="U30" s="774">
        <f t="shared" si="11"/>
        <v>100</v>
      </c>
      <c r="V30" s="773" t="s">
        <v>17</v>
      </c>
      <c r="W30" s="774">
        <f t="shared" si="12"/>
        <v>100</v>
      </c>
      <c r="X30" s="1815"/>
      <c r="Y30" s="3301"/>
      <c r="Z30" s="1816" t="str">
        <f t="shared" si="13"/>
        <v>土地级别</v>
      </c>
      <c r="AA30" s="1813">
        <f t="shared" si="3"/>
        <v>1</v>
      </c>
      <c r="AB30" s="1813">
        <f t="shared" si="4"/>
        <v>1</v>
      </c>
      <c r="AC30" s="1813">
        <f t="shared" si="5"/>
        <v>1</v>
      </c>
    </row>
    <row r="31" spans="1:29" ht="15">
      <c r="A31" s="403"/>
      <c r="B31" s="2642">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301"/>
      <c r="Q31" s="1812">
        <f t="shared" si="8"/>
        <v>111</v>
      </c>
      <c r="R31" s="773" t="s">
        <v>17</v>
      </c>
      <c r="S31" s="774">
        <f t="shared" si="10"/>
        <v>100</v>
      </c>
      <c r="T31" s="773" t="s">
        <v>17</v>
      </c>
      <c r="U31" s="774">
        <f t="shared" si="11"/>
        <v>100</v>
      </c>
      <c r="V31" s="773" t="s">
        <v>17</v>
      </c>
      <c r="W31" s="774">
        <f t="shared" si="12"/>
        <v>100</v>
      </c>
      <c r="X31" s="1815"/>
      <c r="Y31" s="3301"/>
      <c r="Z31" s="1816">
        <f t="shared" si="13"/>
        <v>111</v>
      </c>
      <c r="AA31" s="1813">
        <f t="shared" si="3"/>
        <v>1</v>
      </c>
      <c r="AB31" s="1813">
        <f t="shared" si="4"/>
        <v>1</v>
      </c>
      <c r="AC31" s="1813">
        <f t="shared" si="5"/>
        <v>1</v>
      </c>
    </row>
    <row r="32" spans="1:29" ht="15">
      <c r="A32" s="674"/>
      <c r="B32" s="2678">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411" t="s">
        <v>2536</v>
      </c>
      <c r="Q32" s="1812">
        <f t="shared" si="8"/>
        <v>111</v>
      </c>
      <c r="R32" s="773" t="s">
        <v>17</v>
      </c>
      <c r="S32" s="774">
        <f t="shared" si="10"/>
        <v>100</v>
      </c>
      <c r="T32" s="773" t="s">
        <v>17</v>
      </c>
      <c r="U32" s="774">
        <f t="shared" si="11"/>
        <v>100</v>
      </c>
      <c r="V32" s="773" t="s">
        <v>17</v>
      </c>
      <c r="W32" s="774">
        <f t="shared" si="12"/>
        <v>100</v>
      </c>
      <c r="X32" s="1815"/>
      <c r="Y32" s="3305" t="s">
        <v>2536</v>
      </c>
      <c r="Z32" s="1816">
        <f t="shared" si="13"/>
        <v>111</v>
      </c>
      <c r="AA32" s="1813">
        <f t="shared" si="3"/>
        <v>1</v>
      </c>
      <c r="AB32" s="1813">
        <f t="shared" si="4"/>
        <v>1</v>
      </c>
      <c r="AC32" s="1813">
        <f t="shared" si="5"/>
        <v>1</v>
      </c>
    </row>
    <row r="33" spans="1:29" s="470" customFormat="1" ht="15.75" thickBot="1">
      <c r="A33" s="675"/>
      <c r="B33" s="2679">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305"/>
      <c r="Q33" s="1812">
        <f t="shared" si="8"/>
        <v>111</v>
      </c>
      <c r="R33" s="776" t="s">
        <v>17</v>
      </c>
      <c r="S33" s="777">
        <f t="shared" si="10"/>
        <v>100</v>
      </c>
      <c r="T33" s="776" t="s">
        <v>17</v>
      </c>
      <c r="U33" s="777">
        <f t="shared" si="11"/>
        <v>100</v>
      </c>
      <c r="V33" s="776" t="s">
        <v>17</v>
      </c>
      <c r="W33" s="777">
        <f t="shared" si="12"/>
        <v>100</v>
      </c>
      <c r="X33" s="778"/>
      <c r="Y33" s="3305"/>
      <c r="Z33" s="779">
        <f t="shared" si="13"/>
        <v>111</v>
      </c>
      <c r="AA33" s="1813">
        <f t="shared" si="3"/>
        <v>1</v>
      </c>
      <c r="AB33" s="1813">
        <f t="shared" si="4"/>
        <v>1</v>
      </c>
      <c r="AC33" s="1813">
        <f t="shared" si="5"/>
        <v>1</v>
      </c>
    </row>
    <row r="34" spans="1:29" ht="15">
      <c r="A34" s="439" t="s">
        <v>2534</v>
      </c>
      <c r="B34" s="455" t="s">
        <v>2722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305"/>
      <c r="Q34" s="1812" t="str">
        <f>B34</f>
        <v>宗地面积</v>
      </c>
      <c r="R34" s="773" t="s">
        <v>17</v>
      </c>
      <c r="S34" s="774" t="e">
        <f t="shared" si="10"/>
        <v>#N/A</v>
      </c>
      <c r="T34" s="773" t="s">
        <v>17</v>
      </c>
      <c r="U34" s="774" t="e">
        <f t="shared" si="11"/>
        <v>#N/A</v>
      </c>
      <c r="V34" s="773" t="s">
        <v>17</v>
      </c>
      <c r="W34" s="774" t="e">
        <f t="shared" si="12"/>
        <v>#N/A</v>
      </c>
      <c r="X34" s="1815"/>
      <c r="Y34" s="3305"/>
      <c r="Z34" s="1816" t="str">
        <f t="shared" si="13"/>
        <v>宗地面积</v>
      </c>
      <c r="AA34" s="1813" t="e">
        <f t="shared" si="3"/>
        <v>#N/A</v>
      </c>
      <c r="AB34" s="1813" t="e">
        <f t="shared" si="4"/>
        <v>#N/A</v>
      </c>
      <c r="AC34" s="1813" t="e">
        <f t="shared" si="5"/>
        <v>#N/A</v>
      </c>
    </row>
    <row r="35" spans="1:29" ht="15">
      <c r="A35" s="471"/>
      <c r="B35" s="421" t="s">
        <v>2723</v>
      </c>
      <c r="C35" s="2577"/>
      <c r="D35" s="434">
        <v>100</v>
      </c>
      <c r="E35" s="2577"/>
      <c r="F35" s="434">
        <f>SUMIF(110:110,E35,111:111)-SUMIF(110:110,C35,111:111)+100</f>
        <v>100</v>
      </c>
      <c r="G35" s="2577"/>
      <c r="H35" s="434">
        <f>SUMIF(110:110,G35,111:111)-SUMIF(110:110,C35,111:111)+100</f>
        <v>100</v>
      </c>
      <c r="I35" s="2577"/>
      <c r="J35" s="434">
        <f>SUMIF(110:110,I35,111:111)-SUMIF(110:110,C35,111:111)+100</f>
        <v>100</v>
      </c>
      <c r="K35" s="611"/>
      <c r="L35" s="1142"/>
      <c r="M35" s="1133"/>
      <c r="N35" s="1133"/>
      <c r="O35" s="1141"/>
      <c r="P35" s="3305"/>
      <c r="Q35" s="1812" t="str">
        <f t="shared" ref="Q35:Q40" si="14">B35</f>
        <v>宗地形状</v>
      </c>
      <c r="R35" s="773" t="s">
        <v>17</v>
      </c>
      <c r="S35" s="774">
        <f t="shared" si="10"/>
        <v>100</v>
      </c>
      <c r="T35" s="773" t="s">
        <v>17</v>
      </c>
      <c r="U35" s="774">
        <f t="shared" si="11"/>
        <v>100</v>
      </c>
      <c r="V35" s="773" t="s">
        <v>17</v>
      </c>
      <c r="W35" s="774">
        <f t="shared" si="12"/>
        <v>100</v>
      </c>
      <c r="X35" s="1815"/>
      <c r="Y35" s="3305"/>
      <c r="Z35" s="1816" t="str">
        <f t="shared" si="13"/>
        <v>宗地形状</v>
      </c>
      <c r="AA35" s="1813">
        <f t="shared" si="3"/>
        <v>1</v>
      </c>
      <c r="AB35" s="1813">
        <f t="shared" si="4"/>
        <v>1</v>
      </c>
      <c r="AC35" s="1813">
        <f t="shared" si="5"/>
        <v>1</v>
      </c>
    </row>
    <row r="36" spans="1:29" s="117" customFormat="1" ht="15">
      <c r="A36" s="472"/>
      <c r="B36" s="421" t="s">
        <v>2725</v>
      </c>
      <c r="C36" s="2666"/>
      <c r="D36" s="135">
        <v>100</v>
      </c>
      <c r="E36" s="2666"/>
      <c r="F36" s="434">
        <f>SUMIF(112:112,E36,113:113)-SUMIF(112:112,C36,113:113)+100</f>
        <v>100</v>
      </c>
      <c r="G36" s="2666"/>
      <c r="H36" s="434">
        <f>SUMIF(112:112,G36,113:113)-SUMIF(112:112,C36,113:113)+100</f>
        <v>100</v>
      </c>
      <c r="I36" s="2666"/>
      <c r="J36" s="434">
        <f>SUMIF(112:112,I36,113:113)-SUMIF(112:112,C36,113:113)+100</f>
        <v>100</v>
      </c>
      <c r="K36" s="611"/>
      <c r="L36" s="1134"/>
      <c r="M36" s="1135"/>
      <c r="N36" s="1135"/>
      <c r="O36" s="1136"/>
      <c r="P36" s="3305"/>
      <c r="Q36" s="1812" t="str">
        <f t="shared" si="14"/>
        <v>宗地开发程度</v>
      </c>
      <c r="R36" s="769" t="s">
        <v>17</v>
      </c>
      <c r="S36" s="770">
        <f t="shared" si="10"/>
        <v>100</v>
      </c>
      <c r="T36" s="769" t="s">
        <v>17</v>
      </c>
      <c r="U36" s="770">
        <f t="shared" si="11"/>
        <v>100</v>
      </c>
      <c r="V36" s="769" t="s">
        <v>17</v>
      </c>
      <c r="W36" s="770">
        <f t="shared" si="12"/>
        <v>100</v>
      </c>
      <c r="X36" s="771"/>
      <c r="Y36" s="3305"/>
      <c r="Z36" s="55" t="str">
        <f t="shared" si="13"/>
        <v>宗地开发程度</v>
      </c>
      <c r="AA36" s="772">
        <f t="shared" si="3"/>
        <v>1</v>
      </c>
      <c r="AB36" s="772">
        <f t="shared" si="4"/>
        <v>1</v>
      </c>
      <c r="AC36" s="772">
        <f t="shared" si="5"/>
        <v>1</v>
      </c>
    </row>
    <row r="37" spans="1:29" ht="15">
      <c r="A37" s="471"/>
      <c r="B37" s="421" t="s">
        <v>2726</v>
      </c>
      <c r="C37" s="2577"/>
      <c r="D37" s="434">
        <v>100</v>
      </c>
      <c r="E37" s="2577"/>
      <c r="F37" s="434">
        <f>SUMIF(114:114,E37,115:115)-SUMIF(114:114,C37,115:115)+100</f>
        <v>100</v>
      </c>
      <c r="G37" s="2577"/>
      <c r="H37" s="434">
        <f>SUMIF(114:114,G37,115:115)-SUMIF(114:114,C37,115:115)+100</f>
        <v>100</v>
      </c>
      <c r="I37" s="2577"/>
      <c r="J37" s="434">
        <f>SUMIF(114:114,I37,115:115)-SUMIF(114:114,C37,115:115)+100</f>
        <v>100</v>
      </c>
      <c r="K37" s="611"/>
      <c r="L37" s="1142"/>
      <c r="M37" s="1133"/>
      <c r="N37" s="1133"/>
      <c r="O37" s="1141"/>
      <c r="P37" s="3305" t="s">
        <v>2536</v>
      </c>
      <c r="Q37" s="1812" t="str">
        <f t="shared" si="14"/>
        <v>工程地质条件</v>
      </c>
      <c r="R37" s="773" t="s">
        <v>17</v>
      </c>
      <c r="S37" s="774">
        <f t="shared" si="10"/>
        <v>100</v>
      </c>
      <c r="T37" s="773" t="s">
        <v>17</v>
      </c>
      <c r="U37" s="774">
        <f t="shared" si="11"/>
        <v>100</v>
      </c>
      <c r="V37" s="773" t="s">
        <v>17</v>
      </c>
      <c r="W37" s="774">
        <f t="shared" si="12"/>
        <v>100</v>
      </c>
      <c r="X37" s="1815"/>
      <c r="Y37" s="3305" t="s">
        <v>2536</v>
      </c>
      <c r="Z37" s="1816" t="str">
        <f t="shared" si="13"/>
        <v>工程地质条件</v>
      </c>
      <c r="AA37" s="1813">
        <f t="shared" si="3"/>
        <v>1</v>
      </c>
      <c r="AB37" s="1813">
        <f t="shared" si="4"/>
        <v>1</v>
      </c>
      <c r="AC37" s="1813">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305"/>
      <c r="Q38" s="1812">
        <f t="shared" si="14"/>
        <v>111</v>
      </c>
      <c r="R38" s="773" t="s">
        <v>17</v>
      </c>
      <c r="S38" s="774">
        <f t="shared" si="10"/>
        <v>100</v>
      </c>
      <c r="T38" s="773" t="s">
        <v>17</v>
      </c>
      <c r="U38" s="774">
        <f t="shared" si="11"/>
        <v>100</v>
      </c>
      <c r="V38" s="773" t="s">
        <v>17</v>
      </c>
      <c r="W38" s="774">
        <f t="shared" si="12"/>
        <v>100</v>
      </c>
      <c r="X38" s="1815"/>
      <c r="Y38" s="3305"/>
      <c r="Z38" s="1816">
        <f t="shared" si="13"/>
        <v>111</v>
      </c>
      <c r="AA38" s="1813">
        <f t="shared" si="3"/>
        <v>1</v>
      </c>
      <c r="AB38" s="1813">
        <f t="shared" si="4"/>
        <v>1</v>
      </c>
      <c r="AC38" s="1813">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305"/>
      <c r="Q39" s="1812">
        <f t="shared" si="14"/>
        <v>111</v>
      </c>
      <c r="R39" s="773" t="s">
        <v>17</v>
      </c>
      <c r="S39" s="774">
        <f t="shared" si="10"/>
        <v>100</v>
      </c>
      <c r="T39" s="773" t="s">
        <v>17</v>
      </c>
      <c r="U39" s="774">
        <f t="shared" si="11"/>
        <v>100</v>
      </c>
      <c r="V39" s="773" t="s">
        <v>17</v>
      </c>
      <c r="W39" s="774">
        <f t="shared" si="12"/>
        <v>100</v>
      </c>
      <c r="X39" s="1815"/>
      <c r="Y39" s="3305"/>
      <c r="Z39" s="1816">
        <f t="shared" si="13"/>
        <v>111</v>
      </c>
      <c r="AA39" s="1813">
        <f t="shared" si="3"/>
        <v>1</v>
      </c>
      <c r="AB39" s="1813">
        <f t="shared" si="4"/>
        <v>1</v>
      </c>
      <c r="AC39" s="1813">
        <f t="shared" si="5"/>
        <v>1</v>
      </c>
    </row>
    <row r="40" spans="1:29" s="470" customFormat="1" ht="15.75" thickBot="1">
      <c r="A40" s="467"/>
      <c r="B40" s="1389">
        <v>111</v>
      </c>
      <c r="C40" s="2667"/>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305"/>
      <c r="Q40" s="1812">
        <f t="shared" si="14"/>
        <v>111</v>
      </c>
      <c r="R40" s="776" t="s">
        <v>17</v>
      </c>
      <c r="S40" s="777">
        <f t="shared" si="10"/>
        <v>100</v>
      </c>
      <c r="T40" s="776" t="s">
        <v>17</v>
      </c>
      <c r="U40" s="777">
        <f t="shared" si="11"/>
        <v>100</v>
      </c>
      <c r="V40" s="776" t="s">
        <v>17</v>
      </c>
      <c r="W40" s="777">
        <f t="shared" si="12"/>
        <v>100</v>
      </c>
      <c r="X40" s="778"/>
      <c r="Y40" s="3305"/>
      <c r="Z40" s="779">
        <f t="shared" si="13"/>
        <v>111</v>
      </c>
      <c r="AA40" s="1813">
        <f t="shared" si="3"/>
        <v>1</v>
      </c>
      <c r="AB40" s="1813">
        <f t="shared" si="4"/>
        <v>1</v>
      </c>
      <c r="AC40" s="1813">
        <f t="shared" si="5"/>
        <v>1</v>
      </c>
    </row>
    <row r="41" spans="1:29" ht="15">
      <c r="A41" s="478" t="s">
        <v>2691</v>
      </c>
      <c r="B41" s="2668" t="s">
        <v>2771</v>
      </c>
      <c r="C41" s="681" t="s">
        <v>1</v>
      </c>
      <c r="D41" s="480"/>
      <c r="E41" s="481"/>
      <c r="F41" s="482"/>
      <c r="G41" s="483"/>
      <c r="H41" s="484"/>
      <c r="I41" s="481"/>
      <c r="J41" s="484"/>
      <c r="K41" s="782"/>
      <c r="L41" s="1145"/>
      <c r="M41" s="1133"/>
      <c r="N41" s="1133"/>
      <c r="O41" s="1146"/>
      <c r="P41" s="3293" t="str">
        <f>A41</f>
        <v>成交单价</v>
      </c>
      <c r="Q41" s="3293"/>
      <c r="R41" s="3327">
        <f>E41</f>
        <v>0</v>
      </c>
      <c r="S41" s="3327"/>
      <c r="T41" s="3327">
        <f>G41</f>
        <v>0</v>
      </c>
      <c r="U41" s="3327"/>
      <c r="V41" s="3327">
        <f>I41</f>
        <v>0</v>
      </c>
      <c r="W41" s="3327"/>
      <c r="X41" s="758"/>
      <c r="Y41" s="780"/>
      <c r="Z41" s="758"/>
      <c r="AA41" s="758"/>
      <c r="AB41" s="758"/>
      <c r="AC41" s="758"/>
    </row>
    <row r="42" spans="1:29" ht="15.75" thickBot="1">
      <c r="A42" s="485" t="s">
        <v>2640</v>
      </c>
      <c r="B42" s="682"/>
      <c r="C42" s="489" t="e">
        <f>R43</f>
        <v>#DIV/0!</v>
      </c>
      <c r="D42" s="488"/>
      <c r="E42" s="489" t="e">
        <f>R42</f>
        <v>#DIV/0!</v>
      </c>
      <c r="F42" s="490"/>
      <c r="G42" s="487" t="e">
        <f>T42</f>
        <v>#DIV/0!</v>
      </c>
      <c r="H42" s="488"/>
      <c r="I42" s="489" t="e">
        <f>V42</f>
        <v>#DIV/0!</v>
      </c>
      <c r="J42" s="488"/>
      <c r="K42" s="783"/>
      <c r="L42" s="1145"/>
      <c r="M42" s="1133"/>
      <c r="N42" s="1133"/>
      <c r="O42" s="1146"/>
      <c r="P42" s="3293" t="str">
        <f>A42</f>
        <v>比较价值（元/平方米）</v>
      </c>
      <c r="Q42" s="3293"/>
      <c r="R42" s="3412" t="e">
        <f>ROUND(PRODUCT(R41,AA7:AA40),0)</f>
        <v>#DIV/0!</v>
      </c>
      <c r="S42" s="3412"/>
      <c r="T42" s="3412" t="e">
        <f>ROUND(PRODUCT(T41,AB7:AB40),0)</f>
        <v>#DIV/0!</v>
      </c>
      <c r="U42" s="3412"/>
      <c r="V42" s="3412" t="e">
        <f>ROUND(PRODUCT(V41,AC7:AC40),0)</f>
        <v>#DIV/0!</v>
      </c>
      <c r="W42" s="3412"/>
      <c r="X42" s="758"/>
      <c r="Y42" s="758"/>
      <c r="Z42" s="758"/>
      <c r="AA42" s="758"/>
      <c r="AB42" s="758"/>
      <c r="AC42" s="758"/>
    </row>
    <row r="43" spans="1:29" ht="15.75" thickBot="1">
      <c r="A43" s="491" t="s">
        <v>2641</v>
      </c>
      <c r="B43" s="492"/>
      <c r="C43" s="493" t="e">
        <f>R43</f>
        <v>#DIV/0!</v>
      </c>
      <c r="D43" s="493"/>
      <c r="E43" s="493"/>
      <c r="F43" s="493"/>
      <c r="G43" s="493"/>
      <c r="H43" s="493"/>
      <c r="I43" s="493"/>
      <c r="J43" s="493"/>
      <c r="K43" s="784"/>
      <c r="L43" s="1145"/>
      <c r="M43" s="1133"/>
      <c r="N43" s="1133"/>
      <c r="O43" s="1146"/>
      <c r="P43" s="3351" t="str">
        <f>A43</f>
        <v>估价对象XX用房的比较价值（楼面单价，元/平方米）</v>
      </c>
      <c r="Q43" s="3352"/>
      <c r="R43" s="3413" t="e">
        <f>ROUND(AVERAGE(R42:V42),0)</f>
        <v>#DIV/0!</v>
      </c>
      <c r="S43" s="3413"/>
      <c r="T43" s="3413"/>
      <c r="U43" s="3413"/>
      <c r="V43" s="3413"/>
      <c r="W43" s="3413"/>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2642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2643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2644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2729</v>
      </c>
      <c r="B50" s="684" t="s">
        <v>2730</v>
      </c>
      <c r="C50" s="2669" t="s">
        <v>2731</v>
      </c>
      <c r="D50" s="2670" t="s">
        <v>2732</v>
      </c>
      <c r="E50" s="685" t="s">
        <v>2733</v>
      </c>
      <c r="F50" s="686" t="s">
        <v>2734</v>
      </c>
      <c r="G50" s="3310" t="s">
        <v>2735</v>
      </c>
      <c r="H50" s="3414"/>
      <c r="I50" s="1816" t="s">
        <v>2772</v>
      </c>
      <c r="J50" s="1816">
        <f>项目基本情况!F35</f>
        <v>0</v>
      </c>
      <c r="K50" s="2672" t="s">
        <v>2737</v>
      </c>
      <c r="L50" s="1108"/>
      <c r="M50" s="1146"/>
      <c r="N50" s="1146"/>
      <c r="O50" s="1146"/>
    </row>
    <row r="51" spans="1:17" s="691" customFormat="1">
      <c r="A51" s="687" t="s">
        <v>2738</v>
      </c>
      <c r="B51" s="688" t="e">
        <f>C43</f>
        <v>#DIV/0!</v>
      </c>
      <c r="C51" s="689">
        <v>1</v>
      </c>
      <c r="D51" s="1165">
        <v>1</v>
      </c>
      <c r="E51" s="689">
        <f>'数据-汇总表'!E8+'数据-汇总表'!E9</f>
        <v>111832.09</v>
      </c>
      <c r="F51" s="690" t="e">
        <f t="shared" ref="F51:F60" si="15">ROUND(B51*E51/10000,0)</f>
        <v>#DIV/0!</v>
      </c>
      <c r="G51" s="3292"/>
      <c r="H51" s="3293"/>
      <c r="I51" s="944">
        <v>1</v>
      </c>
      <c r="J51" s="944">
        <v>1</v>
      </c>
      <c r="K51" s="1147"/>
      <c r="L51" s="943"/>
      <c r="M51" s="943"/>
      <c r="N51" s="943"/>
      <c r="O51" s="943"/>
    </row>
    <row r="52" spans="1:17" s="691" customFormat="1">
      <c r="A52" s="692" t="s">
        <v>2739</v>
      </c>
      <c r="B52" s="261" t="e">
        <f>ROUND($C$43*C52*D52,0)</f>
        <v>#DIV/0!</v>
      </c>
      <c r="C52" s="199">
        <f t="shared" ref="C52:C60" si="16">IF($C$50="北京市系数",I52,J52)</f>
        <v>0.8</v>
      </c>
      <c r="D52" s="1166">
        <v>0.25</v>
      </c>
      <c r="E52" s="693"/>
      <c r="F52" s="690" t="e">
        <f t="shared" si="15"/>
        <v>#DIV/0!</v>
      </c>
      <c r="G52" s="3415" t="s">
        <v>2740</v>
      </c>
      <c r="H52" s="1106" t="str">
        <f>项目基本情况!B37</f>
        <v>一级</v>
      </c>
      <c r="I52" s="944">
        <f>SUMIF(修正!A45:A56,H52,修正!B45:B56)</f>
        <v>0.8</v>
      </c>
      <c r="J52" s="945"/>
      <c r="K52" s="1146"/>
      <c r="L52" s="943"/>
      <c r="M52" s="943"/>
      <c r="N52" s="943"/>
      <c r="O52" s="943"/>
    </row>
    <row r="53" spans="1:17" s="691" customFormat="1">
      <c r="A53" s="692" t="s">
        <v>2741</v>
      </c>
      <c r="B53" s="261" t="e">
        <f t="shared" ref="B53:B60" si="17">ROUND($C$43*C53*D53,0)</f>
        <v>#DIV/0!</v>
      </c>
      <c r="C53" s="199">
        <f t="shared" si="16"/>
        <v>0.5</v>
      </c>
      <c r="D53" s="1166">
        <v>0.25</v>
      </c>
      <c r="E53" s="693"/>
      <c r="F53" s="690" t="e">
        <f t="shared" si="15"/>
        <v>#DIV/0!</v>
      </c>
      <c r="G53" s="3415"/>
      <c r="H53" s="1106" t="str">
        <f>项目基本情况!B37</f>
        <v>一级</v>
      </c>
      <c r="I53" s="944">
        <f>SUMIF(修正!A45:A56,H53,修正!C45:C56)</f>
        <v>0.5</v>
      </c>
      <c r="J53" s="945"/>
      <c r="K53" s="1147"/>
      <c r="L53" s="943"/>
      <c r="M53" s="943"/>
      <c r="N53" s="943"/>
      <c r="O53" s="943"/>
    </row>
    <row r="54" spans="1:17" s="691" customFormat="1">
      <c r="A54" s="692" t="s">
        <v>2742</v>
      </c>
      <c r="B54" s="261" t="e">
        <f t="shared" si="17"/>
        <v>#DIV/0!</v>
      </c>
      <c r="C54" s="199">
        <f t="shared" si="16"/>
        <v>0.36</v>
      </c>
      <c r="D54" s="1166">
        <v>0.25</v>
      </c>
      <c r="E54" s="693"/>
      <c r="F54" s="690" t="e">
        <f t="shared" si="15"/>
        <v>#DIV/0!</v>
      </c>
      <c r="G54" s="3415"/>
      <c r="H54" s="1106" t="str">
        <f>项目基本情况!B37</f>
        <v>一级</v>
      </c>
      <c r="I54" s="944">
        <f>SUMIF(修正!A45:A56,H54,修正!D45:D56)</f>
        <v>0.36</v>
      </c>
      <c r="J54" s="945"/>
      <c r="K54" s="1146"/>
      <c r="L54" s="943"/>
      <c r="M54" s="943"/>
      <c r="N54" s="943"/>
      <c r="O54" s="943"/>
    </row>
    <row r="55" spans="1:17" s="691" customFormat="1">
      <c r="A55" s="692" t="s">
        <v>2743</v>
      </c>
      <c r="B55" s="261" t="e">
        <f t="shared" si="17"/>
        <v>#DIV/0!</v>
      </c>
      <c r="C55" s="199">
        <f t="shared" si="16"/>
        <v>0.3</v>
      </c>
      <c r="D55" s="1166">
        <v>0.25</v>
      </c>
      <c r="E55" s="693"/>
      <c r="F55" s="690" t="e">
        <f t="shared" si="15"/>
        <v>#DIV/0!</v>
      </c>
      <c r="G55" s="3415"/>
      <c r="H55" s="1106" t="str">
        <f>项目基本情况!B37</f>
        <v>一级</v>
      </c>
      <c r="I55" s="944">
        <f>SUMIF(修正!A45:A56,H55,修正!E45:E56)</f>
        <v>0.3</v>
      </c>
      <c r="J55" s="945"/>
      <c r="K55" s="1147"/>
      <c r="L55" s="943"/>
      <c r="M55" s="943"/>
      <c r="N55" s="943"/>
      <c r="O55" s="943"/>
    </row>
    <row r="56" spans="1:17" s="691" customFormat="1">
      <c r="A56" s="692" t="s">
        <v>2744</v>
      </c>
      <c r="B56" s="261" t="e">
        <f t="shared" si="17"/>
        <v>#DIV/0!</v>
      </c>
      <c r="C56" s="199">
        <f t="shared" si="16"/>
        <v>0.3</v>
      </c>
      <c r="D56" s="1166">
        <v>0.25</v>
      </c>
      <c r="E56" s="260">
        <f>'数据-汇总表'!E11</f>
        <v>0</v>
      </c>
      <c r="F56" s="690" t="e">
        <f t="shared" si="15"/>
        <v>#DIV/0!</v>
      </c>
      <c r="G56" s="2673" t="s">
        <v>2745</v>
      </c>
      <c r="H56" s="1106" t="str">
        <f>项目基本情况!C37</f>
        <v>一级</v>
      </c>
      <c r="I56" s="944">
        <f>SUMIF(修正!A45:A56,H56,修正!F45:F56)</f>
        <v>0.3</v>
      </c>
      <c r="J56" s="945"/>
      <c r="K56" s="1146"/>
      <c r="L56" s="943"/>
      <c r="M56" s="943"/>
      <c r="N56" s="943"/>
      <c r="O56" s="943"/>
    </row>
    <row r="57" spans="1:17" s="691" customFormat="1">
      <c r="A57" s="692" t="s">
        <v>2746</v>
      </c>
      <c r="B57" s="261" t="e">
        <f t="shared" si="17"/>
        <v>#DIV/0!</v>
      </c>
      <c r="C57" s="199">
        <f t="shared" si="16"/>
        <v>0.3</v>
      </c>
      <c r="D57" s="1166">
        <v>0.25</v>
      </c>
      <c r="E57" s="260">
        <f>'数据-汇总表'!E12</f>
        <v>0</v>
      </c>
      <c r="F57" s="690" t="e">
        <f t="shared" si="15"/>
        <v>#DIV/0!</v>
      </c>
      <c r="G57" s="1111" t="s">
        <v>2747</v>
      </c>
      <c r="H57" s="1106" t="str">
        <f>IF(G57="商业",项目基本情况!B37,IF(G57="办公",项目基本情况!C37,IF(G57="住宅",项目基本情况!D37,项目基本情况!E37)))</f>
        <v>一级</v>
      </c>
      <c r="I57" s="944">
        <f>SUMIF(修正!A45:A56,H57,修正!G45:G56)</f>
        <v>0.3</v>
      </c>
      <c r="J57" s="945"/>
      <c r="K57" s="1147"/>
      <c r="L57" s="943"/>
      <c r="M57" s="943"/>
      <c r="N57" s="943"/>
      <c r="O57" s="943"/>
    </row>
    <row r="58" spans="1:17" s="691" customFormat="1">
      <c r="A58" s="692" t="s">
        <v>2748</v>
      </c>
      <c r="B58" s="261" t="e">
        <f t="shared" si="17"/>
        <v>#DIV/0!</v>
      </c>
      <c r="C58" s="199">
        <f t="shared" si="16"/>
        <v>0</v>
      </c>
      <c r="D58" s="1166">
        <v>0.25</v>
      </c>
      <c r="E58" s="260">
        <f>'数据-汇总表'!E13</f>
        <v>23320.11</v>
      </c>
      <c r="F58" s="690" t="e">
        <f t="shared" si="15"/>
        <v>#DIV/0!</v>
      </c>
      <c r="G58" s="1111" t="s">
        <v>2749</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2750</v>
      </c>
      <c r="B59" s="261" t="e">
        <f t="shared" si="17"/>
        <v>#DIV/0!</v>
      </c>
      <c r="C59" s="199">
        <f t="shared" si="16"/>
        <v>0.25</v>
      </c>
      <c r="D59" s="1166">
        <v>0.25</v>
      </c>
      <c r="E59" s="260">
        <f>'数据-汇总表'!E14</f>
        <v>0</v>
      </c>
      <c r="F59" s="690" t="e">
        <f t="shared" si="15"/>
        <v>#DIV/0!</v>
      </c>
      <c r="G59" s="2673" t="s">
        <v>2740</v>
      </c>
      <c r="H59" s="1106" t="str">
        <f>项目基本情况!B37</f>
        <v>一级</v>
      </c>
      <c r="I59" s="944">
        <f>SUMIF(修正!A45:A56,H59,修正!H45:H56)</f>
        <v>0.25</v>
      </c>
      <c r="J59" s="945"/>
      <c r="K59" s="1147"/>
      <c r="L59" s="943"/>
      <c r="M59" s="943"/>
      <c r="N59" s="943"/>
      <c r="O59" s="943"/>
    </row>
    <row r="60" spans="1:17" s="691" customFormat="1" ht="15" thickBot="1">
      <c r="A60" s="692" t="s">
        <v>2751</v>
      </c>
      <c r="B60" s="261" t="e">
        <f t="shared" si="17"/>
        <v>#DIV/0!</v>
      </c>
      <c r="C60" s="199">
        <f t="shared" si="16"/>
        <v>0.25</v>
      </c>
      <c r="D60" s="1166">
        <v>0.25</v>
      </c>
      <c r="E60" s="260">
        <f>'数据-汇总表'!E15</f>
        <v>0</v>
      </c>
      <c r="F60" s="690" t="e">
        <f t="shared" si="15"/>
        <v>#DIV/0!</v>
      </c>
      <c r="G60" s="2674" t="s">
        <v>2745</v>
      </c>
      <c r="H60" s="1116" t="str">
        <f>项目基本情况!C37</f>
        <v>一级</v>
      </c>
      <c r="I60" s="944">
        <f>SUMIF(修正!A45:A56,H60,修正!H45:H56)</f>
        <v>0.25</v>
      </c>
      <c r="J60" s="945"/>
      <c r="K60" s="1146"/>
      <c r="L60" s="943"/>
      <c r="M60" s="943"/>
      <c r="N60" s="943"/>
      <c r="O60" s="943"/>
    </row>
    <row r="61" spans="1:17" s="691" customFormat="1" ht="15" thickBot="1">
      <c r="A61" s="694" t="s">
        <v>2752</v>
      </c>
      <c r="B61" s="695" t="s">
        <v>28</v>
      </c>
      <c r="C61" s="695" t="s">
        <v>29</v>
      </c>
      <c r="D61" s="695" t="s">
        <v>1029</v>
      </c>
      <c r="E61" s="695">
        <f>IF(B41="楼面地价",SUM(E51:E60),'数据-汇总表'!D3)</f>
        <v>9387.8799999999992</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2018-10-1</v>
      </c>
      <c r="D63" s="760">
        <f>EDATE(C63,-3)</f>
        <v>43282</v>
      </c>
      <c r="E63" s="760">
        <f>EDATE(D63,-3)</f>
        <v>43191</v>
      </c>
      <c r="F63" s="760">
        <f t="shared" ref="F63:O63" si="18">EDATE(E63,-3)</f>
        <v>43101</v>
      </c>
      <c r="G63" s="760">
        <f t="shared" si="18"/>
        <v>43009</v>
      </c>
      <c r="H63" s="760">
        <f t="shared" si="18"/>
        <v>42917</v>
      </c>
      <c r="I63" s="760">
        <f t="shared" si="18"/>
        <v>42826</v>
      </c>
      <c r="J63" s="760">
        <f t="shared" si="18"/>
        <v>42736</v>
      </c>
      <c r="K63" s="760">
        <f t="shared" si="18"/>
        <v>42644</v>
      </c>
      <c r="L63" s="760">
        <f t="shared" si="18"/>
        <v>42552</v>
      </c>
      <c r="M63" s="760">
        <f t="shared" si="18"/>
        <v>42461</v>
      </c>
      <c r="N63" s="760">
        <f t="shared" si="18"/>
        <v>42370</v>
      </c>
      <c r="O63" s="760">
        <f t="shared" si="18"/>
        <v>42278</v>
      </c>
    </row>
    <row r="64" spans="1:17" ht="21.75" thickBot="1">
      <c r="A64" s="762" t="s">
        <v>2645</v>
      </c>
      <c r="B64" s="758"/>
      <c r="C64" s="763"/>
      <c r="D64" s="763"/>
      <c r="E64" s="763"/>
      <c r="F64" s="764"/>
      <c r="G64" s="764"/>
      <c r="H64" s="763"/>
      <c r="I64" s="763"/>
      <c r="J64" s="763"/>
      <c r="K64" s="765"/>
      <c r="L64" s="766"/>
      <c r="M64" s="763"/>
      <c r="N64" s="763"/>
      <c r="O64" s="1161"/>
      <c r="P64" s="502"/>
      <c r="Q64" s="503"/>
    </row>
    <row r="65" spans="1:17" s="507" customFormat="1" ht="15">
      <c r="A65" s="2675" t="s">
        <v>2753</v>
      </c>
      <c r="B65" s="1361"/>
      <c r="C65" s="1574" t="str">
        <f>YEAR(C63)&amp;"-"&amp;ROUNDUP(MONTH(C63)/3,0)</f>
        <v>2018-4</v>
      </c>
      <c r="D65" s="1574" t="str">
        <f t="shared" ref="D65:O65" si="19">YEAR(D63)&amp;"-"&amp;ROUNDUP(MONTH(D63)/3,0)</f>
        <v>2018-3</v>
      </c>
      <c r="E65" s="1574" t="str">
        <f t="shared" si="19"/>
        <v>2018-2</v>
      </c>
      <c r="F65" s="1574" t="str">
        <f t="shared" si="19"/>
        <v>2018-1</v>
      </c>
      <c r="G65" s="1574" t="str">
        <f t="shared" si="19"/>
        <v>2017-4</v>
      </c>
      <c r="H65" s="1574" t="str">
        <f t="shared" si="19"/>
        <v>2017-3</v>
      </c>
      <c r="I65" s="1574" t="str">
        <f t="shared" si="19"/>
        <v>2017-2</v>
      </c>
      <c r="J65" s="1574" t="str">
        <f t="shared" si="19"/>
        <v>2017-1</v>
      </c>
      <c r="K65" s="1574" t="str">
        <f t="shared" si="19"/>
        <v>2016-4</v>
      </c>
      <c r="L65" s="1574" t="str">
        <f t="shared" si="19"/>
        <v>2016-3</v>
      </c>
      <c r="M65" s="1574" t="str">
        <f t="shared" si="19"/>
        <v>2016-2</v>
      </c>
      <c r="N65" s="1574" t="str">
        <f t="shared" si="19"/>
        <v>2016-1</v>
      </c>
      <c r="O65" s="1574" t="str">
        <f t="shared" si="19"/>
        <v>2015-4</v>
      </c>
      <c r="P65" s="506"/>
    </row>
    <row r="66" spans="1:17" s="117" customFormat="1" ht="30.75" customHeight="1">
      <c r="A66" s="2680" t="s">
        <v>2773</v>
      </c>
      <c r="B66" s="331" t="str">
        <f>"北京市平均增长率"&amp;TEXT('基准地价修正（车库）'!P24,"0.00%")</f>
        <v>北京市平均增长率1.42%</v>
      </c>
      <c r="C66" s="602">
        <v>100</v>
      </c>
      <c r="D66" s="594"/>
      <c r="E66" s="594"/>
      <c r="F66" s="594"/>
      <c r="G66" s="594"/>
      <c r="H66" s="594"/>
      <c r="I66" s="594"/>
      <c r="J66" s="594"/>
      <c r="K66" s="594"/>
      <c r="L66" s="594"/>
      <c r="M66" s="1569"/>
      <c r="N66" s="1569"/>
      <c r="O66" s="1571"/>
      <c r="P66" s="503"/>
    </row>
    <row r="67" spans="1:17" s="117" customFormat="1" ht="15.75" thickBot="1">
      <c r="A67" s="514" t="s">
        <v>2556</v>
      </c>
      <c r="B67" s="515"/>
      <c r="C67" s="516"/>
      <c r="D67" s="517"/>
      <c r="E67" s="517"/>
      <c r="F67" s="517"/>
      <c r="G67" s="517"/>
      <c r="H67" s="517"/>
      <c r="I67" s="517"/>
      <c r="J67" s="517"/>
      <c r="K67" s="517"/>
      <c r="L67" s="517"/>
      <c r="M67" s="518"/>
      <c r="N67" s="518"/>
      <c r="O67" s="519"/>
      <c r="P67" s="503"/>
      <c r="Q67" s="503"/>
    </row>
    <row r="68" spans="1:17" s="117" customFormat="1" ht="15">
      <c r="A68" s="520" t="s">
        <v>2521</v>
      </c>
      <c r="B68" s="509"/>
      <c r="C68" s="521" t="s">
        <v>2623</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2559</v>
      </c>
      <c r="B70" s="527" t="s">
        <v>2525</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2528</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2529</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2530</v>
      </c>
      <c r="B83" s="527" t="s">
        <v>2676</v>
      </c>
      <c r="C83" s="572" t="s">
        <v>2568</v>
      </c>
      <c r="D83" s="572" t="s">
        <v>2569</v>
      </c>
      <c r="E83" s="572" t="s">
        <v>2570</v>
      </c>
      <c r="F83" s="572" t="s">
        <v>2571</v>
      </c>
      <c r="G83" s="572" t="s">
        <v>2572</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2573</v>
      </c>
      <c r="C85" s="577" t="s">
        <v>2568</v>
      </c>
      <c r="D85" s="577" t="s">
        <v>2569</v>
      </c>
      <c r="E85" s="577" t="s">
        <v>2570</v>
      </c>
      <c r="F85" s="577" t="s">
        <v>2571</v>
      </c>
      <c r="G85" s="577" t="s">
        <v>2572</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2756</v>
      </c>
      <c r="C87" s="572" t="s">
        <v>2568</v>
      </c>
      <c r="D87" s="572" t="s">
        <v>2569</v>
      </c>
      <c r="E87" s="572" t="s">
        <v>2570</v>
      </c>
      <c r="F87" s="572" t="s">
        <v>2571</v>
      </c>
      <c r="G87" s="572" t="s">
        <v>2572</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2757</v>
      </c>
      <c r="C89" s="572" t="s">
        <v>2568</v>
      </c>
      <c r="D89" s="572" t="s">
        <v>2569</v>
      </c>
      <c r="E89" s="572" t="s">
        <v>2570</v>
      </c>
      <c r="F89" s="572" t="s">
        <v>2571</v>
      </c>
      <c r="G89" s="572" t="s">
        <v>2572</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2625</v>
      </c>
      <c r="C91" s="572" t="s">
        <v>2568</v>
      </c>
      <c r="D91" s="572" t="s">
        <v>2569</v>
      </c>
      <c r="E91" s="572" t="s">
        <v>2570</v>
      </c>
      <c r="F91" s="572" t="s">
        <v>2571</v>
      </c>
      <c r="G91" s="572" t="s">
        <v>2572</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2774</v>
      </c>
      <c r="C93" s="659" t="s">
        <v>2646</v>
      </c>
      <c r="D93" s="659" t="s">
        <v>2647</v>
      </c>
      <c r="E93" s="659" t="s">
        <v>2648</v>
      </c>
      <c r="F93" s="659" t="s">
        <v>2649</v>
      </c>
      <c r="G93" s="659" t="s">
        <v>2650</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2758</v>
      </c>
      <c r="D95" s="538" t="s">
        <v>2759</v>
      </c>
      <c r="E95" s="538" t="s">
        <v>2760</v>
      </c>
      <c r="F95" s="538" t="s">
        <v>2761</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2662</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2721</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2534</v>
      </c>
      <c r="B107" s="527" t="s">
        <v>2762</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2763</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2765</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2766</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416" t="s">
        <v>183</v>
      </c>
      <c r="B18" s="881" t="s">
        <v>560</v>
      </c>
      <c r="C18" s="882" t="s">
        <v>561</v>
      </c>
      <c r="D18" s="883"/>
      <c r="E18" s="881">
        <v>1</v>
      </c>
      <c r="F18" s="884" t="s">
        <v>562</v>
      </c>
      <c r="G18" s="885"/>
      <c r="H18" s="877"/>
      <c r="I18" s="877"/>
    </row>
    <row r="19" spans="1:9" s="886" customFormat="1" ht="19.5" customHeight="1">
      <c r="A19" s="3416"/>
      <c r="B19" s="3416" t="s">
        <v>563</v>
      </c>
      <c r="C19" s="882" t="s">
        <v>564</v>
      </c>
      <c r="D19" s="883"/>
      <c r="E19" s="881">
        <v>0.9</v>
      </c>
      <c r="F19" s="884" t="s">
        <v>565</v>
      </c>
      <c r="G19" s="885"/>
      <c r="H19" s="877"/>
      <c r="I19" s="877"/>
    </row>
    <row r="20" spans="1:9" s="886" customFormat="1" ht="19.5" customHeight="1">
      <c r="A20" s="3416"/>
      <c r="B20" s="3416"/>
      <c r="C20" s="882" t="s">
        <v>566</v>
      </c>
      <c r="D20" s="883"/>
      <c r="E20" s="881">
        <v>1.1000000000000001</v>
      </c>
      <c r="F20" s="884" t="s">
        <v>567</v>
      </c>
      <c r="G20" s="885"/>
      <c r="H20" s="877"/>
      <c r="I20" s="877"/>
    </row>
    <row r="21" spans="1:9" s="886" customFormat="1" ht="19.5" customHeight="1">
      <c r="A21" s="3416"/>
      <c r="B21" s="3416"/>
      <c r="C21" s="882" t="s">
        <v>568</v>
      </c>
      <c r="D21" s="883"/>
      <c r="E21" s="881">
        <v>0.8</v>
      </c>
      <c r="F21" s="884" t="s">
        <v>569</v>
      </c>
      <c r="G21" s="885"/>
      <c r="H21" s="877"/>
      <c r="I21" s="877"/>
    </row>
    <row r="22" spans="1:9" s="886" customFormat="1" ht="19.5" customHeight="1">
      <c r="A22" s="3416"/>
      <c r="B22" s="3416"/>
      <c r="C22" s="882" t="s">
        <v>570</v>
      </c>
      <c r="D22" s="883"/>
      <c r="E22" s="881">
        <v>0.5</v>
      </c>
      <c r="F22" s="884"/>
      <c r="G22" s="885"/>
      <c r="H22" s="877"/>
      <c r="I22" s="877"/>
    </row>
    <row r="23" spans="1:9" s="886" customFormat="1" ht="19.5" customHeight="1">
      <c r="A23" s="3416" t="s">
        <v>184</v>
      </c>
      <c r="B23" s="881" t="s">
        <v>560</v>
      </c>
      <c r="C23" s="882" t="s">
        <v>571</v>
      </c>
      <c r="D23" s="883"/>
      <c r="E23" s="881">
        <v>1</v>
      </c>
      <c r="F23" s="884" t="s">
        <v>572</v>
      </c>
      <c r="G23" s="885"/>
      <c r="H23" s="877"/>
      <c r="I23" s="877"/>
    </row>
    <row r="24" spans="1:9" s="886" customFormat="1" ht="19.5" customHeight="1">
      <c r="A24" s="3416"/>
      <c r="B24" s="3416" t="s">
        <v>563</v>
      </c>
      <c r="C24" s="882" t="s">
        <v>573</v>
      </c>
      <c r="D24" s="883"/>
      <c r="E24" s="881">
        <v>0.5</v>
      </c>
      <c r="F24" s="884"/>
      <c r="G24" s="885"/>
      <c r="H24" s="877"/>
      <c r="I24" s="877"/>
    </row>
    <row r="25" spans="1:9" s="886" customFormat="1" ht="19.5" customHeight="1">
      <c r="A25" s="3416"/>
      <c r="B25" s="3416"/>
      <c r="C25" s="882" t="s">
        <v>574</v>
      </c>
      <c r="D25" s="883"/>
      <c r="E25" s="881">
        <v>1.1000000000000001</v>
      </c>
      <c r="F25" s="884"/>
      <c r="G25" s="885"/>
      <c r="H25" s="877"/>
      <c r="I25" s="877"/>
    </row>
    <row r="26" spans="1:9" s="886" customFormat="1" ht="19.5" customHeight="1">
      <c r="A26" s="3416"/>
      <c r="B26" s="3416"/>
      <c r="C26" s="882" t="s">
        <v>575</v>
      </c>
      <c r="D26" s="883"/>
      <c r="E26" s="881">
        <v>1.1000000000000001</v>
      </c>
      <c r="F26" s="884"/>
      <c r="G26" s="885"/>
      <c r="H26" s="877"/>
      <c r="I26" s="877"/>
    </row>
    <row r="27" spans="1:9" s="886" customFormat="1" ht="19.5" customHeight="1">
      <c r="A27" s="3416"/>
      <c r="B27" s="3416"/>
      <c r="C27" s="882" t="s">
        <v>576</v>
      </c>
      <c r="D27" s="883"/>
      <c r="E27" s="881">
        <v>0.9</v>
      </c>
      <c r="F27" s="884" t="s">
        <v>577</v>
      </c>
      <c r="G27" s="885"/>
      <c r="H27" s="877"/>
      <c r="I27" s="877"/>
    </row>
    <row r="28" spans="1:9" s="886" customFormat="1" ht="19.5" customHeight="1">
      <c r="A28" s="3416"/>
      <c r="B28" s="3416"/>
      <c r="C28" s="882" t="s">
        <v>578</v>
      </c>
      <c r="D28" s="883"/>
      <c r="E28" s="881">
        <v>0.9</v>
      </c>
      <c r="F28" s="884" t="s">
        <v>579</v>
      </c>
      <c r="G28" s="885"/>
      <c r="H28" s="877"/>
      <c r="I28" s="877"/>
    </row>
    <row r="29" spans="1:9" s="886" customFormat="1" ht="19.5" customHeight="1">
      <c r="A29" s="3416"/>
      <c r="B29" s="3416"/>
      <c r="C29" s="882" t="s">
        <v>580</v>
      </c>
      <c r="D29" s="883"/>
      <c r="E29" s="881">
        <v>0.9</v>
      </c>
      <c r="F29" s="884" t="s">
        <v>581</v>
      </c>
      <c r="G29" s="885"/>
      <c r="H29" s="877"/>
      <c r="I29" s="877"/>
    </row>
    <row r="30" spans="1:9" s="886" customFormat="1" ht="19.5" customHeight="1">
      <c r="A30" s="3416"/>
      <c r="B30" s="3416"/>
      <c r="C30" s="882" t="s">
        <v>582</v>
      </c>
      <c r="D30" s="883"/>
      <c r="E30" s="881">
        <v>0.9</v>
      </c>
      <c r="F30" s="884" t="s">
        <v>583</v>
      </c>
      <c r="G30" s="885"/>
      <c r="H30" s="877"/>
      <c r="I30" s="877"/>
    </row>
    <row r="31" spans="1:9" s="886" customFormat="1" ht="19.5" customHeight="1">
      <c r="A31" s="3416"/>
      <c r="B31" s="3416"/>
      <c r="C31" s="882" t="s">
        <v>584</v>
      </c>
      <c r="D31" s="883"/>
      <c r="E31" s="881">
        <v>0.8</v>
      </c>
      <c r="F31" s="884" t="s">
        <v>585</v>
      </c>
      <c r="G31" s="885"/>
      <c r="H31" s="877"/>
      <c r="I31" s="877"/>
    </row>
    <row r="32" spans="1:9" s="886" customFormat="1" ht="19.5" customHeight="1">
      <c r="A32" s="3416"/>
      <c r="B32" s="3416"/>
      <c r="C32" s="882" t="s">
        <v>586</v>
      </c>
      <c r="D32" s="883"/>
      <c r="E32" s="881">
        <v>0.8</v>
      </c>
      <c r="F32" s="884" t="s">
        <v>587</v>
      </c>
      <c r="G32" s="885"/>
      <c r="H32" s="877"/>
      <c r="I32" s="877"/>
    </row>
    <row r="33" spans="1:9" s="886" customFormat="1" ht="19.5" customHeight="1">
      <c r="A33" s="3416" t="s">
        <v>185</v>
      </c>
      <c r="B33" s="881" t="s">
        <v>560</v>
      </c>
      <c r="C33" s="882" t="s">
        <v>588</v>
      </c>
      <c r="D33" s="883"/>
      <c r="E33" s="881">
        <v>1</v>
      </c>
      <c r="F33" s="884" t="s">
        <v>589</v>
      </c>
      <c r="G33" s="885"/>
      <c r="H33" s="877"/>
      <c r="I33" s="877"/>
    </row>
    <row r="34" spans="1:9" s="886" customFormat="1" ht="19.5" customHeight="1">
      <c r="A34" s="3416"/>
      <c r="B34" s="881" t="s">
        <v>563</v>
      </c>
      <c r="C34" s="882" t="s">
        <v>590</v>
      </c>
      <c r="D34" s="883"/>
      <c r="E34" s="881">
        <v>1.5</v>
      </c>
      <c r="F34" s="884" t="s">
        <v>591</v>
      </c>
      <c r="G34" s="885"/>
      <c r="H34" s="877"/>
      <c r="I34" s="877"/>
    </row>
    <row r="35" spans="1:9" s="886" customFormat="1" ht="19.5" customHeight="1">
      <c r="A35" s="3416" t="s">
        <v>186</v>
      </c>
      <c r="B35" s="881" t="s">
        <v>560</v>
      </c>
      <c r="C35" s="882" t="s">
        <v>592</v>
      </c>
      <c r="D35" s="883"/>
      <c r="E35" s="881">
        <v>1</v>
      </c>
      <c r="F35" s="884" t="s">
        <v>593</v>
      </c>
      <c r="G35" s="885"/>
      <c r="H35" s="877"/>
      <c r="I35" s="877"/>
    </row>
    <row r="36" spans="1:9" s="886" customFormat="1" ht="19.5" customHeight="1">
      <c r="A36" s="3416"/>
      <c r="B36" s="3416" t="s">
        <v>563</v>
      </c>
      <c r="C36" s="882" t="s">
        <v>594</v>
      </c>
      <c r="D36" s="883"/>
      <c r="E36" s="881">
        <v>1</v>
      </c>
      <c r="F36" s="884" t="s">
        <v>595</v>
      </c>
      <c r="G36" s="885"/>
      <c r="H36" s="877"/>
      <c r="I36" s="877"/>
    </row>
    <row r="37" spans="1:9" s="886" customFormat="1" ht="19.5" customHeight="1">
      <c r="A37" s="3416"/>
      <c r="B37" s="3416"/>
      <c r="C37" s="882" t="s">
        <v>596</v>
      </c>
      <c r="D37" s="883"/>
      <c r="E37" s="881">
        <v>1.5</v>
      </c>
      <c r="F37" s="884" t="s">
        <v>597</v>
      </c>
      <c r="G37" s="885"/>
      <c r="H37" s="877"/>
      <c r="I37" s="877"/>
    </row>
    <row r="38" spans="1:9" s="886" customFormat="1" ht="19.5" customHeight="1">
      <c r="A38" s="3416"/>
      <c r="B38" s="3416"/>
      <c r="C38" s="882" t="s">
        <v>598</v>
      </c>
      <c r="D38" s="883"/>
      <c r="E38" s="881">
        <v>1</v>
      </c>
      <c r="F38" s="884" t="s">
        <v>599</v>
      </c>
      <c r="G38" s="885"/>
      <c r="H38" s="877"/>
      <c r="I38" s="877"/>
    </row>
    <row r="39" spans="1:9" s="886" customFormat="1" ht="19.5" customHeight="1">
      <c r="A39" s="3416"/>
      <c r="B39" s="3416"/>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416" t="s">
        <v>614</v>
      </c>
      <c r="C61" s="817" t="s">
        <v>615</v>
      </c>
      <c r="D61" s="817" t="s">
        <v>616</v>
      </c>
      <c r="E61" s="894">
        <v>0.5</v>
      </c>
      <c r="F61" s="881">
        <v>80</v>
      </c>
    </row>
    <row r="62" spans="1:8" s="877" customFormat="1" ht="24">
      <c r="A62" s="881">
        <v>2</v>
      </c>
      <c r="B62" s="3416"/>
      <c r="C62" s="817" t="s">
        <v>617</v>
      </c>
      <c r="D62" s="817" t="s">
        <v>618</v>
      </c>
      <c r="E62" s="894">
        <v>0.5</v>
      </c>
      <c r="F62" s="881">
        <v>80</v>
      </c>
    </row>
    <row r="63" spans="1:8" s="877" customFormat="1" ht="36">
      <c r="A63" s="881">
        <v>3</v>
      </c>
      <c r="B63" s="3416"/>
      <c r="C63" s="817" t="s">
        <v>619</v>
      </c>
      <c r="D63" s="817" t="s">
        <v>620</v>
      </c>
      <c r="E63" s="894">
        <v>0.5</v>
      </c>
      <c r="F63" s="881">
        <v>80</v>
      </c>
    </row>
    <row r="64" spans="1:8" s="877" customFormat="1" ht="36">
      <c r="A64" s="881">
        <v>4</v>
      </c>
      <c r="B64" s="3416"/>
      <c r="C64" s="817" t="s">
        <v>621</v>
      </c>
      <c r="D64" s="817" t="s">
        <v>622</v>
      </c>
      <c r="E64" s="894">
        <v>0.4</v>
      </c>
      <c r="F64" s="881">
        <v>60</v>
      </c>
    </row>
    <row r="65" spans="1:6" s="877" customFormat="1" ht="36">
      <c r="A65" s="881">
        <v>5</v>
      </c>
      <c r="B65" s="3416"/>
      <c r="C65" s="817" t="s">
        <v>623</v>
      </c>
      <c r="D65" s="817" t="s">
        <v>624</v>
      </c>
      <c r="E65" s="894">
        <v>0.2</v>
      </c>
      <c r="F65" s="881">
        <v>30</v>
      </c>
    </row>
    <row r="66" spans="1:6" s="877" customFormat="1" ht="36">
      <c r="A66" s="881">
        <v>6</v>
      </c>
      <c r="B66" s="3416"/>
      <c r="C66" s="817" t="s">
        <v>625</v>
      </c>
      <c r="D66" s="817" t="s">
        <v>626</v>
      </c>
      <c r="E66" s="894">
        <v>0.3</v>
      </c>
      <c r="F66" s="881">
        <v>50</v>
      </c>
    </row>
    <row r="67" spans="1:6" s="877" customFormat="1" ht="36">
      <c r="A67" s="881">
        <v>7</v>
      </c>
      <c r="B67" s="3416"/>
      <c r="C67" s="817" t="s">
        <v>627</v>
      </c>
      <c r="D67" s="817" t="s">
        <v>628</v>
      </c>
      <c r="E67" s="894">
        <v>0.2</v>
      </c>
      <c r="F67" s="881">
        <v>30</v>
      </c>
    </row>
    <row r="68" spans="1:6" s="877" customFormat="1" ht="36">
      <c r="A68" s="881">
        <v>8</v>
      </c>
      <c r="B68" s="3416"/>
      <c r="C68" s="817" t="s">
        <v>629</v>
      </c>
      <c r="D68" s="817" t="s">
        <v>630</v>
      </c>
      <c r="E68" s="894">
        <v>0.2</v>
      </c>
      <c r="F68" s="881">
        <v>30</v>
      </c>
    </row>
    <row r="69" spans="1:6" s="877" customFormat="1" ht="36">
      <c r="A69" s="881">
        <v>9</v>
      </c>
      <c r="B69" s="3416"/>
      <c r="C69" s="817" t="s">
        <v>631</v>
      </c>
      <c r="D69" s="817" t="s">
        <v>632</v>
      </c>
      <c r="E69" s="894">
        <v>0.2</v>
      </c>
      <c r="F69" s="881">
        <v>30</v>
      </c>
    </row>
    <row r="70" spans="1:6" s="877" customFormat="1" ht="48">
      <c r="A70" s="881">
        <v>10</v>
      </c>
      <c r="B70" s="3416"/>
      <c r="C70" s="817" t="s">
        <v>633</v>
      </c>
      <c r="D70" s="817" t="s">
        <v>634</v>
      </c>
      <c r="E70" s="894">
        <v>0.2</v>
      </c>
      <c r="F70" s="881">
        <v>30</v>
      </c>
    </row>
    <row r="71" spans="1:6" s="877" customFormat="1" ht="48">
      <c r="A71" s="881">
        <v>11</v>
      </c>
      <c r="B71" s="3416"/>
      <c r="C71" s="817" t="s">
        <v>635</v>
      </c>
      <c r="D71" s="817" t="s">
        <v>636</v>
      </c>
      <c r="E71" s="894">
        <v>0.2</v>
      </c>
      <c r="F71" s="881">
        <v>30</v>
      </c>
    </row>
    <row r="72" spans="1:6" s="877" customFormat="1" ht="36">
      <c r="A72" s="881">
        <v>12</v>
      </c>
      <c r="B72" s="3416"/>
      <c r="C72" s="817" t="s">
        <v>637</v>
      </c>
      <c r="D72" s="817" t="s">
        <v>638</v>
      </c>
      <c r="E72" s="894">
        <v>0.5</v>
      </c>
      <c r="F72" s="881">
        <v>80</v>
      </c>
    </row>
    <row r="73" spans="1:6" s="877" customFormat="1" ht="24">
      <c r="A73" s="881">
        <v>13</v>
      </c>
      <c r="B73" s="3416"/>
      <c r="C73" s="817" t="s">
        <v>639</v>
      </c>
      <c r="D73" s="817" t="s">
        <v>640</v>
      </c>
      <c r="E73" s="894">
        <v>0.4</v>
      </c>
      <c r="F73" s="881">
        <v>60</v>
      </c>
    </row>
    <row r="74" spans="1:6" s="877" customFormat="1" ht="24">
      <c r="A74" s="881">
        <v>14</v>
      </c>
      <c r="B74" s="3416"/>
      <c r="C74" s="817" t="s">
        <v>641</v>
      </c>
      <c r="D74" s="817" t="s">
        <v>642</v>
      </c>
      <c r="E74" s="894">
        <v>0.2</v>
      </c>
      <c r="F74" s="881">
        <v>30</v>
      </c>
    </row>
    <row r="75" spans="1:6" s="877" customFormat="1" ht="24">
      <c r="A75" s="881">
        <v>15</v>
      </c>
      <c r="B75" s="3416"/>
      <c r="C75" s="817" t="s">
        <v>643</v>
      </c>
      <c r="D75" s="817" t="s">
        <v>644</v>
      </c>
      <c r="E75" s="894">
        <v>0.2</v>
      </c>
      <c r="F75" s="881">
        <v>30</v>
      </c>
    </row>
    <row r="76" spans="1:6" s="877" customFormat="1" ht="24">
      <c r="A76" s="881">
        <v>16</v>
      </c>
      <c r="B76" s="3416" t="s">
        <v>645</v>
      </c>
      <c r="C76" s="817" t="s">
        <v>646</v>
      </c>
      <c r="D76" s="817" t="s">
        <v>647</v>
      </c>
      <c r="E76" s="894">
        <v>0.5</v>
      </c>
      <c r="F76" s="881">
        <v>80</v>
      </c>
    </row>
    <row r="77" spans="1:6" s="877" customFormat="1" ht="24">
      <c r="A77" s="881">
        <v>17</v>
      </c>
      <c r="B77" s="3416"/>
      <c r="C77" s="817" t="s">
        <v>648</v>
      </c>
      <c r="D77" s="817" t="s">
        <v>649</v>
      </c>
      <c r="E77" s="894">
        <v>0.5</v>
      </c>
      <c r="F77" s="881">
        <v>80</v>
      </c>
    </row>
    <row r="78" spans="1:6" s="877" customFormat="1" ht="24">
      <c r="A78" s="881">
        <v>18</v>
      </c>
      <c r="B78" s="3416"/>
      <c r="C78" s="817" t="s">
        <v>650</v>
      </c>
      <c r="D78" s="817" t="s">
        <v>651</v>
      </c>
      <c r="E78" s="894">
        <v>0.2</v>
      </c>
      <c r="F78" s="881">
        <v>30</v>
      </c>
    </row>
    <row r="79" spans="1:6" s="877" customFormat="1" ht="24">
      <c r="A79" s="881">
        <v>19</v>
      </c>
      <c r="B79" s="3416"/>
      <c r="C79" s="817" t="s">
        <v>652</v>
      </c>
      <c r="D79" s="817" t="s">
        <v>653</v>
      </c>
      <c r="E79" s="894">
        <v>0.5</v>
      </c>
      <c r="F79" s="881">
        <v>80</v>
      </c>
    </row>
    <row r="80" spans="1:6" s="877" customFormat="1" ht="36">
      <c r="A80" s="881">
        <v>20</v>
      </c>
      <c r="B80" s="3416"/>
      <c r="C80" s="817" t="s">
        <v>654</v>
      </c>
      <c r="D80" s="817" t="s">
        <v>655</v>
      </c>
      <c r="E80" s="894">
        <v>0.2</v>
      </c>
      <c r="F80" s="881">
        <v>30</v>
      </c>
    </row>
    <row r="81" spans="1:6" s="877" customFormat="1" ht="36">
      <c r="A81" s="881">
        <v>21</v>
      </c>
      <c r="B81" s="3416"/>
      <c r="C81" s="817" t="s">
        <v>656</v>
      </c>
      <c r="D81" s="817" t="s">
        <v>657</v>
      </c>
      <c r="E81" s="894">
        <v>0.2</v>
      </c>
      <c r="F81" s="881">
        <v>30</v>
      </c>
    </row>
    <row r="82" spans="1:6" s="877" customFormat="1" ht="48">
      <c r="A82" s="881">
        <v>22</v>
      </c>
      <c r="B82" s="3416"/>
      <c r="C82" s="817" t="s">
        <v>658</v>
      </c>
      <c r="D82" s="817" t="s">
        <v>659</v>
      </c>
      <c r="E82" s="894">
        <v>0.2</v>
      </c>
      <c r="F82" s="881">
        <v>30</v>
      </c>
    </row>
    <row r="83" spans="1:6" s="877" customFormat="1" ht="48">
      <c r="A83" s="881">
        <v>23</v>
      </c>
      <c r="B83" s="3416"/>
      <c r="C83" s="817" t="s">
        <v>660</v>
      </c>
      <c r="D83" s="817" t="s">
        <v>661</v>
      </c>
      <c r="E83" s="894">
        <v>0.2</v>
      </c>
      <c r="F83" s="881">
        <v>30</v>
      </c>
    </row>
    <row r="84" spans="1:6" s="877" customFormat="1" ht="36">
      <c r="A84" s="881">
        <v>24</v>
      </c>
      <c r="B84" s="3416"/>
      <c r="C84" s="817" t="s">
        <v>662</v>
      </c>
      <c r="D84" s="817" t="s">
        <v>663</v>
      </c>
      <c r="E84" s="894">
        <v>0.2</v>
      </c>
      <c r="F84" s="881">
        <v>30</v>
      </c>
    </row>
    <row r="85" spans="1:6" s="877" customFormat="1" ht="36">
      <c r="A85" s="881">
        <v>25</v>
      </c>
      <c r="B85" s="3416"/>
      <c r="C85" s="817" t="s">
        <v>664</v>
      </c>
      <c r="D85" s="817" t="s">
        <v>665</v>
      </c>
      <c r="E85" s="894">
        <v>0.5</v>
      </c>
      <c r="F85" s="881">
        <v>80</v>
      </c>
    </row>
    <row r="86" spans="1:6" s="877" customFormat="1" ht="36">
      <c r="A86" s="881">
        <v>26</v>
      </c>
      <c r="B86" s="3416"/>
      <c r="C86" s="817" t="s">
        <v>666</v>
      </c>
      <c r="D86" s="817" t="s">
        <v>667</v>
      </c>
      <c r="E86" s="894">
        <v>0.2</v>
      </c>
      <c r="F86" s="881">
        <v>30</v>
      </c>
    </row>
    <row r="87" spans="1:6" s="877" customFormat="1" ht="36">
      <c r="A87" s="881">
        <v>27</v>
      </c>
      <c r="B87" s="3416"/>
      <c r="C87" s="817" t="s">
        <v>668</v>
      </c>
      <c r="D87" s="817" t="s">
        <v>669</v>
      </c>
      <c r="E87" s="894">
        <v>0.2</v>
      </c>
      <c r="F87" s="881">
        <v>30</v>
      </c>
    </row>
    <row r="88" spans="1:6" s="877" customFormat="1" ht="36">
      <c r="A88" s="881">
        <v>28</v>
      </c>
      <c r="B88" s="3416"/>
      <c r="C88" s="817" t="s">
        <v>670</v>
      </c>
      <c r="D88" s="817" t="s">
        <v>671</v>
      </c>
      <c r="E88" s="894">
        <v>0.2</v>
      </c>
      <c r="F88" s="881">
        <v>30</v>
      </c>
    </row>
    <row r="89" spans="1:6" s="877" customFormat="1" ht="24">
      <c r="A89" s="881">
        <v>29</v>
      </c>
      <c r="B89" s="3416"/>
      <c r="C89" s="817" t="s">
        <v>672</v>
      </c>
      <c r="D89" s="817" t="s">
        <v>673</v>
      </c>
      <c r="E89" s="894">
        <v>0.2</v>
      </c>
      <c r="F89" s="881">
        <v>30</v>
      </c>
    </row>
    <row r="90" spans="1:6" s="877" customFormat="1" ht="24">
      <c r="A90" s="881">
        <v>30</v>
      </c>
      <c r="B90" s="3416"/>
      <c r="C90" s="817" t="s">
        <v>674</v>
      </c>
      <c r="D90" s="817" t="s">
        <v>675</v>
      </c>
      <c r="E90" s="894">
        <v>0.2</v>
      </c>
      <c r="F90" s="881">
        <v>30</v>
      </c>
    </row>
    <row r="91" spans="1:6" s="877" customFormat="1" ht="36">
      <c r="A91" s="881">
        <v>31</v>
      </c>
      <c r="B91" s="3416"/>
      <c r="C91" s="817" t="s">
        <v>676</v>
      </c>
      <c r="D91" s="817" t="s">
        <v>677</v>
      </c>
      <c r="E91" s="894">
        <v>0.2</v>
      </c>
      <c r="F91" s="881">
        <v>30</v>
      </c>
    </row>
    <row r="92" spans="1:6" s="877" customFormat="1" ht="24">
      <c r="A92" s="881">
        <v>32</v>
      </c>
      <c r="B92" s="3416" t="s">
        <v>678</v>
      </c>
      <c r="C92" s="881" t="s">
        <v>679</v>
      </c>
      <c r="D92" s="817" t="s">
        <v>680</v>
      </c>
      <c r="E92" s="894">
        <v>0.2</v>
      </c>
      <c r="F92" s="881">
        <v>30</v>
      </c>
    </row>
    <row r="93" spans="1:6" s="877" customFormat="1" ht="36">
      <c r="A93" s="881">
        <v>33</v>
      </c>
      <c r="B93" s="3416"/>
      <c r="C93" s="881" t="s">
        <v>681</v>
      </c>
      <c r="D93" s="817" t="s">
        <v>682</v>
      </c>
      <c r="E93" s="894">
        <v>0.2</v>
      </c>
      <c r="F93" s="881">
        <v>30</v>
      </c>
    </row>
    <row r="94" spans="1:6" s="877" customFormat="1" ht="48">
      <c r="A94" s="881">
        <v>34</v>
      </c>
      <c r="B94" s="3416"/>
      <c r="C94" s="881" t="s">
        <v>683</v>
      </c>
      <c r="D94" s="817" t="s">
        <v>684</v>
      </c>
      <c r="E94" s="894">
        <v>0.2</v>
      </c>
      <c r="F94" s="881">
        <v>30</v>
      </c>
    </row>
    <row r="95" spans="1:6" s="877" customFormat="1" ht="36">
      <c r="A95" s="881">
        <v>35</v>
      </c>
      <c r="B95" s="3416"/>
      <c r="C95" s="881" t="s">
        <v>685</v>
      </c>
      <c r="D95" s="817" t="s">
        <v>686</v>
      </c>
      <c r="E95" s="894">
        <v>0.2</v>
      </c>
      <c r="F95" s="881">
        <v>30</v>
      </c>
    </row>
    <row r="96" spans="1:6" s="877" customFormat="1" ht="48">
      <c r="A96" s="881">
        <v>36</v>
      </c>
      <c r="B96" s="3416"/>
      <c r="C96" s="817" t="s">
        <v>687</v>
      </c>
      <c r="D96" s="817" t="s">
        <v>688</v>
      </c>
      <c r="E96" s="894">
        <v>0.2</v>
      </c>
      <c r="F96" s="881">
        <v>30</v>
      </c>
    </row>
    <row r="97" spans="1:6" s="877" customFormat="1" ht="36">
      <c r="A97" s="881">
        <v>37</v>
      </c>
      <c r="B97" s="3416"/>
      <c r="C97" s="881" t="s">
        <v>689</v>
      </c>
      <c r="D97" s="817" t="s">
        <v>690</v>
      </c>
      <c r="E97" s="894">
        <v>0.2</v>
      </c>
      <c r="F97" s="881">
        <v>30</v>
      </c>
    </row>
    <row r="98" spans="1:6" s="877" customFormat="1" ht="36">
      <c r="A98" s="881">
        <v>38</v>
      </c>
      <c r="B98" s="3416"/>
      <c r="C98" s="881" t="s">
        <v>691</v>
      </c>
      <c r="D98" s="817" t="s">
        <v>692</v>
      </c>
      <c r="E98" s="894">
        <v>0.2</v>
      </c>
      <c r="F98" s="881">
        <v>30</v>
      </c>
    </row>
    <row r="99" spans="1:6" s="877" customFormat="1" ht="36">
      <c r="A99" s="881">
        <v>39</v>
      </c>
      <c r="B99" s="3416" t="s">
        <v>693</v>
      </c>
      <c r="C99" s="881" t="s">
        <v>694</v>
      </c>
      <c r="D99" s="817" t="s">
        <v>695</v>
      </c>
      <c r="E99" s="894">
        <v>0.3</v>
      </c>
      <c r="F99" s="881">
        <v>50</v>
      </c>
    </row>
    <row r="100" spans="1:6" s="877" customFormat="1" ht="24">
      <c r="A100" s="881">
        <v>40</v>
      </c>
      <c r="B100" s="3416"/>
      <c r="C100" s="881" t="s">
        <v>696</v>
      </c>
      <c r="D100" s="817" t="s">
        <v>697</v>
      </c>
      <c r="E100" s="894">
        <v>0.2</v>
      </c>
      <c r="F100" s="881">
        <v>30</v>
      </c>
    </row>
    <row r="101" spans="1:6" s="877" customFormat="1" ht="36">
      <c r="A101" s="881">
        <v>41</v>
      </c>
      <c r="B101" s="3416"/>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416" t="s">
        <v>708</v>
      </c>
      <c r="C105" s="881" t="s">
        <v>709</v>
      </c>
      <c r="D105" s="817" t="s">
        <v>710</v>
      </c>
      <c r="E105" s="894">
        <v>0.2</v>
      </c>
      <c r="F105" s="881">
        <v>30</v>
      </c>
    </row>
    <row r="106" spans="1:6" s="877" customFormat="1" ht="36">
      <c r="A106" s="881">
        <v>46</v>
      </c>
      <c r="B106" s="3416"/>
      <c r="C106" s="881" t="s">
        <v>711</v>
      </c>
      <c r="D106" s="817" t="s">
        <v>712</v>
      </c>
      <c r="E106" s="894">
        <v>0.2</v>
      </c>
      <c r="F106" s="881">
        <v>30</v>
      </c>
    </row>
    <row r="107" spans="1:6" s="877" customFormat="1" ht="36">
      <c r="A107" s="881">
        <v>47</v>
      </c>
      <c r="B107" s="3416" t="s">
        <v>713</v>
      </c>
      <c r="C107" s="881" t="s">
        <v>714</v>
      </c>
      <c r="D107" s="817" t="s">
        <v>715</v>
      </c>
      <c r="E107" s="894">
        <v>0.3</v>
      </c>
      <c r="F107" s="881">
        <v>50</v>
      </c>
    </row>
    <row r="108" spans="1:6" s="877" customFormat="1" ht="36">
      <c r="A108" s="881">
        <v>48</v>
      </c>
      <c r="B108" s="3416"/>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416" t="s">
        <v>724</v>
      </c>
      <c r="C111" s="881" t="s">
        <v>725</v>
      </c>
      <c r="D111" s="817" t="s">
        <v>726</v>
      </c>
      <c r="E111" s="894">
        <v>0.2</v>
      </c>
      <c r="F111" s="881">
        <v>30</v>
      </c>
    </row>
    <row r="112" spans="1:6" s="877" customFormat="1" ht="24">
      <c r="A112" s="881">
        <v>52</v>
      </c>
      <c r="B112" s="3416"/>
      <c r="C112" s="881" t="s">
        <v>727</v>
      </c>
      <c r="D112" s="817" t="s">
        <v>728</v>
      </c>
      <c r="E112" s="894">
        <v>0.2</v>
      </c>
      <c r="F112" s="881">
        <v>30</v>
      </c>
    </row>
    <row r="113" spans="1:6" s="877" customFormat="1" ht="24">
      <c r="A113" s="881">
        <v>53</v>
      </c>
      <c r="B113" s="3416"/>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416" t="s">
        <v>737</v>
      </c>
      <c r="C116" s="881" t="s">
        <v>738</v>
      </c>
      <c r="D116" s="817" t="s">
        <v>739</v>
      </c>
      <c r="E116" s="894">
        <v>0.2</v>
      </c>
      <c r="F116" s="881">
        <v>30</v>
      </c>
    </row>
    <row r="117" spans="1:6" ht="36">
      <c r="A117" s="881">
        <v>57</v>
      </c>
      <c r="B117" s="3416"/>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SUMPRODUCT((A105:A204=ROUNDDOWN('基准地价修正（车库）'!G3,1))*(B104:M104='基准地价修正（车库）'!G2)*(B105:M204))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422" t="s">
        <v>1150</v>
      </c>
      <c r="C1" s="3422"/>
      <c r="D1" s="3422"/>
      <c r="E1" s="3422"/>
      <c r="F1" s="3422"/>
      <c r="G1" s="3421" t="s">
        <v>1151</v>
      </c>
      <c r="H1" s="3421"/>
      <c r="I1" s="3421"/>
      <c r="J1" s="3421"/>
      <c r="K1" s="3421"/>
      <c r="L1" s="3421"/>
      <c r="N1" s="3421" t="s">
        <v>1152</v>
      </c>
      <c r="O1" s="3421"/>
      <c r="P1" s="3421"/>
      <c r="Q1" s="3421"/>
      <c r="R1" s="1448"/>
      <c r="S1" s="3421" t="s">
        <v>1153</v>
      </c>
      <c r="T1" s="3421"/>
      <c r="U1" s="3421"/>
      <c r="V1" s="3421"/>
      <c r="X1" s="3420" t="s">
        <v>1154</v>
      </c>
      <c r="Y1" s="3421"/>
      <c r="Z1" s="3421"/>
      <c r="AA1" s="3421"/>
      <c r="AB1" s="3421"/>
      <c r="AD1" s="3420" t="s">
        <v>1155</v>
      </c>
      <c r="AE1" s="3421"/>
      <c r="AF1" s="3421"/>
      <c r="AG1" s="3421"/>
      <c r="AH1" s="3421"/>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893" customFormat="1" ht="14.25">
      <c r="A3" s="2902" t="s">
        <v>3009</v>
      </c>
      <c r="B3" s="2894"/>
      <c r="C3" s="2894"/>
      <c r="D3" s="2895"/>
      <c r="E3" s="2895"/>
      <c r="F3" s="2894"/>
      <c r="G3" s="2896"/>
      <c r="H3" s="2897"/>
      <c r="I3" s="2898">
        <f>ROUND(AVERAGE($I4:$I24),2)</f>
        <v>2.19</v>
      </c>
      <c r="J3" s="2898">
        <f>ROUND(AVERAGE($J4:$J24),2)</f>
        <v>1.53</v>
      </c>
      <c r="K3" s="2898">
        <f>ROUND(AVERAGE($K4:$K24),2)</f>
        <v>2.41</v>
      </c>
      <c r="L3" s="2898">
        <f>ROUND(AVERAGE($L4:$L24),2)</f>
        <v>1.42</v>
      </c>
      <c r="N3" s="2896"/>
      <c r="O3" s="2899"/>
      <c r="P3" s="2899"/>
      <c r="Q3" s="2899"/>
      <c r="R3" s="2899"/>
      <c r="S3" s="2896"/>
      <c r="T3" s="2899"/>
      <c r="U3" s="2899"/>
      <c r="V3" s="2899"/>
      <c r="W3" s="2891"/>
      <c r="X3" s="2900">
        <f>ROUND(SUMPRODUCT(PRODUCT(1+N3:N$23)),4)</f>
        <v>1.4956</v>
      </c>
      <c r="Y3" s="2900">
        <f>ROUND(SUMPRODUCT(PRODUCT(1+O3:O$23)),4)</f>
        <v>1.3237000000000001</v>
      </c>
      <c r="Z3" s="2900">
        <f t="shared" ref="Z3:Z21" si="0">Y3</f>
        <v>1.3237000000000001</v>
      </c>
      <c r="AA3" s="2900">
        <f>ROUND(SUMPRODUCT(PRODUCT(1+P3:P$23)),4)</f>
        <v>1.554</v>
      </c>
      <c r="AB3" s="2900">
        <f>ROUND(SUMPRODUCT(PRODUCT(1+Q3:Q$23)),4)</f>
        <v>1.3087</v>
      </c>
      <c r="AD3" s="2901">
        <f>ROUND(AVERAGE(I3:I$24)/100,4)</f>
        <v>2.1899999999999999E-2</v>
      </c>
      <c r="AE3" s="2901">
        <f>ROUND(AVERAGE(J3:J$24)/100,4)</f>
        <v>1.5299999999999999E-2</v>
      </c>
      <c r="AF3" s="2901">
        <f t="shared" ref="AF3:AF22" si="1">AE3</f>
        <v>1.5299999999999999E-2</v>
      </c>
      <c r="AG3" s="2901">
        <f>ROUND(AVERAGE(K3:K$24)/100,4)</f>
        <v>2.41E-2</v>
      </c>
      <c r="AH3" s="2901">
        <f>ROUND(AVERAGE(L3:L$24)/100,4)</f>
        <v>1.4200000000000001E-2</v>
      </c>
    </row>
    <row r="4" spans="1:34" s="1455" customFormat="1" ht="14.25">
      <c r="B4" s="1456"/>
      <c r="C4" s="1456"/>
      <c r="D4" s="1457"/>
      <c r="E4" s="1457"/>
      <c r="F4" s="1456"/>
      <c r="G4" s="1458"/>
      <c r="H4" s="1459"/>
      <c r="I4" s="2887"/>
      <c r="J4" s="2887"/>
      <c r="K4" s="2887"/>
      <c r="L4" s="2887"/>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3017</v>
      </c>
      <c r="B5" s="1793">
        <f t="shared" ref="B5" si="2">B6*(1+N5)</f>
        <v>459.95733971036987</v>
      </c>
      <c r="C5" s="1793">
        <f t="shared" ref="C5" si="3">C6*(1+O5)</f>
        <v>341.22221064422405</v>
      </c>
      <c r="D5" s="1793">
        <f t="shared" ref="D5" si="4">C5</f>
        <v>341.22221064422405</v>
      </c>
      <c r="E5" s="1793">
        <f t="shared" ref="E5" si="5">E6*(1+P5)</f>
        <v>657.19161663724799</v>
      </c>
      <c r="F5" s="1793">
        <f t="shared" ref="F5" si="6">F6*(1+Q5)</f>
        <v>300.87803644464805</v>
      </c>
      <c r="G5" s="2905">
        <v>2018</v>
      </c>
      <c r="H5" s="1732">
        <v>4</v>
      </c>
      <c r="I5" s="2888">
        <v>0</v>
      </c>
      <c r="J5" s="2888">
        <v>0</v>
      </c>
      <c r="K5" s="2888">
        <v>0</v>
      </c>
      <c r="L5" s="2888">
        <v>0</v>
      </c>
      <c r="N5" s="1469">
        <f>I5/100</f>
        <v>0</v>
      </c>
      <c r="O5" s="1469">
        <f t="shared" ref="O5" si="7">J5/100</f>
        <v>0</v>
      </c>
      <c r="P5" s="1469">
        <f t="shared" ref="P5" si="8">K5/100</f>
        <v>0</v>
      </c>
      <c r="Q5" s="1469">
        <f t="shared" ref="Q5" si="9">L5/100</f>
        <v>0</v>
      </c>
      <c r="R5" s="1734"/>
      <c r="S5" s="1735"/>
      <c r="T5" s="1734"/>
      <c r="U5" s="1734"/>
      <c r="V5" s="1734"/>
      <c r="W5" s="2892" t="s">
        <v>3010</v>
      </c>
      <c r="X5" s="1728">
        <f>ROUND(SUMPRODUCT(PRODUCT(1+N5:N$23)),4)</f>
        <v>1.4956</v>
      </c>
      <c r="Y5" s="1728">
        <f>ROUND(SUMPRODUCT(PRODUCT(1+O5:O$23)),4)</f>
        <v>1.3237000000000001</v>
      </c>
      <c r="Z5" s="1728">
        <f t="shared" ref="Z5" si="10">Y5</f>
        <v>1.3237000000000001</v>
      </c>
      <c r="AA5" s="1728">
        <f>ROUND(SUMPRODUCT(PRODUCT(1+P5:P$23)),4)</f>
        <v>1.554</v>
      </c>
      <c r="AB5" s="1728">
        <f>ROUND(SUMPRODUCT(PRODUCT(1+Q5:Q$23)),4)</f>
        <v>1.3087</v>
      </c>
      <c r="AD5" s="1470">
        <f>ROUND(AVERAGE(I5:I$24)/100,4)</f>
        <v>2.1899999999999999E-2</v>
      </c>
      <c r="AE5" s="1470">
        <f>ROUND(AVERAGE(J5:J$24)/100,4)</f>
        <v>1.5299999999999999E-2</v>
      </c>
      <c r="AF5" s="1470">
        <f t="shared" ref="AF5" si="11">AE5</f>
        <v>1.5299999999999999E-2</v>
      </c>
      <c r="AG5" s="1470">
        <f>ROUND(AVERAGE(K5:K$24)/100,4)</f>
        <v>2.41E-2</v>
      </c>
      <c r="AH5" s="1470">
        <f>ROUND(AVERAGE(L5:L$24)/100,4)</f>
        <v>1.4200000000000001E-2</v>
      </c>
    </row>
    <row r="6" spans="1:34" s="1468" customFormat="1" ht="13.5" thickBot="1">
      <c r="A6" s="1463" t="s">
        <v>3018</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2903"/>
      <c r="H6" s="1466">
        <v>3</v>
      </c>
      <c r="I6" s="1466">
        <v>1.51</v>
      </c>
      <c r="J6" s="1466">
        <v>1.41</v>
      </c>
      <c r="K6" s="1466">
        <v>1.52</v>
      </c>
      <c r="L6" s="1480">
        <v>1.74</v>
      </c>
      <c r="M6" s="1473"/>
      <c r="N6" s="1474">
        <f>I6/100</f>
        <v>1.5100000000000001E-2</v>
      </c>
      <c r="O6" s="1475">
        <f t="shared" ref="O6" si="17">J6/100</f>
        <v>1.41E-2</v>
      </c>
      <c r="P6" s="1475">
        <f t="shared" ref="P6" si="18">K6/100</f>
        <v>1.52E-2</v>
      </c>
      <c r="Q6" s="1475">
        <f t="shared" ref="Q6" si="19">L6/100</f>
        <v>1.7399999999999999E-2</v>
      </c>
      <c r="R6" s="1476"/>
      <c r="S6" s="1474"/>
      <c r="T6" s="1475"/>
      <c r="U6" s="1475"/>
      <c r="V6" s="1475"/>
      <c r="W6" s="1792"/>
      <c r="X6" s="1790">
        <f>ROUND(SUMPRODUCT(PRODUCT(1+N6:N$23)),4)</f>
        <v>1.4956</v>
      </c>
      <c r="Y6" s="1790">
        <f>ROUND(SUMPRODUCT(PRODUCT(1+O6:O$23)),4)</f>
        <v>1.3237000000000001</v>
      </c>
      <c r="Z6" s="1790">
        <f t="shared" ref="Z6" si="20">Y6</f>
        <v>1.3237000000000001</v>
      </c>
      <c r="AA6" s="1790">
        <f>ROUND(SUMPRODUCT(PRODUCT(1+P6:P$23)),4)</f>
        <v>1.554</v>
      </c>
      <c r="AB6" s="1790">
        <f>ROUND(SUMPRODUCT(PRODUCT(1+Q6:Q$23)),4)</f>
        <v>1.3087</v>
      </c>
      <c r="AC6" s="1792"/>
      <c r="AD6" s="1791">
        <f>ROUND(AVERAGE(I6:I$24)/100,4)</f>
        <v>2.3099999999999999E-2</v>
      </c>
      <c r="AE6" s="1791">
        <f>ROUND(AVERAGE(J6:J$24)/100,4)</f>
        <v>1.61E-2</v>
      </c>
      <c r="AF6" s="1791">
        <f t="shared" ref="AF6" si="21">AE6</f>
        <v>1.61E-2</v>
      </c>
      <c r="AG6" s="1791">
        <f>ROUND(AVERAGE(K6:K$24)/100,4)</f>
        <v>2.53E-2</v>
      </c>
      <c r="AH6" s="1791">
        <f>ROUND(AVERAGE(L6:L$24)/100,4)</f>
        <v>1.4999999999999999E-2</v>
      </c>
    </row>
    <row r="7" spans="1:34" s="1468" customFormat="1" ht="13.5" thickBot="1">
      <c r="A7" s="1463" t="s">
        <v>3016</v>
      </c>
      <c r="B7" s="1479">
        <f t="shared" ref="B7" si="22">B8*(1+N7)</f>
        <v>453.11529869999993</v>
      </c>
      <c r="C7" s="1479">
        <f t="shared" ref="C7" si="23">C8*(1+O7)</f>
        <v>336.47787264000004</v>
      </c>
      <c r="D7" s="1479">
        <f t="shared" ref="D7" si="24">C7</f>
        <v>336.47787264000004</v>
      </c>
      <c r="E7" s="1479">
        <f t="shared" ref="E7" si="25">E8*(1+P7)</f>
        <v>647.35186823999993</v>
      </c>
      <c r="F7" s="1479">
        <f t="shared" ref="F7" si="26">F8*(1+Q7)</f>
        <v>295.73229452000004</v>
      </c>
      <c r="G7" s="2903"/>
      <c r="H7" s="1466">
        <v>2</v>
      </c>
      <c r="I7" s="1466">
        <v>1.49</v>
      </c>
      <c r="J7" s="1466">
        <v>0.96</v>
      </c>
      <c r="K7" s="1466">
        <v>1.58</v>
      </c>
      <c r="L7" s="1480">
        <v>2.44</v>
      </c>
      <c r="M7" s="1473"/>
      <c r="N7" s="1474">
        <f t="shared" ref="N7" si="27">I7/100</f>
        <v>1.49E-2</v>
      </c>
      <c r="O7" s="1475">
        <f t="shared" ref="O7" si="28">J7/100</f>
        <v>9.5999999999999992E-3</v>
      </c>
      <c r="P7" s="1475">
        <f t="shared" ref="P7" si="29">K7/100</f>
        <v>1.5800000000000002E-2</v>
      </c>
      <c r="Q7" s="1475">
        <f t="shared" ref="Q7" si="30">L7/100</f>
        <v>2.4399999999999998E-2</v>
      </c>
      <c r="R7" s="1476"/>
      <c r="S7" s="1474"/>
      <c r="T7" s="1475"/>
      <c r="U7" s="1475"/>
      <c r="V7" s="1475"/>
      <c r="W7" s="1792"/>
      <c r="X7" s="1790">
        <f>ROUND(SUMPRODUCT(PRODUCT(1+N7:N$23)),4)</f>
        <v>1.4733000000000001</v>
      </c>
      <c r="Y7" s="1790">
        <f>ROUND(SUMPRODUCT(PRODUCT(1+O7:O$23)),4)</f>
        <v>1.3052999999999999</v>
      </c>
      <c r="Z7" s="1790">
        <f t="shared" ref="Z7" si="31">Y7</f>
        <v>1.3052999999999999</v>
      </c>
      <c r="AA7" s="1790">
        <f>ROUND(SUMPRODUCT(PRODUCT(1+P7:P$23)),4)</f>
        <v>1.5306999999999999</v>
      </c>
      <c r="AB7" s="1790">
        <f>ROUND(SUMPRODUCT(PRODUCT(1+Q7:Q$23)),4)</f>
        <v>1.2863</v>
      </c>
      <c r="AC7" s="1792"/>
      <c r="AD7" s="1791">
        <f>ROUND(AVERAGE(I7:I$24)/100,4)</f>
        <v>2.35E-2</v>
      </c>
      <c r="AE7" s="1791">
        <f>ROUND(AVERAGE(J7:J$24)/100,4)</f>
        <v>1.6199999999999999E-2</v>
      </c>
      <c r="AF7" s="1791">
        <f t="shared" ref="AF7" si="32">AE7</f>
        <v>1.6199999999999999E-2</v>
      </c>
      <c r="AG7" s="1791">
        <f>ROUND(AVERAGE(K7:K$24)/100,4)</f>
        <v>2.5899999999999999E-2</v>
      </c>
      <c r="AH7" s="1791">
        <f>ROUND(AVERAGE(L7:L$24)/100,4)</f>
        <v>1.49E-2</v>
      </c>
    </row>
    <row r="8" spans="1:34" s="1468" customFormat="1" ht="13.5" thickBot="1">
      <c r="A8" s="1463" t="s">
        <v>3008</v>
      </c>
      <c r="B8" s="1479">
        <f t="shared" ref="B8" si="33">B9*(1+N8)</f>
        <v>446.46299999999997</v>
      </c>
      <c r="C8" s="1479">
        <f t="shared" ref="C8" si="34">C9*(1+O8)</f>
        <v>333.27840000000003</v>
      </c>
      <c r="D8" s="1479">
        <f t="shared" ref="D8" si="35">C8</f>
        <v>333.27840000000003</v>
      </c>
      <c r="E8" s="1479">
        <f t="shared" ref="E8" si="36">E9*(1+P8)</f>
        <v>637.28279999999995</v>
      </c>
      <c r="F8" s="1479">
        <f t="shared" ref="F8" si="37">F9*(1+Q8)</f>
        <v>288.68830000000003</v>
      </c>
      <c r="G8" s="2903"/>
      <c r="H8" s="1466">
        <v>1</v>
      </c>
      <c r="I8" s="1466">
        <v>1.7</v>
      </c>
      <c r="J8" s="1466">
        <v>1.92</v>
      </c>
      <c r="K8" s="1466">
        <v>1.64</v>
      </c>
      <c r="L8" s="1480">
        <v>2.0099999999999998</v>
      </c>
      <c r="M8" s="1473"/>
      <c r="N8" s="1474">
        <f t="shared" ref="N8:N13" si="38">I8/100</f>
        <v>1.7000000000000001E-2</v>
      </c>
      <c r="O8" s="1475">
        <f t="shared" ref="O8" si="39">J8/100</f>
        <v>1.9199999999999998E-2</v>
      </c>
      <c r="P8" s="1475">
        <f t="shared" ref="P8" si="40">K8/100</f>
        <v>1.6399999999999998E-2</v>
      </c>
      <c r="Q8" s="1475">
        <f t="shared" ref="Q8" si="41">L8/100</f>
        <v>2.0099999999999996E-2</v>
      </c>
      <c r="R8" s="1476"/>
      <c r="S8" s="1474">
        <f>B8/B9-1</f>
        <v>1.6999999999999904E-2</v>
      </c>
      <c r="T8" s="1475">
        <f t="shared" ref="T8" si="42">C8/C9-1</f>
        <v>1.9200000000000106E-2</v>
      </c>
      <c r="U8" s="1475">
        <f t="shared" ref="U8" si="43">D8/D9-1</f>
        <v>1.9200000000000106E-2</v>
      </c>
      <c r="V8" s="1475">
        <f t="shared" ref="V8" si="44">E8/E9-1</f>
        <v>1.639999999999997E-2</v>
      </c>
      <c r="W8" s="1792"/>
      <c r="X8" s="1790">
        <f>ROUND(SUMPRODUCT(PRODUCT(1+N8:N$23)),4)</f>
        <v>1.4517</v>
      </c>
      <c r="Y8" s="1790">
        <f>ROUND(SUMPRODUCT(PRODUCT(1+O8:O$23)),4)</f>
        <v>1.2928999999999999</v>
      </c>
      <c r="Z8" s="1790">
        <f t="shared" ref="Z8" si="45">Y8</f>
        <v>1.2928999999999999</v>
      </c>
      <c r="AA8" s="1790">
        <f>ROUND(SUMPRODUCT(PRODUCT(1+P8:P$23)),4)</f>
        <v>1.5068999999999999</v>
      </c>
      <c r="AB8" s="1790">
        <f>ROUND(SUMPRODUCT(PRODUCT(1+Q8:Q$23)),4)</f>
        <v>1.2557</v>
      </c>
      <c r="AC8" s="1792"/>
      <c r="AD8" s="1791">
        <f>ROUND(AVERAGE(I8:I$24)/100,4)</f>
        <v>2.4E-2</v>
      </c>
      <c r="AE8" s="1791">
        <f>ROUND(AVERAGE(J8:J$24)/100,4)</f>
        <v>1.66E-2</v>
      </c>
      <c r="AF8" s="1791">
        <f t="shared" ref="AF8" si="46">AE8</f>
        <v>1.66E-2</v>
      </c>
      <c r="AG8" s="1791">
        <f>ROUND(AVERAGE(K8:K$24)/100,4)</f>
        <v>2.6499999999999999E-2</v>
      </c>
      <c r="AH8" s="1791">
        <f>ROUND(AVERAGE(L8:L$24)/100,4)</f>
        <v>1.43E-2</v>
      </c>
    </row>
    <row r="9" spans="1:34">
      <c r="A9" s="1463" t="s">
        <v>3005</v>
      </c>
      <c r="B9" s="1471">
        <v>439</v>
      </c>
      <c r="C9" s="1471">
        <v>327</v>
      </c>
      <c r="D9" s="1471">
        <f>C9</f>
        <v>327</v>
      </c>
      <c r="E9" s="1471">
        <v>627</v>
      </c>
      <c r="F9" s="1472">
        <v>283</v>
      </c>
      <c r="G9" s="2890">
        <v>2017</v>
      </c>
      <c r="H9" s="1464">
        <v>4</v>
      </c>
      <c r="I9" s="1464">
        <v>1.71</v>
      </c>
      <c r="J9" s="1464">
        <v>1.78</v>
      </c>
      <c r="K9" s="1464">
        <v>1.71</v>
      </c>
      <c r="L9" s="1465">
        <v>1.43</v>
      </c>
      <c r="N9" s="1474">
        <f t="shared" si="38"/>
        <v>1.7100000000000001E-2</v>
      </c>
      <c r="O9" s="1475">
        <f t="shared" ref="O9" si="47">J9/100</f>
        <v>1.78E-2</v>
      </c>
      <c r="P9" s="1475">
        <f t="shared" ref="P9" si="48">K9/100</f>
        <v>1.7100000000000001E-2</v>
      </c>
      <c r="Q9" s="1475">
        <f t="shared" ref="Q9" si="49">L9/100</f>
        <v>1.43E-2</v>
      </c>
      <c r="R9" s="1476"/>
      <c r="S9" s="1477"/>
      <c r="T9" s="1478"/>
      <c r="U9" s="1478"/>
      <c r="V9" s="1478"/>
      <c r="X9" s="1461">
        <f>ROUND(SUMPRODUCT(PRODUCT(1+N9:N$23)),4)</f>
        <v>1.4274</v>
      </c>
      <c r="Y9" s="1461">
        <f>ROUND(SUMPRODUCT(PRODUCT(1+O9:O$23)),4)</f>
        <v>1.2685</v>
      </c>
      <c r="Z9" s="1461">
        <f t="shared" si="0"/>
        <v>1.2685</v>
      </c>
      <c r="AA9" s="1461">
        <f>ROUND(SUMPRODUCT(PRODUCT(1+P9:P$23)),4)</f>
        <v>1.4825999999999999</v>
      </c>
      <c r="AB9" s="1461">
        <f>ROUND(SUMPRODUCT(PRODUCT(1+Q9:Q$23)),4)</f>
        <v>1.2309000000000001</v>
      </c>
      <c r="AD9" s="1462">
        <f>ROUND(AVERAGE(I9:I$24)/100,4)</f>
        <v>2.4500000000000001E-2</v>
      </c>
      <c r="AE9" s="1462">
        <f>ROUND(AVERAGE(J9:J$24)/100,4)</f>
        <v>1.6500000000000001E-2</v>
      </c>
      <c r="AF9" s="1462">
        <f t="shared" si="1"/>
        <v>1.6500000000000001E-2</v>
      </c>
      <c r="AG9" s="1462">
        <f>ROUND(AVERAGE(K9:K$24)/100,4)</f>
        <v>2.7099999999999999E-2</v>
      </c>
      <c r="AH9" s="1462">
        <f>ROUND(AVERAGE(L9:L$24)/100,4)</f>
        <v>1.3899999999999999E-2</v>
      </c>
    </row>
    <row r="10" spans="1:34" s="1468" customFormat="1" ht="13.5" thickBot="1">
      <c r="A10" s="1463" t="s">
        <v>3006</v>
      </c>
      <c r="B10" s="1479">
        <f t="shared" ref="B10:B11" si="50">B11*(1+N10)</f>
        <v>431.80730811680002</v>
      </c>
      <c r="C10" s="1479">
        <f t="shared" ref="C10:C11" si="51">C11*(1+O10)</f>
        <v>320.57880516480003</v>
      </c>
      <c r="D10" s="1479">
        <f t="shared" ref="D10:D11" si="52">C10</f>
        <v>320.57880516480003</v>
      </c>
      <c r="E10" s="1479">
        <f t="shared" ref="E10:E11" si="53">E11*(1+P10)</f>
        <v>615.96110553196797</v>
      </c>
      <c r="F10" s="1479">
        <f t="shared" ref="F10:F11" si="54">F11*(1+Q10)</f>
        <v>279.46777300108801</v>
      </c>
      <c r="G10" s="2886"/>
      <c r="H10" s="1466">
        <v>3</v>
      </c>
      <c r="I10" s="1466">
        <v>2.98</v>
      </c>
      <c r="J10" s="1466">
        <v>2.11</v>
      </c>
      <c r="K10" s="1466">
        <v>3.24</v>
      </c>
      <c r="L10" s="1480">
        <v>1.72</v>
      </c>
      <c r="M10" s="1473"/>
      <c r="N10" s="1474">
        <f t="shared" si="38"/>
        <v>2.98E-2</v>
      </c>
      <c r="O10" s="1475">
        <f t="shared" ref="O10" si="55">J10/100</f>
        <v>2.1099999999999997E-2</v>
      </c>
      <c r="P10" s="1475">
        <f t="shared" ref="P10" si="56">K10/100</f>
        <v>3.2400000000000005E-2</v>
      </c>
      <c r="Q10" s="1475">
        <f t="shared" ref="Q10" si="57">L10/100</f>
        <v>1.72E-2</v>
      </c>
      <c r="R10" s="1476"/>
      <c r="S10" s="1474"/>
      <c r="T10" s="1475"/>
      <c r="U10" s="1475"/>
      <c r="V10" s="1475"/>
      <c r="W10" s="1792"/>
      <c r="X10" s="1790">
        <f>ROUND(SUMPRODUCT(PRODUCT(1+N10:N$23)),4)</f>
        <v>1.4034</v>
      </c>
      <c r="Y10" s="1790">
        <f>ROUND(SUMPRODUCT(PRODUCT(1+O10:O$23)),4)</f>
        <v>1.2463</v>
      </c>
      <c r="Z10" s="1790">
        <f t="shared" si="0"/>
        <v>1.2463</v>
      </c>
      <c r="AA10" s="1790">
        <f>ROUND(SUMPRODUCT(PRODUCT(1+P10:P$23)),4)</f>
        <v>1.4577</v>
      </c>
      <c r="AB10" s="1790">
        <f>ROUND(SUMPRODUCT(PRODUCT(1+Q10:Q$23)),4)</f>
        <v>1.2136</v>
      </c>
      <c r="AC10" s="1792"/>
      <c r="AD10" s="1791">
        <f>ROUND(AVERAGE(I10:I$24)/100,4)</f>
        <v>2.4899999999999999E-2</v>
      </c>
      <c r="AE10" s="1791">
        <f>ROUND(AVERAGE(J10:J$24)/100,4)</f>
        <v>1.6400000000000001E-2</v>
      </c>
      <c r="AF10" s="1791">
        <f t="shared" si="1"/>
        <v>1.6400000000000001E-2</v>
      </c>
      <c r="AG10" s="1791">
        <f>ROUND(AVERAGE(K10:K$24)/100,4)</f>
        <v>2.7799999999999998E-2</v>
      </c>
      <c r="AH10" s="1791">
        <f>ROUND(AVERAGE(L10:L$24)/100,4)</f>
        <v>1.3899999999999999E-2</v>
      </c>
    </row>
    <row r="11" spans="1:34" s="1733" customFormat="1">
      <c r="A11" s="1463" t="s">
        <v>1386</v>
      </c>
      <c r="B11" s="1479">
        <f t="shared" si="50"/>
        <v>419.31181600000002</v>
      </c>
      <c r="C11" s="1479">
        <f t="shared" si="51"/>
        <v>313.95436800000004</v>
      </c>
      <c r="D11" s="1479">
        <f t="shared" si="52"/>
        <v>313.95436800000004</v>
      </c>
      <c r="E11" s="1479">
        <f t="shared" si="53"/>
        <v>596.63028431999999</v>
      </c>
      <c r="F11" s="1479">
        <f t="shared" si="54"/>
        <v>274.74220703999998</v>
      </c>
      <c r="G11" s="2885"/>
      <c r="H11" s="1467">
        <v>2</v>
      </c>
      <c r="I11" s="1467">
        <v>3.4</v>
      </c>
      <c r="J11" s="1467">
        <v>2</v>
      </c>
      <c r="K11" s="1467">
        <v>3.82</v>
      </c>
      <c r="L11" s="1481">
        <v>1.68</v>
      </c>
      <c r="M11" s="1473"/>
      <c r="N11" s="1474">
        <f t="shared" si="38"/>
        <v>3.4000000000000002E-2</v>
      </c>
      <c r="O11" s="1475">
        <f t="shared" ref="O11" si="58">J11/100</f>
        <v>0.02</v>
      </c>
      <c r="P11" s="1475">
        <f t="shared" ref="P11" si="59">K11/100</f>
        <v>3.8199999999999998E-2</v>
      </c>
      <c r="Q11" s="1475">
        <f t="shared" ref="Q11" si="60">L11/100</f>
        <v>1.6799999999999999E-2</v>
      </c>
      <c r="R11" s="1476"/>
      <c r="S11" s="1477"/>
      <c r="T11" s="1478"/>
      <c r="U11" s="1478"/>
      <c r="V11" s="1478"/>
      <c r="W11" s="1455"/>
      <c r="X11" s="1790">
        <f>ROUND(SUMPRODUCT(PRODUCT(1+N11:N$23)),4)</f>
        <v>1.3628</v>
      </c>
      <c r="Y11" s="1790">
        <f>ROUND(SUMPRODUCT(PRODUCT(1+O11:O$23)),4)</f>
        <v>1.2205999999999999</v>
      </c>
      <c r="Z11" s="1790">
        <f t="shared" si="0"/>
        <v>1.2205999999999999</v>
      </c>
      <c r="AA11" s="1790">
        <f>ROUND(SUMPRODUCT(PRODUCT(1+P11:P$23)),4)</f>
        <v>1.4118999999999999</v>
      </c>
      <c r="AB11" s="1790">
        <f>ROUND(SUMPRODUCT(PRODUCT(1+Q11:Q$23)),4)</f>
        <v>1.1930000000000001</v>
      </c>
      <c r="AC11" s="1455"/>
      <c r="AD11" s="1791">
        <f>ROUND(AVERAGE(I11:I$24)/100,4)</f>
        <v>2.46E-2</v>
      </c>
      <c r="AE11" s="1791">
        <f>ROUND(AVERAGE(J11:J$24)/100,4)</f>
        <v>1.6E-2</v>
      </c>
      <c r="AF11" s="1791">
        <f t="shared" si="1"/>
        <v>1.6E-2</v>
      </c>
      <c r="AG11" s="1791">
        <f>ROUND(AVERAGE(K11:K$24)/100,4)</f>
        <v>2.75E-2</v>
      </c>
      <c r="AH11" s="1791">
        <f>ROUND(AVERAGE(L11:L$24)/100,4)</f>
        <v>1.37E-2</v>
      </c>
    </row>
    <row r="12" spans="1:34" s="1468" customFormat="1" ht="13.5" thickBot="1">
      <c r="A12" s="1463" t="s">
        <v>1161</v>
      </c>
      <c r="B12" s="1479">
        <f>B13*(1+N12)</f>
        <v>405.524</v>
      </c>
      <c r="C12" s="1479">
        <f>C13*(1+O12)</f>
        <v>307.79840000000002</v>
      </c>
      <c r="D12" s="1479">
        <f>C12</f>
        <v>307.79840000000002</v>
      </c>
      <c r="E12" s="1479">
        <f>E13*(1+P12)</f>
        <v>574.67759999999998</v>
      </c>
      <c r="F12" s="1479">
        <f>F13*(1+Q12)</f>
        <v>270.20280000000002</v>
      </c>
      <c r="G12" s="2886"/>
      <c r="H12" s="1466">
        <v>1</v>
      </c>
      <c r="I12" s="1466">
        <v>3.45</v>
      </c>
      <c r="J12" s="1466">
        <v>1.92</v>
      </c>
      <c r="K12" s="1466">
        <v>3.92</v>
      </c>
      <c r="L12" s="1480">
        <v>1.58</v>
      </c>
      <c r="M12" s="1473"/>
      <c r="N12" s="1474">
        <f t="shared" si="38"/>
        <v>3.4500000000000003E-2</v>
      </c>
      <c r="O12" s="1475">
        <f t="shared" ref="O12:Q27" si="61">J12/100</f>
        <v>1.9199999999999998E-2</v>
      </c>
      <c r="P12" s="1475">
        <f t="shared" si="61"/>
        <v>3.9199999999999999E-2</v>
      </c>
      <c r="Q12" s="1475">
        <f t="shared" si="61"/>
        <v>1.5800000000000002E-2</v>
      </c>
      <c r="R12" s="1476"/>
      <c r="S12" s="1474">
        <f>B12/B13-1</f>
        <v>3.4499999999999975E-2</v>
      </c>
      <c r="T12" s="1475">
        <f t="shared" ref="T12:V12" si="62">C12/C13-1</f>
        <v>1.9200000000000106E-2</v>
      </c>
      <c r="U12" s="1475">
        <f t="shared" si="62"/>
        <v>1.9200000000000106E-2</v>
      </c>
      <c r="V12" s="1475">
        <f t="shared" si="62"/>
        <v>3.9199999999999902E-2</v>
      </c>
      <c r="W12" s="1792"/>
      <c r="X12" s="1790">
        <f>ROUND(SUMPRODUCT(PRODUCT(1+N12:N$23)),4)</f>
        <v>1.3180000000000001</v>
      </c>
      <c r="Y12" s="1790">
        <f>ROUND(SUMPRODUCT(PRODUCT(1+O12:O$23)),4)</f>
        <v>1.1966000000000001</v>
      </c>
      <c r="Z12" s="1790">
        <f t="shared" si="0"/>
        <v>1.1966000000000001</v>
      </c>
      <c r="AA12" s="1790">
        <f>ROUND(SUMPRODUCT(PRODUCT(1+P12:P$23)),4)</f>
        <v>1.36</v>
      </c>
      <c r="AB12" s="1790">
        <f>ROUND(SUMPRODUCT(PRODUCT(1+Q12:Q$23)),4)</f>
        <v>1.1733</v>
      </c>
      <c r="AC12" s="1792"/>
      <c r="AD12" s="1791">
        <f>ROUND(AVERAGE(I12:I$24)/100,4)</f>
        <v>2.3900000000000001E-2</v>
      </c>
      <c r="AE12" s="1791">
        <f>ROUND(AVERAGE(J12:J$24)/100,4)</f>
        <v>1.5699999999999999E-2</v>
      </c>
      <c r="AF12" s="1791">
        <f t="shared" si="1"/>
        <v>1.5699999999999999E-2</v>
      </c>
      <c r="AG12" s="1791">
        <f>ROUND(AVERAGE(K12:K$24)/100,4)</f>
        <v>2.6599999999999999E-2</v>
      </c>
      <c r="AH12" s="1791">
        <f>ROUND(AVERAGE(L12:L$24)/100,4)</f>
        <v>1.34E-2</v>
      </c>
    </row>
    <row r="13" spans="1:34">
      <c r="A13" s="1463" t="s">
        <v>154</v>
      </c>
      <c r="B13" s="1471">
        <v>392</v>
      </c>
      <c r="C13" s="1471">
        <v>302</v>
      </c>
      <c r="D13" s="1471">
        <f>C13</f>
        <v>302</v>
      </c>
      <c r="E13" s="1471">
        <v>553</v>
      </c>
      <c r="F13" s="1472">
        <v>266</v>
      </c>
      <c r="G13" s="3423">
        <v>2016</v>
      </c>
      <c r="H13" s="1464">
        <v>4</v>
      </c>
      <c r="I13" s="1464">
        <v>4.5599999999999996</v>
      </c>
      <c r="J13" s="1464">
        <v>2.15</v>
      </c>
      <c r="K13" s="1464">
        <v>5.32</v>
      </c>
      <c r="L13" s="1465">
        <v>1.57</v>
      </c>
      <c r="N13" s="1474">
        <f t="shared" si="38"/>
        <v>4.5599999999999995E-2</v>
      </c>
      <c r="O13" s="1475">
        <f t="shared" si="61"/>
        <v>2.1499999999999998E-2</v>
      </c>
      <c r="P13" s="1475">
        <f t="shared" si="61"/>
        <v>5.3200000000000004E-2</v>
      </c>
      <c r="Q13" s="1475">
        <f t="shared" si="61"/>
        <v>1.5700000000000002E-2</v>
      </c>
      <c r="R13" s="1476"/>
      <c r="S13" s="1477"/>
      <c r="T13" s="1478"/>
      <c r="U13" s="1478"/>
      <c r="V13" s="1478"/>
      <c r="X13" s="1461">
        <f>ROUND(SUMPRODUCT(PRODUCT(1+N13:N$23)),4)</f>
        <v>1.274</v>
      </c>
      <c r="Y13" s="1461">
        <f>ROUND(SUMPRODUCT(PRODUCT(1+O13:O$23)),4)</f>
        <v>1.1740999999999999</v>
      </c>
      <c r="Z13" s="1461">
        <f t="shared" si="0"/>
        <v>1.1740999999999999</v>
      </c>
      <c r="AA13" s="1461">
        <f>ROUND(SUMPRODUCT(PRODUCT(1+P13:P$23)),4)</f>
        <v>1.3087</v>
      </c>
      <c r="AB13" s="1461">
        <f>ROUND(SUMPRODUCT(PRODUCT(1+Q13:Q$23)),4)</f>
        <v>1.1551</v>
      </c>
      <c r="AD13" s="1462">
        <f>ROUND(AVERAGE(I13:I$24)/100,4)</f>
        <v>2.3E-2</v>
      </c>
      <c r="AE13" s="1462">
        <f>ROUND(AVERAGE(J13:J$24)/100,4)</f>
        <v>1.55E-2</v>
      </c>
      <c r="AF13" s="1462">
        <f t="shared" si="1"/>
        <v>1.55E-2</v>
      </c>
      <c r="AG13" s="1462">
        <f>ROUND(AVERAGE(K13:K$24)/100,4)</f>
        <v>2.5600000000000001E-2</v>
      </c>
      <c r="AH13" s="1462">
        <f>ROUND(AVERAGE(L13:L$24)/100,4)</f>
        <v>1.32E-2</v>
      </c>
    </row>
    <row r="14" spans="1:34">
      <c r="A14" s="1463" t="s">
        <v>153</v>
      </c>
      <c r="B14" s="1479">
        <f t="shared" ref="B14:C16" si="63">B13/(1+N13)</f>
        <v>374.90436113236416</v>
      </c>
      <c r="C14" s="1479">
        <f t="shared" si="63"/>
        <v>295.64366128242779</v>
      </c>
      <c r="D14" s="1479">
        <f t="shared" ref="D14:D73" si="64">C14</f>
        <v>295.64366128242779</v>
      </c>
      <c r="E14" s="1479">
        <f t="shared" ref="E14:F16" si="65">E13/(1+P13)</f>
        <v>525.06646410938095</v>
      </c>
      <c r="F14" s="1479">
        <f t="shared" si="65"/>
        <v>261.88835286009646</v>
      </c>
      <c r="G14" s="3418"/>
      <c r="H14" s="1466">
        <v>3</v>
      </c>
      <c r="I14" s="1466">
        <v>4.12</v>
      </c>
      <c r="J14" s="1466">
        <v>2</v>
      </c>
      <c r="K14" s="1466">
        <v>4.79</v>
      </c>
      <c r="L14" s="1480">
        <v>1.97</v>
      </c>
      <c r="N14" s="1474">
        <f t="shared" ref="N14:Q48" si="66">I14/100</f>
        <v>4.1200000000000001E-2</v>
      </c>
      <c r="O14" s="1475">
        <f t="shared" si="61"/>
        <v>0.02</v>
      </c>
      <c r="P14" s="1475">
        <f t="shared" si="61"/>
        <v>4.7899999999999998E-2</v>
      </c>
      <c r="Q14" s="1475">
        <f t="shared" si="61"/>
        <v>1.9699999999999999E-2</v>
      </c>
      <c r="R14" s="1476"/>
      <c r="S14" s="1474"/>
      <c r="T14" s="1475"/>
      <c r="U14" s="1475"/>
      <c r="V14" s="1475"/>
      <c r="X14" s="1461">
        <f>ROUND(SUMPRODUCT(PRODUCT(1+N14:N$23)),4)</f>
        <v>1.2184999999999999</v>
      </c>
      <c r="Y14" s="1461">
        <f>ROUND(SUMPRODUCT(PRODUCT(1+O14:O$23)),4)</f>
        <v>1.1494</v>
      </c>
      <c r="Z14" s="1461">
        <f t="shared" si="0"/>
        <v>1.1494</v>
      </c>
      <c r="AA14" s="1461">
        <f>ROUND(SUMPRODUCT(PRODUCT(1+P14:P$23)),4)</f>
        <v>1.2425999999999999</v>
      </c>
      <c r="AB14" s="1461">
        <f>ROUND(SUMPRODUCT(PRODUCT(1+Q14:Q$23)),4)</f>
        <v>1.1372</v>
      </c>
      <c r="AD14" s="1462">
        <f>ROUND(AVERAGE(I14:I$24)/100,4)</f>
        <v>2.0899999999999998E-2</v>
      </c>
      <c r="AE14" s="1462">
        <f>ROUND(AVERAGE(J14:J$24)/100,4)</f>
        <v>1.49E-2</v>
      </c>
      <c r="AF14" s="1462">
        <f t="shared" si="1"/>
        <v>1.49E-2</v>
      </c>
      <c r="AG14" s="1462">
        <f>ROUND(AVERAGE(K14:K$24)/100,4)</f>
        <v>2.3099999999999999E-2</v>
      </c>
      <c r="AH14" s="1462">
        <f>ROUND(AVERAGE(L14:L$24)/100,4)</f>
        <v>1.2999999999999999E-2</v>
      </c>
    </row>
    <row r="15" spans="1:34">
      <c r="A15" s="1463" t="s">
        <v>143</v>
      </c>
      <c r="B15" s="1479">
        <f t="shared" si="63"/>
        <v>360.06949782209392</v>
      </c>
      <c r="C15" s="1479">
        <f t="shared" si="63"/>
        <v>289.84672674747821</v>
      </c>
      <c r="D15" s="1479">
        <f t="shared" si="64"/>
        <v>289.84672674747821</v>
      </c>
      <c r="E15" s="1479">
        <f t="shared" si="65"/>
        <v>501.06543001181495</v>
      </c>
      <c r="F15" s="1479">
        <f t="shared" si="65"/>
        <v>256.82882500744967</v>
      </c>
      <c r="G15" s="3418"/>
      <c r="H15" s="1467">
        <v>2</v>
      </c>
      <c r="I15" s="1467">
        <v>3.85</v>
      </c>
      <c r="J15" s="1467">
        <v>1.95</v>
      </c>
      <c r="K15" s="1467">
        <v>4.4800000000000004</v>
      </c>
      <c r="L15" s="1481">
        <v>1.41</v>
      </c>
      <c r="N15" s="1474">
        <f t="shared" si="66"/>
        <v>3.85E-2</v>
      </c>
      <c r="O15" s="1475">
        <f t="shared" si="61"/>
        <v>1.95E-2</v>
      </c>
      <c r="P15" s="1475">
        <f t="shared" si="61"/>
        <v>4.4800000000000006E-2</v>
      </c>
      <c r="Q15" s="1475">
        <f t="shared" si="61"/>
        <v>1.41E-2</v>
      </c>
      <c r="R15" s="1476"/>
      <c r="S15" s="1474"/>
      <c r="T15" s="1475"/>
      <c r="U15" s="1475"/>
      <c r="V15" s="1475"/>
      <c r="X15" s="1461">
        <f>ROUND(SUMPRODUCT(PRODUCT(1+N15:N$23)),4)</f>
        <v>1.1702999999999999</v>
      </c>
      <c r="Y15" s="1461">
        <f>ROUND(SUMPRODUCT(PRODUCT(1+O15:O$23)),4)</f>
        <v>1.1269</v>
      </c>
      <c r="Z15" s="1461">
        <f t="shared" si="0"/>
        <v>1.1269</v>
      </c>
      <c r="AA15" s="1461">
        <f>ROUND(SUMPRODUCT(PRODUCT(1+P15:P$23)),4)</f>
        <v>1.1858</v>
      </c>
      <c r="AB15" s="1461">
        <f>ROUND(SUMPRODUCT(PRODUCT(1+Q15:Q$23)),4)</f>
        <v>1.1152</v>
      </c>
      <c r="AD15" s="1462">
        <f>ROUND(AVERAGE(I15:I$24)/100,4)</f>
        <v>1.89E-2</v>
      </c>
      <c r="AE15" s="1462">
        <f>ROUND(AVERAGE(J15:J$24)/100,4)</f>
        <v>1.44E-2</v>
      </c>
      <c r="AF15" s="1462">
        <f t="shared" si="1"/>
        <v>1.44E-2</v>
      </c>
      <c r="AG15" s="1462">
        <f>ROUND(AVERAGE(K15:K$24)/100,4)</f>
        <v>2.06E-2</v>
      </c>
      <c r="AH15" s="1462">
        <f>ROUND(AVERAGE(L15:L$24)/100,4)</f>
        <v>1.23E-2</v>
      </c>
    </row>
    <row r="16" spans="1:34" ht="13.5" thickBot="1">
      <c r="A16" s="1463" t="s">
        <v>152</v>
      </c>
      <c r="B16" s="1479">
        <f t="shared" si="63"/>
        <v>346.720748986128</v>
      </c>
      <c r="C16" s="1479">
        <f t="shared" si="63"/>
        <v>284.30282172386285</v>
      </c>
      <c r="D16" s="1479">
        <f t="shared" si="64"/>
        <v>284.30282172386285</v>
      </c>
      <c r="E16" s="1479">
        <f t="shared" si="65"/>
        <v>479.58023546306947</v>
      </c>
      <c r="F16" s="1479">
        <f t="shared" si="65"/>
        <v>253.25788877571213</v>
      </c>
      <c r="G16" s="3419"/>
      <c r="H16" s="1466">
        <v>1</v>
      </c>
      <c r="I16" s="1466">
        <v>4.09</v>
      </c>
      <c r="J16" s="1466">
        <v>2.93</v>
      </c>
      <c r="K16" s="1466">
        <v>4.54</v>
      </c>
      <c r="L16" s="1480">
        <v>1.48</v>
      </c>
      <c r="N16" s="1474">
        <f t="shared" si="66"/>
        <v>4.0899999999999999E-2</v>
      </c>
      <c r="O16" s="1475">
        <f t="shared" si="61"/>
        <v>2.9300000000000003E-2</v>
      </c>
      <c r="P16" s="1475">
        <f t="shared" si="61"/>
        <v>4.5400000000000003E-2</v>
      </c>
      <c r="Q16" s="1475">
        <f t="shared" si="61"/>
        <v>1.4800000000000001E-2</v>
      </c>
      <c r="R16" s="1476"/>
      <c r="S16" s="1482">
        <f>B16/B17-1</f>
        <v>4.1203450408792808E-2</v>
      </c>
      <c r="T16" s="1483">
        <f>C16/C17-1</f>
        <v>2.6363977342465095E-2</v>
      </c>
      <c r="U16" s="1483">
        <f>E16/E17-1</f>
        <v>4.4837114298626357E-2</v>
      </c>
      <c r="V16" s="1483">
        <f>F16/F17-1</f>
        <v>1.7099954922538574E-2</v>
      </c>
      <c r="X16" s="1461">
        <f>ROUND(SUMPRODUCT(PRODUCT(1+N16:N$23)),4)</f>
        <v>1.1269</v>
      </c>
      <c r="Y16" s="1461">
        <f>ROUND(SUMPRODUCT(PRODUCT(1+O16:O$23)),4)</f>
        <v>1.1052999999999999</v>
      </c>
      <c r="Z16" s="1461">
        <f t="shared" si="0"/>
        <v>1.1052999999999999</v>
      </c>
      <c r="AA16" s="1461">
        <f>ROUND(SUMPRODUCT(PRODUCT(1+P16:P$23)),4)</f>
        <v>1.1349</v>
      </c>
      <c r="AB16" s="1461">
        <f>ROUND(SUMPRODUCT(PRODUCT(1+Q16:Q$23)),4)</f>
        <v>1.0996999999999999</v>
      </c>
      <c r="AD16" s="1462">
        <f>ROUND(AVERAGE(I16:I$24)/100,4)</f>
        <v>1.67E-2</v>
      </c>
      <c r="AE16" s="1462">
        <f>ROUND(AVERAGE(J16:J$24)/100,4)</f>
        <v>1.38E-2</v>
      </c>
      <c r="AF16" s="1462">
        <f t="shared" si="1"/>
        <v>1.38E-2</v>
      </c>
      <c r="AG16" s="1462">
        <f>ROUND(AVERAGE(K16:K$24)/100,4)</f>
        <v>1.7899999999999999E-2</v>
      </c>
      <c r="AH16" s="1462">
        <f>ROUND(AVERAGE(L16:L$24)/100,4)</f>
        <v>1.21E-2</v>
      </c>
    </row>
    <row r="17" spans="1:34" ht="13.5" thickBot="1">
      <c r="A17" s="1463" t="s">
        <v>151</v>
      </c>
      <c r="B17" s="1471">
        <v>333</v>
      </c>
      <c r="C17" s="1471">
        <v>277</v>
      </c>
      <c r="D17" s="1471">
        <f t="shared" si="64"/>
        <v>277</v>
      </c>
      <c r="E17" s="1471">
        <v>459</v>
      </c>
      <c r="F17" s="1472">
        <v>249</v>
      </c>
      <c r="G17" s="3417">
        <v>2015</v>
      </c>
      <c r="H17" s="1484">
        <v>4</v>
      </c>
      <c r="I17" s="1484">
        <v>1.63</v>
      </c>
      <c r="J17" s="1484">
        <v>1.1100000000000001</v>
      </c>
      <c r="K17" s="1484">
        <v>1.77</v>
      </c>
      <c r="L17" s="1485">
        <v>1.89</v>
      </c>
      <c r="N17" s="1486">
        <f t="shared" si="66"/>
        <v>1.6299999999999999E-2</v>
      </c>
      <c r="O17" s="1487">
        <f t="shared" si="61"/>
        <v>1.11E-2</v>
      </c>
      <c r="P17" s="1487">
        <f t="shared" si="61"/>
        <v>1.77E-2</v>
      </c>
      <c r="Q17" s="1487">
        <f t="shared" si="61"/>
        <v>1.89E-2</v>
      </c>
      <c r="R17" s="1476"/>
      <c r="X17" s="1461">
        <f>ROUND(SUMPRODUCT(PRODUCT(1+N17:N$23)),4)</f>
        <v>1.0826</v>
      </c>
      <c r="Y17" s="1461">
        <f>ROUND(SUMPRODUCT(PRODUCT(1+O17:O$23)),4)</f>
        <v>1.0738000000000001</v>
      </c>
      <c r="Z17" s="1461">
        <f t="shared" si="0"/>
        <v>1.0738000000000001</v>
      </c>
      <c r="AA17" s="1461">
        <f>ROUND(SUMPRODUCT(PRODUCT(1+P17:P$23)),4)</f>
        <v>1.0855999999999999</v>
      </c>
      <c r="AB17" s="1461">
        <f>ROUND(SUMPRODUCT(PRODUCT(1+Q17:Q$23)),4)</f>
        <v>1.0837000000000001</v>
      </c>
      <c r="AD17" s="1462">
        <f>ROUND(AVERAGE(I17:I$24)/100,4)</f>
        <v>1.37E-2</v>
      </c>
      <c r="AE17" s="1462">
        <f>ROUND(AVERAGE(J17:J$24)/100,4)</f>
        <v>1.1900000000000001E-2</v>
      </c>
      <c r="AF17" s="1462">
        <f t="shared" si="1"/>
        <v>1.1900000000000001E-2</v>
      </c>
      <c r="AG17" s="1462">
        <f>ROUND(AVERAGE(K17:K$24)/100,4)</f>
        <v>1.4500000000000001E-2</v>
      </c>
      <c r="AH17" s="1462">
        <f>ROUND(AVERAGE(L17:L$24)/100,4)</f>
        <v>1.18E-2</v>
      </c>
    </row>
    <row r="18" spans="1:34">
      <c r="A18" s="1463" t="s">
        <v>150</v>
      </c>
      <c r="B18" s="1479">
        <f t="shared" ref="B18:C20" si="67">B17/(1+N17)</f>
        <v>327.65915576109415</v>
      </c>
      <c r="C18" s="1479">
        <f t="shared" si="67"/>
        <v>273.95905449510434</v>
      </c>
      <c r="D18" s="1479">
        <f t="shared" si="64"/>
        <v>273.95905449510434</v>
      </c>
      <c r="E18" s="1479">
        <f t="shared" ref="E18:F20" si="68">E17/(1+P17)</f>
        <v>451.01699911565294</v>
      </c>
      <c r="F18" s="1479">
        <f t="shared" si="68"/>
        <v>244.38119540681129</v>
      </c>
      <c r="G18" s="3418"/>
      <c r="H18" s="1489">
        <v>3</v>
      </c>
      <c r="I18" s="1489">
        <v>1.65</v>
      </c>
      <c r="J18" s="1489">
        <v>0.92</v>
      </c>
      <c r="K18" s="1489">
        <v>1.88</v>
      </c>
      <c r="L18" s="1490">
        <v>1.26</v>
      </c>
      <c r="N18" s="1474">
        <f t="shared" si="66"/>
        <v>1.6500000000000001E-2</v>
      </c>
      <c r="O18" s="1491">
        <f t="shared" si="61"/>
        <v>9.1999999999999998E-3</v>
      </c>
      <c r="P18" s="1491">
        <f t="shared" si="61"/>
        <v>1.8799999999999997E-2</v>
      </c>
      <c r="Q18" s="1491">
        <f t="shared" si="61"/>
        <v>1.26E-2</v>
      </c>
      <c r="R18" s="1476"/>
      <c r="S18" s="1474"/>
      <c r="T18" s="1475"/>
      <c r="U18" s="1475"/>
      <c r="V18" s="1475"/>
      <c r="X18" s="1461">
        <f>ROUND(SUMPRODUCT(PRODUCT(1+N18:N$23)),4)</f>
        <v>1.0651999999999999</v>
      </c>
      <c r="Y18" s="1461">
        <f>ROUND(SUMPRODUCT(PRODUCT(1+O18:O$23)),4)</f>
        <v>1.0621</v>
      </c>
      <c r="Z18" s="1461">
        <f t="shared" si="0"/>
        <v>1.0621</v>
      </c>
      <c r="AA18" s="1461">
        <f>ROUND(SUMPRODUCT(PRODUCT(1+P18:P$23)),4)</f>
        <v>1.0668</v>
      </c>
      <c r="AB18" s="1461">
        <f>ROUND(SUMPRODUCT(PRODUCT(1+Q18:Q$23)),4)</f>
        <v>1.0636000000000001</v>
      </c>
      <c r="AD18" s="1462">
        <f>ROUND(AVERAGE(I18:I$24)/100,4)</f>
        <v>1.3299999999999999E-2</v>
      </c>
      <c r="AE18" s="1462">
        <f>ROUND(AVERAGE(J18:J$24)/100,4)</f>
        <v>1.2E-2</v>
      </c>
      <c r="AF18" s="1462">
        <f t="shared" si="1"/>
        <v>1.2E-2</v>
      </c>
      <c r="AG18" s="1462">
        <f>ROUND(AVERAGE(K18:K$24)/100,4)</f>
        <v>1.4E-2</v>
      </c>
      <c r="AH18" s="1462">
        <f>ROUND(AVERAGE(L18:L$24)/100,4)</f>
        <v>1.0800000000000001E-2</v>
      </c>
    </row>
    <row r="19" spans="1:34">
      <c r="A19" s="1463" t="s">
        <v>149</v>
      </c>
      <c r="B19" s="1479">
        <f t="shared" si="67"/>
        <v>322.34053690220776</v>
      </c>
      <c r="C19" s="1479">
        <f t="shared" si="67"/>
        <v>271.46160770422546</v>
      </c>
      <c r="D19" s="1479">
        <f t="shared" si="64"/>
        <v>271.46160770422546</v>
      </c>
      <c r="E19" s="1479">
        <f t="shared" si="68"/>
        <v>442.69434542172456</v>
      </c>
      <c r="F19" s="1479">
        <f t="shared" si="68"/>
        <v>241.34030753190925</v>
      </c>
      <c r="G19" s="3418"/>
      <c r="H19" s="1467">
        <v>2</v>
      </c>
      <c r="I19" s="1467">
        <v>0.77</v>
      </c>
      <c r="J19" s="1467">
        <v>0.69</v>
      </c>
      <c r="K19" s="1467">
        <v>0.8</v>
      </c>
      <c r="L19" s="1481">
        <v>0.88</v>
      </c>
      <c r="N19" s="1474">
        <f t="shared" si="66"/>
        <v>7.7000000000000002E-3</v>
      </c>
      <c r="O19" s="1491">
        <f t="shared" si="61"/>
        <v>6.8999999999999999E-3</v>
      </c>
      <c r="P19" s="1491">
        <f t="shared" si="61"/>
        <v>8.0000000000000002E-3</v>
      </c>
      <c r="Q19" s="1491">
        <f t="shared" si="61"/>
        <v>8.8000000000000005E-3</v>
      </c>
      <c r="R19" s="1476"/>
      <c r="S19" s="1474"/>
      <c r="T19" s="1475"/>
      <c r="U19" s="1475"/>
      <c r="V19" s="1475"/>
      <c r="X19" s="1461">
        <f>ROUND(SUMPRODUCT(PRODUCT(1+N19:N$23)),4)</f>
        <v>1.048</v>
      </c>
      <c r="Y19" s="1461">
        <f>ROUND(SUMPRODUCT(PRODUCT(1+O19:O$23)),4)</f>
        <v>1.0524</v>
      </c>
      <c r="Z19" s="1461">
        <f t="shared" si="0"/>
        <v>1.0524</v>
      </c>
      <c r="AA19" s="1461">
        <f>ROUND(SUMPRODUCT(PRODUCT(1+P19:P$23)),4)</f>
        <v>1.0470999999999999</v>
      </c>
      <c r="AB19" s="1461">
        <f>ROUND(SUMPRODUCT(PRODUCT(1+Q19:Q$23)),4)</f>
        <v>1.0504</v>
      </c>
      <c r="AD19" s="1462">
        <f>ROUND(AVERAGE(I19:I$24)/100,4)</f>
        <v>1.2800000000000001E-2</v>
      </c>
      <c r="AE19" s="1462">
        <f>ROUND(AVERAGE(J19:J$24)/100,4)</f>
        <v>1.2500000000000001E-2</v>
      </c>
      <c r="AF19" s="1462">
        <f t="shared" si="1"/>
        <v>1.2500000000000001E-2</v>
      </c>
      <c r="AG19" s="1462">
        <f>ROUND(AVERAGE(K19:K$24)/100,4)</f>
        <v>1.32E-2</v>
      </c>
      <c r="AH19" s="1462">
        <f>ROUND(AVERAGE(L19:L$24)/100,4)</f>
        <v>1.0500000000000001E-2</v>
      </c>
    </row>
    <row r="20" spans="1:34">
      <c r="A20" s="1463" t="s">
        <v>148</v>
      </c>
      <c r="B20" s="1479">
        <f t="shared" si="67"/>
        <v>319.87748030386797</v>
      </c>
      <c r="C20" s="1479">
        <f t="shared" si="67"/>
        <v>269.60135833173649</v>
      </c>
      <c r="D20" s="1479">
        <f t="shared" si="64"/>
        <v>269.60135833173649</v>
      </c>
      <c r="E20" s="1479">
        <f t="shared" si="68"/>
        <v>439.18089823583784</v>
      </c>
      <c r="F20" s="1479">
        <f t="shared" si="68"/>
        <v>239.23503918706311</v>
      </c>
      <c r="G20" s="3419"/>
      <c r="H20" s="1466">
        <v>1</v>
      </c>
      <c r="I20" s="1466">
        <v>0.51</v>
      </c>
      <c r="J20" s="1466">
        <v>0.54</v>
      </c>
      <c r="K20" s="1466">
        <v>0.48</v>
      </c>
      <c r="L20" s="1480">
        <v>0.93</v>
      </c>
      <c r="N20" s="1482">
        <f t="shared" si="66"/>
        <v>5.1000000000000004E-3</v>
      </c>
      <c r="O20" s="1483">
        <f t="shared" si="61"/>
        <v>5.4000000000000003E-3</v>
      </c>
      <c r="P20" s="1483">
        <f t="shared" si="61"/>
        <v>4.7999999999999996E-3</v>
      </c>
      <c r="Q20" s="1483">
        <f t="shared" si="61"/>
        <v>9.300000000000001E-3</v>
      </c>
      <c r="R20" s="1476"/>
      <c r="S20" s="1482">
        <f>B20/B21-1</f>
        <v>5.9040261127922822E-3</v>
      </c>
      <c r="T20" s="1483">
        <f>C20/C21-1</f>
        <v>5.9752176557332781E-3</v>
      </c>
      <c r="U20" s="1483">
        <f>E20/E21-1</f>
        <v>4.9906138119859556E-3</v>
      </c>
      <c r="V20" s="1483">
        <f>F20/F21-1</f>
        <v>9.4305450930933787E-3</v>
      </c>
      <c r="X20" s="1461">
        <f>ROUND(SUMPRODUCT(PRODUCT(1+N20:N$23)),4)</f>
        <v>1.0399</v>
      </c>
      <c r="Y20" s="1461">
        <f>ROUND(SUMPRODUCT(PRODUCT(1+O20:O$23)),4)</f>
        <v>1.0451999999999999</v>
      </c>
      <c r="Z20" s="1461">
        <f t="shared" si="0"/>
        <v>1.0451999999999999</v>
      </c>
      <c r="AA20" s="1461">
        <f>ROUND(SUMPRODUCT(PRODUCT(1+P20:P$23)),4)</f>
        <v>1.0387999999999999</v>
      </c>
      <c r="AB20" s="1461">
        <f>ROUND(SUMPRODUCT(PRODUCT(1+Q20:Q$23)),4)</f>
        <v>1.0411999999999999</v>
      </c>
      <c r="AD20" s="1462">
        <f>ROUND(AVERAGE(I20:I$24)/100,4)</f>
        <v>1.38E-2</v>
      </c>
      <c r="AE20" s="1462">
        <f>ROUND(AVERAGE(J20:J$24)/100,4)</f>
        <v>1.3599999999999999E-2</v>
      </c>
      <c r="AF20" s="1462">
        <f t="shared" si="1"/>
        <v>1.3599999999999999E-2</v>
      </c>
      <c r="AG20" s="1462">
        <f>ROUND(AVERAGE(K20:K$24)/100,4)</f>
        <v>1.4200000000000001E-2</v>
      </c>
      <c r="AH20" s="1462">
        <f>ROUND(AVERAGE(L20:L$24)/100,4)</f>
        <v>1.0800000000000001E-2</v>
      </c>
    </row>
    <row r="21" spans="1:34" ht="13.5" thickBot="1">
      <c r="A21" s="1463" t="s">
        <v>147</v>
      </c>
      <c r="B21" s="1492">
        <v>318</v>
      </c>
      <c r="C21" s="1492">
        <v>268</v>
      </c>
      <c r="D21" s="1492">
        <f t="shared" si="64"/>
        <v>268</v>
      </c>
      <c r="E21" s="1492">
        <v>437</v>
      </c>
      <c r="F21" s="1493">
        <v>237</v>
      </c>
      <c r="G21" s="3417">
        <v>2014</v>
      </c>
      <c r="H21" s="1484">
        <v>4</v>
      </c>
      <c r="I21" s="1484">
        <v>0.21</v>
      </c>
      <c r="J21" s="1484">
        <v>0.41</v>
      </c>
      <c r="K21" s="1484">
        <v>0.12</v>
      </c>
      <c r="L21" s="1485">
        <v>0.89</v>
      </c>
      <c r="N21" s="1474">
        <f t="shared" si="66"/>
        <v>2.0999999999999999E-3</v>
      </c>
      <c r="O21" s="1475">
        <f t="shared" si="61"/>
        <v>4.0999999999999995E-3</v>
      </c>
      <c r="P21" s="1475">
        <f t="shared" si="61"/>
        <v>1.1999999999999999E-3</v>
      </c>
      <c r="Q21" s="1475">
        <f t="shared" si="61"/>
        <v>8.8999999999999999E-3</v>
      </c>
      <c r="R21" s="1476"/>
      <c r="S21" s="1477"/>
      <c r="T21" s="1478"/>
      <c r="U21" s="1478"/>
      <c r="V21" s="1478"/>
      <c r="X21" s="1461">
        <f>ROUND(SUMPRODUCT(PRODUCT(1+N21:N$23)),4)</f>
        <v>1.0347</v>
      </c>
      <c r="Y21" s="1461">
        <f>ROUND(SUMPRODUCT(PRODUCT(1+O21:O$23)),4)</f>
        <v>1.0395000000000001</v>
      </c>
      <c r="Z21" s="1461">
        <f t="shared" si="0"/>
        <v>1.0395000000000001</v>
      </c>
      <c r="AA21" s="1461">
        <f>ROUND(SUMPRODUCT(PRODUCT(1+P21:P$23)),4)</f>
        <v>1.0338000000000001</v>
      </c>
      <c r="AB21" s="1461">
        <f>ROUND(SUMPRODUCT(PRODUCT(1+Q21:Q$23)),4)</f>
        <v>1.0316000000000001</v>
      </c>
      <c r="AD21" s="1462">
        <f>ROUND(AVERAGE(I21:I$24)/100,4)</f>
        <v>1.6E-2</v>
      </c>
      <c r="AE21" s="1462">
        <f>ROUND(AVERAGE(J21:J$24)/100,4)</f>
        <v>1.5599999999999999E-2</v>
      </c>
      <c r="AF21" s="1462">
        <f t="shared" si="1"/>
        <v>1.5599999999999999E-2</v>
      </c>
      <c r="AG21" s="1462">
        <f>ROUND(AVERAGE(K21:K$24)/100,4)</f>
        <v>1.66E-2</v>
      </c>
      <c r="AH21" s="1462">
        <f>ROUND(AVERAGE(L21:L$24)/100,4)</f>
        <v>1.12E-2</v>
      </c>
    </row>
    <row r="22" spans="1:34">
      <c r="A22" s="1463" t="s">
        <v>146</v>
      </c>
      <c r="B22" s="1479">
        <f t="shared" ref="B22:C24" si="69">B21/(1+N21)</f>
        <v>317.33359944117353</v>
      </c>
      <c r="C22" s="1479">
        <f t="shared" si="69"/>
        <v>266.90568668459315</v>
      </c>
      <c r="D22" s="1479">
        <f t="shared" si="64"/>
        <v>266.90568668459315</v>
      </c>
      <c r="E22" s="1479">
        <f t="shared" ref="E22:F24" si="70">E21/(1+P21)</f>
        <v>436.47622852576905</v>
      </c>
      <c r="F22" s="1479">
        <f t="shared" si="70"/>
        <v>234.90930716622066</v>
      </c>
      <c r="G22" s="3418"/>
      <c r="H22" s="1494">
        <v>3</v>
      </c>
      <c r="I22" s="1494">
        <v>0.83</v>
      </c>
      <c r="J22" s="1494">
        <v>1.47</v>
      </c>
      <c r="K22" s="1494">
        <v>0.65</v>
      </c>
      <c r="L22" s="1495">
        <v>0.72</v>
      </c>
      <c r="N22" s="1474">
        <f t="shared" si="66"/>
        <v>8.3000000000000001E-3</v>
      </c>
      <c r="O22" s="1475">
        <f t="shared" si="61"/>
        <v>1.47E-2</v>
      </c>
      <c r="P22" s="1475">
        <f t="shared" si="61"/>
        <v>6.5000000000000006E-3</v>
      </c>
      <c r="Q22" s="1475">
        <f t="shared" si="61"/>
        <v>7.1999999999999998E-3</v>
      </c>
      <c r="R22" s="1476"/>
      <c r="S22" s="1474"/>
      <c r="T22" s="1475"/>
      <c r="U22" s="1475"/>
      <c r="V22" s="1475"/>
      <c r="X22" s="1461">
        <f>ROUND(SUMPRODUCT(PRODUCT(1+N22:N$23)),4)</f>
        <v>1.0325</v>
      </c>
      <c r="Y22" s="1461">
        <f>ROUND(SUMPRODUCT(PRODUCT(1+O22:O$23)),4)</f>
        <v>1.0353000000000001</v>
      </c>
      <c r="Z22" s="1461">
        <f t="shared" ref="Z22:Z23" si="71">Y22</f>
        <v>1.0353000000000001</v>
      </c>
      <c r="AA22" s="1461">
        <f>ROUND(SUMPRODUCT(PRODUCT(1+P22:P$23)),4)</f>
        <v>1.0326</v>
      </c>
      <c r="AB22" s="1461">
        <f>ROUND(SUMPRODUCT(PRODUCT(1+Q22:Q$23)),4)</f>
        <v>1.0225</v>
      </c>
      <c r="AD22" s="1462">
        <f>ROUND(AVERAGE(I22:I$24)/100,4)</f>
        <v>2.07E-2</v>
      </c>
      <c r="AE22" s="1462">
        <f>ROUND(AVERAGE(J22:J$24)/100,4)</f>
        <v>1.95E-2</v>
      </c>
      <c r="AF22" s="1462">
        <f t="shared" si="1"/>
        <v>1.95E-2</v>
      </c>
      <c r="AG22" s="1462">
        <f>ROUND(AVERAGE(K22:K$24)/100,4)</f>
        <v>2.1700000000000001E-2</v>
      </c>
      <c r="AH22" s="1462">
        <f>ROUND(AVERAGE(L22:L$24)/100,4)</f>
        <v>1.2E-2</v>
      </c>
    </row>
    <row r="23" spans="1:34" ht="13.5" thickBot="1">
      <c r="A23" s="1463" t="s">
        <v>145</v>
      </c>
      <c r="B23" s="1479">
        <f t="shared" si="69"/>
        <v>314.72141172386546</v>
      </c>
      <c r="C23" s="1479">
        <f t="shared" si="69"/>
        <v>263.03901319069001</v>
      </c>
      <c r="D23" s="1479">
        <f t="shared" si="64"/>
        <v>263.03901319069001</v>
      </c>
      <c r="E23" s="1479">
        <f t="shared" si="70"/>
        <v>433.65745506782821</v>
      </c>
      <c r="F23" s="1479">
        <f t="shared" si="70"/>
        <v>233.23005080045735</v>
      </c>
      <c r="G23" s="3418"/>
      <c r="H23" s="1484">
        <v>2</v>
      </c>
      <c r="I23" s="1484">
        <v>2.4</v>
      </c>
      <c r="J23" s="1484">
        <v>2.0299999999999998</v>
      </c>
      <c r="K23" s="1484">
        <v>2.59</v>
      </c>
      <c r="L23" s="1485">
        <v>1.52</v>
      </c>
      <c r="N23" s="1474">
        <f t="shared" si="66"/>
        <v>2.4E-2</v>
      </c>
      <c r="O23" s="1475">
        <f t="shared" si="61"/>
        <v>2.0299999999999999E-2</v>
      </c>
      <c r="P23" s="1475">
        <f t="shared" si="61"/>
        <v>2.5899999999999999E-2</v>
      </c>
      <c r="Q23" s="1475">
        <f t="shared" si="61"/>
        <v>1.52E-2</v>
      </c>
      <c r="R23" s="1476"/>
      <c r="S23" s="1474"/>
      <c r="T23" s="1475"/>
      <c r="U23" s="1475"/>
      <c r="V23" s="1475"/>
      <c r="X23" s="1461">
        <f>1+N23</f>
        <v>1.024</v>
      </c>
      <c r="Y23" s="1461">
        <f>1+O23</f>
        <v>1.0203</v>
      </c>
      <c r="Z23" s="1461">
        <f t="shared" si="71"/>
        <v>1.0203</v>
      </c>
      <c r="AA23" s="1461">
        <f>1+P23</f>
        <v>1.0259</v>
      </c>
      <c r="AB23" s="1461">
        <f>1+Q23</f>
        <v>1.0152000000000001</v>
      </c>
      <c r="AD23" s="1462">
        <f>ROUND(AVERAGE(I23:I$24)/100,4)</f>
        <v>2.69E-2</v>
      </c>
      <c r="AE23" s="1462">
        <f>ROUND(AVERAGE(J23:J$24)/100,4)</f>
        <v>2.1899999999999999E-2</v>
      </c>
      <c r="AF23" s="1462">
        <f t="shared" ref="AF23" si="72">AE23</f>
        <v>2.1899999999999999E-2</v>
      </c>
      <c r="AG23" s="1462">
        <f>ROUND(AVERAGE(K23:K$24)/100,4)</f>
        <v>2.9399999999999999E-2</v>
      </c>
      <c r="AH23" s="1462">
        <f>ROUND(AVERAGE(L23:L$24)/100,4)</f>
        <v>1.44E-2</v>
      </c>
    </row>
    <row r="24" spans="1:34" s="1500" customFormat="1" ht="13.5" thickBot="1">
      <c r="A24" s="1496" t="s">
        <v>144</v>
      </c>
      <c r="B24" s="1497">
        <f t="shared" si="69"/>
        <v>307.34512863658733</v>
      </c>
      <c r="C24" s="1497">
        <f t="shared" si="69"/>
        <v>257.80556031626975</v>
      </c>
      <c r="D24" s="1497">
        <f t="shared" si="64"/>
        <v>257.80556031626975</v>
      </c>
      <c r="E24" s="1497">
        <f t="shared" si="70"/>
        <v>422.70928459677179</v>
      </c>
      <c r="F24" s="1497">
        <f t="shared" si="70"/>
        <v>229.73803270336617</v>
      </c>
      <c r="G24" s="3419"/>
      <c r="H24" s="1498">
        <v>1</v>
      </c>
      <c r="I24" s="1498">
        <v>2.97</v>
      </c>
      <c r="J24" s="1498">
        <v>2.34</v>
      </c>
      <c r="K24" s="1498">
        <v>3.28</v>
      </c>
      <c r="L24" s="1499">
        <v>1.36</v>
      </c>
      <c r="N24" s="1501">
        <f t="shared" si="66"/>
        <v>2.9700000000000001E-2</v>
      </c>
      <c r="O24" s="1502">
        <f t="shared" si="61"/>
        <v>2.3399999999999997E-2</v>
      </c>
      <c r="P24" s="1502">
        <f t="shared" si="61"/>
        <v>3.2799999999999996E-2</v>
      </c>
      <c r="Q24" s="1502">
        <f t="shared" si="61"/>
        <v>1.3600000000000001E-2</v>
      </c>
      <c r="R24" s="1503"/>
      <c r="S24" s="1504">
        <f>B24/B25-1</f>
        <v>2.7910129219355539E-2</v>
      </c>
      <c r="T24" s="1505">
        <f>C24/C25-1</f>
        <v>2.3037937762975247E-2</v>
      </c>
      <c r="U24" s="1505">
        <f>E24/E25-1</f>
        <v>3.3519033243940788E-2</v>
      </c>
      <c r="V24" s="1505">
        <f>F24/F25-1</f>
        <v>1.2061818076502862E-2</v>
      </c>
      <c r="W24" s="1506" t="s">
        <v>1162</v>
      </c>
      <c r="X24" s="1507">
        <v>1</v>
      </c>
      <c r="Y24" s="1507">
        <v>1</v>
      </c>
      <c r="Z24" s="1507">
        <v>1</v>
      </c>
      <c r="AA24" s="1507">
        <v>1</v>
      </c>
      <c r="AB24" s="1507">
        <v>1</v>
      </c>
      <c r="AD24" s="1729">
        <f>I24/100</f>
        <v>2.9700000000000001E-2</v>
      </c>
      <c r="AE24" s="1729">
        <f>J24/100</f>
        <v>2.3399999999999997E-2</v>
      </c>
      <c r="AF24" s="1729">
        <f>AE24</f>
        <v>2.3399999999999997E-2</v>
      </c>
      <c r="AG24" s="1729">
        <f>K24/100</f>
        <v>3.2799999999999996E-2</v>
      </c>
      <c r="AH24" s="1729">
        <f>L24/100</f>
        <v>1.3600000000000001E-2</v>
      </c>
    </row>
    <row r="25" spans="1:34" ht="13.5" thickBot="1">
      <c r="A25" s="1463" t="s">
        <v>1163</v>
      </c>
      <c r="B25" s="1471">
        <v>299</v>
      </c>
      <c r="C25" s="1471">
        <v>252</v>
      </c>
      <c r="D25" s="1471">
        <f t="shared" si="64"/>
        <v>252</v>
      </c>
      <c r="E25" s="1471">
        <v>409</v>
      </c>
      <c r="F25" s="1472">
        <v>227</v>
      </c>
      <c r="G25" s="3424">
        <v>2013</v>
      </c>
      <c r="H25" s="1508">
        <v>4</v>
      </c>
      <c r="I25" s="1508">
        <v>1.83</v>
      </c>
      <c r="J25" s="1508">
        <v>1.68</v>
      </c>
      <c r="K25" s="1508">
        <v>1.97</v>
      </c>
      <c r="L25" s="1509">
        <v>0.87</v>
      </c>
      <c r="N25" s="1486">
        <f t="shared" si="66"/>
        <v>1.83E-2</v>
      </c>
      <c r="O25" s="1487">
        <f t="shared" si="61"/>
        <v>1.6799999999999999E-2</v>
      </c>
      <c r="P25" s="1487">
        <f t="shared" si="61"/>
        <v>1.9699999999999999E-2</v>
      </c>
      <c r="Q25" s="1487">
        <f t="shared" si="61"/>
        <v>8.6999999999999994E-3</v>
      </c>
      <c r="R25" s="1476"/>
      <c r="S25" s="1477"/>
      <c r="T25" s="1478"/>
      <c r="U25" s="1478"/>
      <c r="V25" s="1478"/>
      <c r="X25" s="1478"/>
      <c r="Y25" s="1478"/>
      <c r="Z25" s="1478"/>
    </row>
    <row r="26" spans="1:34">
      <c r="A26" s="1463" t="s">
        <v>1164</v>
      </c>
      <c r="B26" s="1479">
        <f t="shared" ref="B26:C28" si="73">B25/(1+N25)</f>
        <v>293.62663262299913</v>
      </c>
      <c r="C26" s="1479">
        <f t="shared" si="73"/>
        <v>247.83634933123525</v>
      </c>
      <c r="D26" s="1479">
        <f t="shared" si="64"/>
        <v>247.83634933123525</v>
      </c>
      <c r="E26" s="1479">
        <f t="shared" ref="E26:F28" si="74">E25/(1+P25)</f>
        <v>401.09836226341076</v>
      </c>
      <c r="F26" s="1479">
        <f t="shared" si="74"/>
        <v>225.04213343908003</v>
      </c>
      <c r="G26" s="3425"/>
      <c r="H26" s="1489">
        <v>3</v>
      </c>
      <c r="I26" s="1489">
        <v>1.86</v>
      </c>
      <c r="J26" s="1489">
        <v>1.72</v>
      </c>
      <c r="K26" s="1489">
        <v>1.98</v>
      </c>
      <c r="L26" s="1490">
        <v>0.88</v>
      </c>
      <c r="N26" s="1474">
        <f t="shared" si="66"/>
        <v>1.8600000000000002E-2</v>
      </c>
      <c r="O26" s="1491">
        <f t="shared" si="61"/>
        <v>1.72E-2</v>
      </c>
      <c r="P26" s="1491">
        <f t="shared" si="61"/>
        <v>1.9799999999999998E-2</v>
      </c>
      <c r="Q26" s="1491">
        <f t="shared" si="61"/>
        <v>8.8000000000000005E-3</v>
      </c>
      <c r="R26" s="1476"/>
      <c r="S26" s="1474"/>
      <c r="T26" s="1475"/>
      <c r="U26" s="1475"/>
      <c r="V26" s="1475"/>
    </row>
    <row r="27" spans="1:34">
      <c r="A27" s="1463" t="s">
        <v>1165</v>
      </c>
      <c r="B27" s="1479">
        <f t="shared" si="73"/>
        <v>288.2649053828776</v>
      </c>
      <c r="C27" s="1479">
        <f t="shared" si="73"/>
        <v>243.64564425013293</v>
      </c>
      <c r="D27" s="1479">
        <f t="shared" si="64"/>
        <v>243.64564425013293</v>
      </c>
      <c r="E27" s="1479">
        <f t="shared" si="74"/>
        <v>393.31080825986544</v>
      </c>
      <c r="F27" s="1479">
        <f t="shared" si="74"/>
        <v>223.07903790551154</v>
      </c>
      <c r="G27" s="3425"/>
      <c r="H27" s="1467">
        <v>2</v>
      </c>
      <c r="I27" s="1467">
        <v>2.04</v>
      </c>
      <c r="J27" s="1467">
        <v>2.33</v>
      </c>
      <c r="K27" s="1467">
        <v>2.0699999999999998</v>
      </c>
      <c r="L27" s="1481">
        <v>0.69</v>
      </c>
      <c r="N27" s="1474">
        <f t="shared" si="66"/>
        <v>2.0400000000000001E-2</v>
      </c>
      <c r="O27" s="1491">
        <f t="shared" si="61"/>
        <v>2.3300000000000001E-2</v>
      </c>
      <c r="P27" s="1491">
        <f t="shared" si="61"/>
        <v>2.07E-2</v>
      </c>
      <c r="Q27" s="1491">
        <f t="shared" si="61"/>
        <v>6.8999999999999999E-3</v>
      </c>
      <c r="R27" s="1476"/>
      <c r="S27" s="1474"/>
      <c r="T27" s="1475"/>
      <c r="U27" s="1475"/>
      <c r="V27" s="1475"/>
      <c r="X27" s="1510"/>
      <c r="Y27" s="1511"/>
    </row>
    <row r="28" spans="1:34">
      <c r="A28" s="1463" t="s">
        <v>1166</v>
      </c>
      <c r="B28" s="1479">
        <f t="shared" si="73"/>
        <v>282.50186729015837</v>
      </c>
      <c r="C28" s="1479">
        <f t="shared" si="73"/>
        <v>238.09796174155468</v>
      </c>
      <c r="D28" s="1479">
        <f t="shared" si="64"/>
        <v>238.09796174155468</v>
      </c>
      <c r="E28" s="1479">
        <f t="shared" si="74"/>
        <v>385.33438646014054</v>
      </c>
      <c r="F28" s="1479">
        <f t="shared" si="74"/>
        <v>221.55034055567739</v>
      </c>
      <c r="G28" s="3426"/>
      <c r="H28" s="1466">
        <v>1</v>
      </c>
      <c r="I28" s="1466">
        <v>1.67</v>
      </c>
      <c r="J28" s="1466">
        <v>1.31</v>
      </c>
      <c r="K28" s="1466">
        <v>1.85</v>
      </c>
      <c r="L28" s="1480">
        <v>0.96</v>
      </c>
      <c r="N28" s="1482">
        <f t="shared" si="66"/>
        <v>1.67E-2</v>
      </c>
      <c r="O28" s="1483">
        <f t="shared" si="66"/>
        <v>1.3100000000000001E-2</v>
      </c>
      <c r="P28" s="1483">
        <f t="shared" si="66"/>
        <v>1.8500000000000003E-2</v>
      </c>
      <c r="Q28" s="1483">
        <f t="shared" si="66"/>
        <v>9.5999999999999992E-3</v>
      </c>
      <c r="R28" s="1476"/>
      <c r="S28" s="1482">
        <f>B28/B29-1</f>
        <v>1.6193767230785472E-2</v>
      </c>
      <c r="T28" s="1483">
        <f>C28/C29-1</f>
        <v>1.7512657015190891E-2</v>
      </c>
      <c r="U28" s="1483">
        <f>E28/E29-1</f>
        <v>1.6713420739157048E-2</v>
      </c>
      <c r="V28" s="1483">
        <f>F28/F29-1</f>
        <v>7.0470025258062563E-3</v>
      </c>
      <c r="X28" s="1512"/>
      <c r="Y28" s="1462"/>
      <c r="Z28" s="1462"/>
    </row>
    <row r="29" spans="1:34" ht="13.5" thickBot="1">
      <c r="A29" s="1463" t="s">
        <v>1167</v>
      </c>
      <c r="B29" s="1513">
        <v>278</v>
      </c>
      <c r="C29" s="1513">
        <v>234</v>
      </c>
      <c r="D29" s="1513">
        <f t="shared" si="64"/>
        <v>234</v>
      </c>
      <c r="E29" s="1513">
        <v>379</v>
      </c>
      <c r="F29" s="1514">
        <v>220</v>
      </c>
      <c r="G29" s="3417">
        <v>2012</v>
      </c>
      <c r="H29" s="1484">
        <v>4</v>
      </c>
      <c r="I29" s="1484">
        <v>0.91</v>
      </c>
      <c r="J29" s="1484">
        <v>0.68</v>
      </c>
      <c r="K29" s="1484">
        <v>0.98</v>
      </c>
      <c r="L29" s="1485">
        <v>0.9</v>
      </c>
      <c r="N29" s="1474">
        <f t="shared" si="66"/>
        <v>9.1000000000000004E-3</v>
      </c>
      <c r="O29" s="1475">
        <f t="shared" si="66"/>
        <v>6.8000000000000005E-3</v>
      </c>
      <c r="P29" s="1475">
        <f t="shared" si="66"/>
        <v>9.7999999999999997E-3</v>
      </c>
      <c r="Q29" s="1475">
        <f t="shared" si="66"/>
        <v>9.0000000000000011E-3</v>
      </c>
      <c r="R29" s="1476"/>
      <c r="S29" s="1477"/>
      <c r="T29" s="1478"/>
      <c r="U29" s="1478"/>
      <c r="V29" s="1478"/>
      <c r="X29" s="1478"/>
      <c r="Y29" s="1478"/>
      <c r="Z29" s="1478"/>
    </row>
    <row r="30" spans="1:34">
      <c r="A30" s="1463" t="s">
        <v>1168</v>
      </c>
      <c r="B30" s="1479">
        <f>B29/(1+N29)</f>
        <v>275.49301357645425</v>
      </c>
      <c r="C30" s="1479">
        <f>C29/(1+O29)</f>
        <v>232.41954707985698</v>
      </c>
      <c r="D30" s="1479">
        <f t="shared" si="64"/>
        <v>232.41954707985698</v>
      </c>
      <c r="E30" s="1479">
        <f t="shared" ref="E30:F32" si="75">E29/(1+P29)</f>
        <v>375.32184591008121</v>
      </c>
      <c r="F30" s="1479">
        <f t="shared" si="75"/>
        <v>218.03766105054513</v>
      </c>
      <c r="G30" s="3418"/>
      <c r="H30" s="1489">
        <v>3</v>
      </c>
      <c r="I30" s="1489">
        <v>0.09</v>
      </c>
      <c r="J30" s="1489">
        <v>0.28999999999999998</v>
      </c>
      <c r="K30" s="1489">
        <v>-0.01</v>
      </c>
      <c r="L30" s="1490">
        <v>0.57999999999999996</v>
      </c>
      <c r="N30" s="1474">
        <f t="shared" si="66"/>
        <v>8.9999999999999998E-4</v>
      </c>
      <c r="O30" s="1475">
        <f t="shared" si="66"/>
        <v>2.8999999999999998E-3</v>
      </c>
      <c r="P30" s="1475">
        <f t="shared" si="66"/>
        <v>-1E-4</v>
      </c>
      <c r="Q30" s="1475">
        <f t="shared" si="66"/>
        <v>5.7999999999999996E-3</v>
      </c>
      <c r="R30" s="1476"/>
      <c r="S30" s="1474"/>
      <c r="T30" s="1475"/>
      <c r="U30" s="1475"/>
      <c r="V30" s="1475"/>
    </row>
    <row r="31" spans="1:34">
      <c r="A31" s="1463" t="s">
        <v>1169</v>
      </c>
      <c r="B31" s="1479">
        <f>B30/(1+N30)</f>
        <v>275.24529281292263</v>
      </c>
      <c r="C31" s="1479">
        <f>C30/(1+O30)</f>
        <v>231.74747938962707</v>
      </c>
      <c r="D31" s="1479">
        <f t="shared" si="64"/>
        <v>231.74747938962707</v>
      </c>
      <c r="E31" s="1479">
        <f t="shared" si="75"/>
        <v>375.35938184826603</v>
      </c>
      <c r="F31" s="1479">
        <f t="shared" si="75"/>
        <v>216.78033510692495</v>
      </c>
      <c r="G31" s="3418"/>
      <c r="H31" s="1467">
        <v>2</v>
      </c>
      <c r="I31" s="1467">
        <v>0.02</v>
      </c>
      <c r="J31" s="1467">
        <v>0.12</v>
      </c>
      <c r="K31" s="1467">
        <v>-0.08</v>
      </c>
      <c r="L31" s="1481">
        <v>1.24</v>
      </c>
      <c r="N31" s="1474">
        <f t="shared" si="66"/>
        <v>2.0000000000000001E-4</v>
      </c>
      <c r="O31" s="1475">
        <f t="shared" si="66"/>
        <v>1.1999999999999999E-3</v>
      </c>
      <c r="P31" s="1475">
        <f t="shared" si="66"/>
        <v>-8.0000000000000004E-4</v>
      </c>
      <c r="Q31" s="1475">
        <f t="shared" si="66"/>
        <v>1.24E-2</v>
      </c>
      <c r="R31" s="1476"/>
      <c r="S31" s="1474"/>
      <c r="T31" s="1475"/>
      <c r="U31" s="1475"/>
      <c r="V31" s="1475"/>
    </row>
    <row r="32" spans="1:34" ht="13.5" thickBot="1">
      <c r="A32" s="1463" t="s">
        <v>1170</v>
      </c>
      <c r="B32" s="1479">
        <f>B31/(1+N31)</f>
        <v>275.19025476197027</v>
      </c>
      <c r="C32" s="1515">
        <v>232</v>
      </c>
      <c r="D32" s="1515">
        <f t="shared" si="64"/>
        <v>232</v>
      </c>
      <c r="E32" s="1479">
        <f t="shared" si="75"/>
        <v>375.65990977608692</v>
      </c>
      <c r="F32" s="1479">
        <f t="shared" si="75"/>
        <v>214.12518283971252</v>
      </c>
      <c r="G32" s="3419"/>
      <c r="H32" s="1466">
        <v>1</v>
      </c>
      <c r="I32" s="1466">
        <v>0.02</v>
      </c>
      <c r="J32" s="1466">
        <v>0.13</v>
      </c>
      <c r="K32" s="1466">
        <v>-0.04</v>
      </c>
      <c r="L32" s="1480">
        <v>0.46</v>
      </c>
      <c r="N32" s="1474">
        <f t="shared" si="66"/>
        <v>2.0000000000000001E-4</v>
      </c>
      <c r="O32" s="1475">
        <f t="shared" si="66"/>
        <v>1.2999999999999999E-3</v>
      </c>
      <c r="P32" s="1475">
        <f t="shared" si="66"/>
        <v>-4.0000000000000002E-4</v>
      </c>
      <c r="Q32" s="1475">
        <f t="shared" si="66"/>
        <v>4.5999999999999999E-3</v>
      </c>
      <c r="R32" s="1476"/>
      <c r="S32" s="1482">
        <f>B32/B33-1</f>
        <v>6.9183549807361189E-4</v>
      </c>
      <c r="T32" s="1483">
        <f>C32/C33-1</f>
        <v>0</v>
      </c>
      <c r="U32" s="1483">
        <f>E32/E33-1</f>
        <v>-9.0449527636460303E-4</v>
      </c>
      <c r="V32" s="1483">
        <f>F32/F33-1</f>
        <v>5.2825485432512753E-3</v>
      </c>
      <c r="X32" s="1462"/>
      <c r="Y32" s="1462"/>
      <c r="Z32" s="1462"/>
    </row>
    <row r="33" spans="1:26" ht="13.5" thickBot="1">
      <c r="A33" s="1463" t="s">
        <v>1171</v>
      </c>
      <c r="B33" s="1471">
        <v>275</v>
      </c>
      <c r="C33" s="1471">
        <v>232</v>
      </c>
      <c r="D33" s="1471">
        <f t="shared" si="64"/>
        <v>232</v>
      </c>
      <c r="E33" s="1471">
        <v>376</v>
      </c>
      <c r="F33" s="1472">
        <v>213</v>
      </c>
      <c r="G33" s="3417">
        <v>2011</v>
      </c>
      <c r="H33" s="1484">
        <v>4</v>
      </c>
      <c r="I33" s="1484">
        <v>-0.2</v>
      </c>
      <c r="J33" s="1484">
        <v>0.04</v>
      </c>
      <c r="K33" s="1484">
        <v>-0.34</v>
      </c>
      <c r="L33" s="1485">
        <v>0.46</v>
      </c>
      <c r="N33" s="1486">
        <f t="shared" si="66"/>
        <v>-2E-3</v>
      </c>
      <c r="O33" s="1487">
        <f t="shared" si="66"/>
        <v>4.0000000000000002E-4</v>
      </c>
      <c r="P33" s="1487">
        <f t="shared" si="66"/>
        <v>-3.4000000000000002E-3</v>
      </c>
      <c r="Q33" s="1487">
        <f t="shared" si="66"/>
        <v>4.5999999999999999E-3</v>
      </c>
      <c r="R33" s="1476"/>
      <c r="S33" s="1477"/>
      <c r="T33" s="1478"/>
      <c r="U33" s="1478"/>
      <c r="V33" s="1478"/>
      <c r="X33" s="1478"/>
      <c r="Y33" s="1478"/>
      <c r="Z33" s="1478"/>
    </row>
    <row r="34" spans="1:26">
      <c r="A34" s="1463" t="s">
        <v>1172</v>
      </c>
      <c r="B34" s="1479">
        <f t="shared" ref="B34:C36" si="76">B33/(1+N33)</f>
        <v>275.55110220440883</v>
      </c>
      <c r="C34" s="1479">
        <f t="shared" si="76"/>
        <v>231.90723710515795</v>
      </c>
      <c r="D34" s="1479">
        <f t="shared" si="64"/>
        <v>231.90723710515795</v>
      </c>
      <c r="E34" s="1479">
        <f t="shared" ref="E34:F36" si="77">E33/(1+P33)</f>
        <v>377.28276138872161</v>
      </c>
      <c r="F34" s="1479">
        <f t="shared" si="77"/>
        <v>212.02468644236512</v>
      </c>
      <c r="G34" s="3418">
        <v>2011</v>
      </c>
      <c r="H34" s="1489">
        <v>3</v>
      </c>
      <c r="I34" s="1489">
        <v>0.13</v>
      </c>
      <c r="J34" s="1489">
        <v>0.75</v>
      </c>
      <c r="K34" s="1489">
        <v>-0.08</v>
      </c>
      <c r="L34" s="1490">
        <v>0.53</v>
      </c>
      <c r="N34" s="1474">
        <f t="shared" si="66"/>
        <v>1.2999999999999999E-3</v>
      </c>
      <c r="O34" s="1491">
        <f t="shared" si="66"/>
        <v>7.4999999999999997E-3</v>
      </c>
      <c r="P34" s="1491">
        <f t="shared" si="66"/>
        <v>-8.0000000000000004E-4</v>
      </c>
      <c r="Q34" s="1491">
        <f t="shared" si="66"/>
        <v>5.3E-3</v>
      </c>
      <c r="R34" s="1476"/>
      <c r="S34" s="1474"/>
      <c r="T34" s="1475"/>
      <c r="U34" s="1475"/>
      <c r="V34" s="1475"/>
    </row>
    <row r="35" spans="1:26">
      <c r="A35" s="1463" t="s">
        <v>1173</v>
      </c>
      <c r="B35" s="1479">
        <f t="shared" si="76"/>
        <v>275.19335084830601</v>
      </c>
      <c r="C35" s="1479">
        <f t="shared" si="76"/>
        <v>230.18088050139744</v>
      </c>
      <c r="D35" s="1479">
        <f t="shared" si="64"/>
        <v>230.18088050139744</v>
      </c>
      <c r="E35" s="1479">
        <f t="shared" si="77"/>
        <v>377.58482925212331</v>
      </c>
      <c r="F35" s="1479">
        <f t="shared" si="77"/>
        <v>210.90687997847917</v>
      </c>
      <c r="G35" s="3418">
        <v>2011</v>
      </c>
      <c r="H35" s="1467">
        <v>2</v>
      </c>
      <c r="I35" s="1467">
        <v>-0.4</v>
      </c>
      <c r="J35" s="1467">
        <v>0.17</v>
      </c>
      <c r="K35" s="1467">
        <v>-0.57999999999999996</v>
      </c>
      <c r="L35" s="1481">
        <v>-0.2</v>
      </c>
      <c r="N35" s="1474">
        <f t="shared" si="66"/>
        <v>-4.0000000000000001E-3</v>
      </c>
      <c r="O35" s="1491">
        <f t="shared" si="66"/>
        <v>1.7000000000000001E-3</v>
      </c>
      <c r="P35" s="1491">
        <f t="shared" si="66"/>
        <v>-5.7999999999999996E-3</v>
      </c>
      <c r="Q35" s="1491">
        <f t="shared" si="66"/>
        <v>-2E-3</v>
      </c>
      <c r="R35" s="1476"/>
      <c r="S35" s="1474"/>
      <c r="T35" s="1475"/>
      <c r="U35" s="1475"/>
      <c r="V35" s="1475"/>
    </row>
    <row r="36" spans="1:26" ht="13.5" thickBot="1">
      <c r="A36" s="1463" t="s">
        <v>1174</v>
      </c>
      <c r="B36" s="1479">
        <f t="shared" si="76"/>
        <v>276.29854502841971</v>
      </c>
      <c r="C36" s="1479">
        <f t="shared" si="76"/>
        <v>229.79023709833027</v>
      </c>
      <c r="D36" s="1479">
        <f t="shared" si="64"/>
        <v>229.79023709833027</v>
      </c>
      <c r="E36" s="1479">
        <f t="shared" si="77"/>
        <v>379.78759731655936</v>
      </c>
      <c r="F36" s="1479">
        <f t="shared" si="77"/>
        <v>211.32953905659235</v>
      </c>
      <c r="G36" s="3419">
        <v>2011</v>
      </c>
      <c r="H36" s="1466">
        <v>1</v>
      </c>
      <c r="I36" s="1466">
        <v>2.65</v>
      </c>
      <c r="J36" s="1466">
        <v>3.76</v>
      </c>
      <c r="K36" s="1466">
        <v>1.89</v>
      </c>
      <c r="L36" s="1480">
        <v>7.95</v>
      </c>
      <c r="N36" s="1482">
        <f t="shared" si="66"/>
        <v>2.6499999999999999E-2</v>
      </c>
      <c r="O36" s="1483">
        <f t="shared" si="66"/>
        <v>3.7599999999999995E-2</v>
      </c>
      <c r="P36" s="1483">
        <f t="shared" si="66"/>
        <v>1.89E-2</v>
      </c>
      <c r="Q36" s="1483">
        <f t="shared" si="66"/>
        <v>7.9500000000000001E-2</v>
      </c>
      <c r="R36" s="1476"/>
      <c r="S36" s="1482">
        <f>B36/B37-1</f>
        <v>2.713213765211786E-2</v>
      </c>
      <c r="T36" s="1483">
        <f>C36/C37-1</f>
        <v>3.9774828499231862E-2</v>
      </c>
      <c r="U36" s="1483">
        <f>E36/E37-1</f>
        <v>1.8197311840641772E-2</v>
      </c>
      <c r="V36" s="1483">
        <f>F36/F37-1</f>
        <v>7.8211933962205826E-2</v>
      </c>
      <c r="X36" s="1462"/>
      <c r="Y36" s="1462"/>
      <c r="Z36" s="1462"/>
    </row>
    <row r="37" spans="1:26" ht="13.5" thickBot="1">
      <c r="A37" s="1463" t="s">
        <v>1175</v>
      </c>
      <c r="B37" s="1471">
        <v>269</v>
      </c>
      <c r="C37" s="1471">
        <v>221</v>
      </c>
      <c r="D37" s="1471">
        <f t="shared" si="64"/>
        <v>221</v>
      </c>
      <c r="E37" s="1471">
        <v>373</v>
      </c>
      <c r="F37" s="1472">
        <v>196</v>
      </c>
      <c r="G37" s="3417">
        <v>2010</v>
      </c>
      <c r="H37" s="1484">
        <v>4</v>
      </c>
      <c r="I37" s="1484">
        <v>5.72</v>
      </c>
      <c r="J37" s="1484">
        <v>6.57</v>
      </c>
      <c r="K37" s="1484">
        <v>5.72</v>
      </c>
      <c r="L37" s="1485">
        <v>2.72</v>
      </c>
      <c r="N37" s="1474">
        <f t="shared" si="66"/>
        <v>5.7200000000000001E-2</v>
      </c>
      <c r="O37" s="1475">
        <f t="shared" si="66"/>
        <v>6.5700000000000008E-2</v>
      </c>
      <c r="P37" s="1475">
        <f t="shared" si="66"/>
        <v>5.7200000000000001E-2</v>
      </c>
      <c r="Q37" s="1475">
        <f t="shared" si="66"/>
        <v>2.7200000000000002E-2</v>
      </c>
      <c r="R37" s="1476"/>
      <c r="S37" s="1477"/>
      <c r="T37" s="1478"/>
      <c r="U37" s="1478"/>
      <c r="V37" s="1478"/>
      <c r="X37" s="1478"/>
      <c r="Y37" s="1478"/>
      <c r="Z37" s="1478"/>
    </row>
    <row r="38" spans="1:26">
      <c r="A38" s="1463" t="s">
        <v>1176</v>
      </c>
      <c r="B38" s="1479">
        <f t="shared" ref="B38:C40" si="78">B37/(1+N37)</f>
        <v>254.44570563753314</v>
      </c>
      <c r="C38" s="1479">
        <f t="shared" si="78"/>
        <v>207.37543398705074</v>
      </c>
      <c r="D38" s="1479">
        <f t="shared" si="64"/>
        <v>207.37543398705074</v>
      </c>
      <c r="E38" s="1479">
        <f t="shared" ref="E38:F40" si="79">E37/(1+P37)</f>
        <v>352.81876655315932</v>
      </c>
      <c r="F38" s="1479">
        <f t="shared" si="79"/>
        <v>190.809968847352</v>
      </c>
      <c r="G38" s="3418">
        <v>2010</v>
      </c>
      <c r="H38" s="1489">
        <v>3</v>
      </c>
      <c r="I38" s="1489">
        <v>4.7300000000000004</v>
      </c>
      <c r="J38" s="1489">
        <v>3.9</v>
      </c>
      <c r="K38" s="1489">
        <v>5.03</v>
      </c>
      <c r="L38" s="1490">
        <v>4.21</v>
      </c>
      <c r="N38" s="1474">
        <f t="shared" si="66"/>
        <v>4.7300000000000002E-2</v>
      </c>
      <c r="O38" s="1475">
        <f t="shared" si="66"/>
        <v>3.9E-2</v>
      </c>
      <c r="P38" s="1475">
        <f t="shared" si="66"/>
        <v>5.0300000000000004E-2</v>
      </c>
      <c r="Q38" s="1475">
        <f t="shared" si="66"/>
        <v>4.2099999999999999E-2</v>
      </c>
      <c r="R38" s="1476"/>
      <c r="S38" s="1474"/>
      <c r="T38" s="1475"/>
      <c r="U38" s="1475"/>
      <c r="V38" s="1475"/>
    </row>
    <row r="39" spans="1:26">
      <c r="A39" s="1463" t="s">
        <v>1177</v>
      </c>
      <c r="B39" s="1479">
        <f t="shared" si="78"/>
        <v>242.95398227588385</v>
      </c>
      <c r="C39" s="1479">
        <f t="shared" si="78"/>
        <v>199.59137053614126</v>
      </c>
      <c r="D39" s="1479">
        <f t="shared" si="64"/>
        <v>199.59137053614126</v>
      </c>
      <c r="E39" s="1479">
        <f t="shared" si="79"/>
        <v>335.92189522342125</v>
      </c>
      <c r="F39" s="1479">
        <f t="shared" si="79"/>
        <v>183.10139991109489</v>
      </c>
      <c r="G39" s="3418">
        <v>2010</v>
      </c>
      <c r="H39" s="1467">
        <v>2</v>
      </c>
      <c r="I39" s="1467">
        <v>4.6900000000000004</v>
      </c>
      <c r="J39" s="1467">
        <v>3.55</v>
      </c>
      <c r="K39" s="1467">
        <v>5.07</v>
      </c>
      <c r="L39" s="1481">
        <v>4.2300000000000004</v>
      </c>
      <c r="N39" s="1474">
        <f t="shared" si="66"/>
        <v>4.6900000000000004E-2</v>
      </c>
      <c r="O39" s="1475">
        <f t="shared" si="66"/>
        <v>3.5499999999999997E-2</v>
      </c>
      <c r="P39" s="1475">
        <f t="shared" si="66"/>
        <v>5.0700000000000002E-2</v>
      </c>
      <c r="Q39" s="1475">
        <f t="shared" si="66"/>
        <v>4.2300000000000004E-2</v>
      </c>
      <c r="R39" s="1476"/>
      <c r="S39" s="1474"/>
      <c r="T39" s="1475"/>
      <c r="U39" s="1475"/>
      <c r="V39" s="1475"/>
    </row>
    <row r="40" spans="1:26" ht="13.5" thickBot="1">
      <c r="A40" s="1463" t="s">
        <v>1178</v>
      </c>
      <c r="B40" s="1479">
        <f t="shared" si="78"/>
        <v>232.06990378821649</v>
      </c>
      <c r="C40" s="1479">
        <f t="shared" si="78"/>
        <v>192.74878854286936</v>
      </c>
      <c r="D40" s="1479">
        <f t="shared" si="64"/>
        <v>192.74878854286936</v>
      </c>
      <c r="E40" s="1479">
        <f t="shared" si="79"/>
        <v>319.71247284992984</v>
      </c>
      <c r="F40" s="1479">
        <f t="shared" si="79"/>
        <v>175.67053622862409</v>
      </c>
      <c r="G40" s="3419">
        <v>2010</v>
      </c>
      <c r="H40" s="1466">
        <v>1</v>
      </c>
      <c r="I40" s="1466">
        <v>5.4</v>
      </c>
      <c r="J40" s="1466">
        <v>3.2</v>
      </c>
      <c r="K40" s="1466">
        <v>6.16</v>
      </c>
      <c r="L40" s="1480">
        <v>4.51</v>
      </c>
      <c r="N40" s="1474">
        <f t="shared" si="66"/>
        <v>5.4000000000000006E-2</v>
      </c>
      <c r="O40" s="1475">
        <f t="shared" si="66"/>
        <v>3.2000000000000001E-2</v>
      </c>
      <c r="P40" s="1475">
        <f t="shared" si="66"/>
        <v>6.1600000000000002E-2</v>
      </c>
      <c r="Q40" s="1475">
        <f t="shared" si="66"/>
        <v>4.5100000000000001E-2</v>
      </c>
      <c r="R40" s="1476"/>
      <c r="S40" s="1482">
        <f>B40/B41-1</f>
        <v>5.4863199037347599E-2</v>
      </c>
      <c r="T40" s="1483">
        <f>C40/C41-1</f>
        <v>3.0742184721226584E-2</v>
      </c>
      <c r="U40" s="1483">
        <f>E40/E41-1</f>
        <v>6.2167683886810154E-2</v>
      </c>
      <c r="V40" s="1483">
        <f>F40/F41-1</f>
        <v>4.5657953741810031E-2</v>
      </c>
      <c r="X40" s="1462"/>
      <c r="Y40" s="1462"/>
      <c r="Z40" s="1462"/>
    </row>
    <row r="41" spans="1:26" ht="13.5" thickBot="1">
      <c r="A41" s="1463" t="s">
        <v>1179</v>
      </c>
      <c r="B41" s="1471">
        <v>220</v>
      </c>
      <c r="C41" s="1471">
        <v>187</v>
      </c>
      <c r="D41" s="1471">
        <f t="shared" si="64"/>
        <v>187</v>
      </c>
      <c r="E41" s="1471">
        <v>301</v>
      </c>
      <c r="F41" s="1472">
        <v>168</v>
      </c>
      <c r="G41" s="3417">
        <v>2009</v>
      </c>
      <c r="H41" s="1484">
        <v>4</v>
      </c>
      <c r="I41" s="1484">
        <v>2.2999999999999998</v>
      </c>
      <c r="J41" s="1484">
        <v>1.04</v>
      </c>
      <c r="K41" s="1484">
        <v>2.84</v>
      </c>
      <c r="L41" s="1485">
        <v>0.67</v>
      </c>
      <c r="N41" s="1486">
        <f t="shared" si="66"/>
        <v>2.3E-2</v>
      </c>
      <c r="O41" s="1487">
        <f t="shared" si="66"/>
        <v>1.04E-2</v>
      </c>
      <c r="P41" s="1487">
        <f t="shared" si="66"/>
        <v>2.8399999999999998E-2</v>
      </c>
      <c r="Q41" s="1487">
        <f t="shared" si="66"/>
        <v>6.7000000000000002E-3</v>
      </c>
      <c r="R41" s="1476"/>
      <c r="S41" s="1477"/>
      <c r="T41" s="1478"/>
      <c r="U41" s="1478"/>
      <c r="V41" s="1478"/>
      <c r="X41" s="1478"/>
      <c r="Y41" s="1478"/>
      <c r="Z41" s="1478"/>
    </row>
    <row r="42" spans="1:26">
      <c r="A42" s="1463" t="s">
        <v>1180</v>
      </c>
      <c r="B42" s="1479">
        <f t="shared" ref="B42:C44" si="80">B41/(1+N41)</f>
        <v>215.05376344086022</v>
      </c>
      <c r="C42" s="1479">
        <f t="shared" si="80"/>
        <v>185.0752177355503</v>
      </c>
      <c r="D42" s="1479">
        <f t="shared" si="64"/>
        <v>185.0752177355503</v>
      </c>
      <c r="E42" s="1479">
        <f t="shared" ref="E42:F44" si="81">E41/(1+P41)</f>
        <v>292.68767016725008</v>
      </c>
      <c r="F42" s="1479">
        <f t="shared" si="81"/>
        <v>166.88189132810174</v>
      </c>
      <c r="G42" s="3418">
        <v>2009</v>
      </c>
      <c r="H42" s="1489">
        <v>3</v>
      </c>
      <c r="I42" s="1489">
        <v>2.1</v>
      </c>
      <c r="J42" s="1489">
        <v>1.86</v>
      </c>
      <c r="K42" s="1489">
        <v>2.29</v>
      </c>
      <c r="L42" s="1490">
        <v>0.85</v>
      </c>
      <c r="N42" s="1474">
        <f t="shared" si="66"/>
        <v>2.1000000000000001E-2</v>
      </c>
      <c r="O42" s="1491">
        <f t="shared" si="66"/>
        <v>1.8600000000000002E-2</v>
      </c>
      <c r="P42" s="1491">
        <f t="shared" si="66"/>
        <v>2.29E-2</v>
      </c>
      <c r="Q42" s="1491">
        <f t="shared" si="66"/>
        <v>8.5000000000000006E-3</v>
      </c>
      <c r="R42" s="1476"/>
      <c r="S42" s="1474"/>
      <c r="T42" s="1475"/>
      <c r="U42" s="1475"/>
      <c r="V42" s="1475"/>
    </row>
    <row r="43" spans="1:26">
      <c r="A43" s="1463" t="s">
        <v>1181</v>
      </c>
      <c r="B43" s="1479">
        <f t="shared" si="80"/>
        <v>210.630522469011</v>
      </c>
      <c r="C43" s="1479">
        <f t="shared" si="80"/>
        <v>181.69567812247232</v>
      </c>
      <c r="D43" s="1479">
        <f t="shared" si="64"/>
        <v>181.69567812247232</v>
      </c>
      <c r="E43" s="1479">
        <f t="shared" si="81"/>
        <v>286.13517466736738</v>
      </c>
      <c r="F43" s="1479">
        <f t="shared" si="81"/>
        <v>165.47535084591149</v>
      </c>
      <c r="G43" s="3418">
        <v>2009</v>
      </c>
      <c r="H43" s="1467">
        <v>2</v>
      </c>
      <c r="I43" s="1467">
        <v>0.86</v>
      </c>
      <c r="J43" s="1467">
        <v>-1.1299999999999999</v>
      </c>
      <c r="K43" s="1467">
        <v>1.79</v>
      </c>
      <c r="L43" s="1481">
        <v>-2.0699999999999998</v>
      </c>
      <c r="N43" s="1474">
        <f t="shared" si="66"/>
        <v>8.6E-3</v>
      </c>
      <c r="O43" s="1491">
        <f t="shared" si="66"/>
        <v>-1.1299999999999999E-2</v>
      </c>
      <c r="P43" s="1491">
        <f t="shared" si="66"/>
        <v>1.7899999999999999E-2</v>
      </c>
      <c r="Q43" s="1491">
        <f t="shared" si="66"/>
        <v>-2.07E-2</v>
      </c>
      <c r="R43" s="1476"/>
      <c r="S43" s="1474"/>
      <c r="T43" s="1475"/>
      <c r="U43" s="1475"/>
      <c r="V43" s="1475"/>
    </row>
    <row r="44" spans="1:26">
      <c r="A44" s="1463" t="s">
        <v>1182</v>
      </c>
      <c r="B44" s="1479">
        <f t="shared" si="80"/>
        <v>208.83454537875372</v>
      </c>
      <c r="C44" s="1479">
        <f t="shared" si="80"/>
        <v>183.77230517090351</v>
      </c>
      <c r="D44" s="1479">
        <f t="shared" si="64"/>
        <v>183.77230517090351</v>
      </c>
      <c r="E44" s="1479">
        <f t="shared" si="81"/>
        <v>281.10342338870947</v>
      </c>
      <c r="F44" s="1479">
        <f t="shared" si="81"/>
        <v>168.97309388942256</v>
      </c>
      <c r="G44" s="3419">
        <v>2009</v>
      </c>
      <c r="H44" s="1466">
        <v>1</v>
      </c>
      <c r="I44" s="1466">
        <v>-2.64</v>
      </c>
      <c r="J44" s="1466">
        <v>-2.5299999999999998</v>
      </c>
      <c r="K44" s="1466">
        <v>-3.02</v>
      </c>
      <c r="L44" s="1480">
        <v>1.52</v>
      </c>
      <c r="N44" s="1482">
        <f t="shared" si="66"/>
        <v>-2.64E-2</v>
      </c>
      <c r="O44" s="1483">
        <f t="shared" si="66"/>
        <v>-2.53E-2</v>
      </c>
      <c r="P44" s="1483">
        <f t="shared" si="66"/>
        <v>-3.0200000000000001E-2</v>
      </c>
      <c r="Q44" s="1483">
        <f t="shared" si="66"/>
        <v>1.52E-2</v>
      </c>
      <c r="R44" s="1476"/>
      <c r="S44" s="1482">
        <f>B44/B45-1</f>
        <v>-2.4137638417038754E-2</v>
      </c>
      <c r="T44" s="1483">
        <f>C44/C45-1</f>
        <v>-2.248773845264096E-2</v>
      </c>
      <c r="U44" s="1483">
        <f>E44/E45-1</f>
        <v>-2.7323794502735366E-2</v>
      </c>
      <c r="V44" s="1483">
        <f>F44/F45-1</f>
        <v>1.7910204153148035E-2</v>
      </c>
      <c r="X44" s="1462"/>
      <c r="Y44" s="1462"/>
      <c r="Z44" s="1462"/>
    </row>
    <row r="45" spans="1:26" ht="13.5" thickBot="1">
      <c r="A45" s="1463" t="s">
        <v>1183</v>
      </c>
      <c r="B45" s="1513">
        <v>214</v>
      </c>
      <c r="C45" s="1513">
        <v>188</v>
      </c>
      <c r="D45" s="1513">
        <f t="shared" si="64"/>
        <v>188</v>
      </c>
      <c r="E45" s="1513">
        <v>289</v>
      </c>
      <c r="F45" s="1514">
        <v>166</v>
      </c>
      <c r="G45" s="3417">
        <v>2008</v>
      </c>
      <c r="H45" s="1484">
        <v>4</v>
      </c>
      <c r="I45" s="1484">
        <v>1.73</v>
      </c>
      <c r="J45" s="1484">
        <v>0.03</v>
      </c>
      <c r="K45" s="1484">
        <v>2.59</v>
      </c>
      <c r="L45" s="1485">
        <v>-1.66</v>
      </c>
      <c r="N45" s="1474">
        <f t="shared" si="66"/>
        <v>1.7299999999999999E-2</v>
      </c>
      <c r="O45" s="1475">
        <f t="shared" si="66"/>
        <v>2.9999999999999997E-4</v>
      </c>
      <c r="P45" s="1475">
        <f t="shared" si="66"/>
        <v>2.5899999999999999E-2</v>
      </c>
      <c r="Q45" s="1475">
        <f t="shared" si="66"/>
        <v>-1.66E-2</v>
      </c>
      <c r="R45" s="1476"/>
      <c r="S45" s="1477"/>
      <c r="T45" s="1478"/>
      <c r="U45" s="1478"/>
      <c r="V45" s="1478"/>
      <c r="X45" s="1478"/>
      <c r="Y45" s="1478"/>
      <c r="Z45" s="1478"/>
    </row>
    <row r="46" spans="1:26">
      <c r="A46" s="1463" t="s">
        <v>1184</v>
      </c>
      <c r="B46" s="1479">
        <f t="shared" ref="B46:C48" si="82">B45/(1+N45)</f>
        <v>210.36075887152265</v>
      </c>
      <c r="C46" s="1479">
        <f t="shared" si="82"/>
        <v>187.94361691492554</v>
      </c>
      <c r="D46" s="1479">
        <f t="shared" si="64"/>
        <v>187.94361691492554</v>
      </c>
      <c r="E46" s="1479">
        <f t="shared" ref="E46:F48" si="83">E45/(1+P45)</f>
        <v>281.70386977288234</v>
      </c>
      <c r="F46" s="1479">
        <f t="shared" si="83"/>
        <v>168.80211511083994</v>
      </c>
      <c r="G46" s="3418">
        <v>2008</v>
      </c>
      <c r="H46" s="1489">
        <v>3</v>
      </c>
      <c r="I46" s="1489">
        <v>1.96</v>
      </c>
      <c r="J46" s="1489">
        <v>2.36</v>
      </c>
      <c r="K46" s="1489">
        <v>1.82</v>
      </c>
      <c r="L46" s="1490">
        <v>2.2200000000000002</v>
      </c>
      <c r="N46" s="1474">
        <f t="shared" si="66"/>
        <v>1.9599999999999999E-2</v>
      </c>
      <c r="O46" s="1475">
        <f t="shared" si="66"/>
        <v>2.3599999999999999E-2</v>
      </c>
      <c r="P46" s="1475">
        <f t="shared" si="66"/>
        <v>1.8200000000000001E-2</v>
      </c>
      <c r="Q46" s="1475">
        <f t="shared" si="66"/>
        <v>2.2200000000000001E-2</v>
      </c>
      <c r="R46" s="1476"/>
      <c r="S46" s="1474"/>
      <c r="T46" s="1475"/>
      <c r="U46" s="1475"/>
      <c r="V46" s="1475"/>
    </row>
    <row r="47" spans="1:26">
      <c r="A47" s="1463" t="s">
        <v>1185</v>
      </c>
      <c r="B47" s="1479">
        <f t="shared" si="82"/>
        <v>206.31694671589116</v>
      </c>
      <c r="C47" s="1479">
        <f t="shared" si="82"/>
        <v>183.61041121036101</v>
      </c>
      <c r="D47" s="1479">
        <f t="shared" si="64"/>
        <v>183.61041121036101</v>
      </c>
      <c r="E47" s="1479">
        <f t="shared" si="83"/>
        <v>276.66850301795557</v>
      </c>
      <c r="F47" s="1479">
        <f t="shared" si="83"/>
        <v>165.1360938278614</v>
      </c>
      <c r="G47" s="3418">
        <v>2008</v>
      </c>
      <c r="H47" s="1467">
        <v>2</v>
      </c>
      <c r="I47" s="1467">
        <v>4.93</v>
      </c>
      <c r="J47" s="1467">
        <v>7.38</v>
      </c>
      <c r="K47" s="1467">
        <v>3.98</v>
      </c>
      <c r="L47" s="1481">
        <v>6.86</v>
      </c>
      <c r="N47" s="1474">
        <f t="shared" si="66"/>
        <v>4.9299999999999997E-2</v>
      </c>
      <c r="O47" s="1475">
        <f t="shared" si="66"/>
        <v>7.3800000000000004E-2</v>
      </c>
      <c r="P47" s="1475">
        <f t="shared" si="66"/>
        <v>3.9800000000000002E-2</v>
      </c>
      <c r="Q47" s="1475">
        <f t="shared" si="66"/>
        <v>6.8600000000000008E-2</v>
      </c>
      <c r="R47" s="1476"/>
      <c r="S47" s="1474"/>
      <c r="T47" s="1475"/>
      <c r="U47" s="1475"/>
      <c r="V47" s="1475"/>
    </row>
    <row r="48" spans="1:26" s="1519" customFormat="1" ht="13.5" thickBot="1">
      <c r="A48" s="1463" t="s">
        <v>1186</v>
      </c>
      <c r="B48" s="1516">
        <f t="shared" si="82"/>
        <v>196.62341248059772</v>
      </c>
      <c r="C48" s="1516">
        <f t="shared" si="82"/>
        <v>170.99125648199012</v>
      </c>
      <c r="D48" s="1516">
        <f t="shared" si="64"/>
        <v>170.99125648199012</v>
      </c>
      <c r="E48" s="1516">
        <f t="shared" si="83"/>
        <v>266.07857570490052</v>
      </c>
      <c r="F48" s="1516">
        <f t="shared" si="83"/>
        <v>154.53499328828505</v>
      </c>
      <c r="G48" s="3419">
        <v>2008</v>
      </c>
      <c r="H48" s="1517">
        <v>1</v>
      </c>
      <c r="I48" s="1517">
        <v>4.1399999999999997</v>
      </c>
      <c r="J48" s="1517">
        <v>3.45</v>
      </c>
      <c r="K48" s="1517">
        <v>4.95</v>
      </c>
      <c r="L48" s="1518">
        <v>4.82</v>
      </c>
      <c r="N48" s="1520">
        <f t="shared" si="66"/>
        <v>4.1399999999999999E-2</v>
      </c>
      <c r="O48" s="1521">
        <f t="shared" si="66"/>
        <v>3.4500000000000003E-2</v>
      </c>
      <c r="P48" s="1521">
        <f t="shared" si="66"/>
        <v>4.9500000000000002E-2</v>
      </c>
      <c r="Q48" s="1521">
        <f t="shared" si="66"/>
        <v>4.82E-2</v>
      </c>
      <c r="R48" s="1522"/>
      <c r="S48" s="1520">
        <f>B48/B49-1</f>
        <v>4.5869215322328349E-2</v>
      </c>
      <c r="T48" s="1521">
        <f>C48/C49-1</f>
        <v>3.6310645345394743E-2</v>
      </c>
      <c r="U48" s="1521">
        <f>E48/E49-1</f>
        <v>4.7553447657088688E-2</v>
      </c>
      <c r="V48" s="1521">
        <f>F48/F49-1</f>
        <v>4.4155360055980086E-2</v>
      </c>
      <c r="X48" s="1523"/>
      <c r="Y48" s="1523"/>
      <c r="Z48" s="1523"/>
    </row>
    <row r="49" spans="1:26" ht="13.5" thickBot="1">
      <c r="A49" s="1463" t="s">
        <v>1187</v>
      </c>
      <c r="B49" s="1471">
        <v>188</v>
      </c>
      <c r="C49" s="1471">
        <v>165</v>
      </c>
      <c r="D49" s="1471">
        <f t="shared" si="64"/>
        <v>165</v>
      </c>
      <c r="E49" s="1471">
        <v>254</v>
      </c>
      <c r="F49" s="1472">
        <v>148</v>
      </c>
      <c r="G49" s="3417">
        <v>2007</v>
      </c>
      <c r="H49" s="1524">
        <v>4</v>
      </c>
      <c r="I49" s="1524">
        <v>5.51</v>
      </c>
      <c r="J49" s="1524">
        <v>4.8899999999999997</v>
      </c>
      <c r="K49" s="1524">
        <v>6.43</v>
      </c>
      <c r="L49" s="1525">
        <v>5.36</v>
      </c>
      <c r="N49" s="1526">
        <f t="shared" ref="N49:O52" si="84">B49/B50-1</f>
        <v>4.1339718365245526E-2</v>
      </c>
      <c r="O49" s="1527">
        <f t="shared" si="84"/>
        <v>4.0324492593776018E-2</v>
      </c>
      <c r="P49" s="1527">
        <f t="shared" ref="P49:Q52" si="85">E49/E50-1</f>
        <v>6.1625555347990968E-2</v>
      </c>
      <c r="Q49" s="1527">
        <f t="shared" si="85"/>
        <v>4.6757569250590603E-2</v>
      </c>
      <c r="R49" s="1476"/>
      <c r="S49" s="1477"/>
      <c r="T49" s="1478"/>
      <c r="U49" s="1478"/>
      <c r="V49" s="1478"/>
      <c r="X49" s="1478"/>
      <c r="Y49" s="1478"/>
      <c r="Z49" s="1478"/>
    </row>
    <row r="50" spans="1:26">
      <c r="A50" s="1463" t="s">
        <v>1188</v>
      </c>
      <c r="B50" s="1479">
        <f t="shared" ref="B50:C52" si="86">B51+(B$49-B$53)*I50/SUM(I$49:I$52)</f>
        <v>180.5366651097618</v>
      </c>
      <c r="C50" s="1479">
        <f t="shared" si="86"/>
        <v>158.60435967302453</v>
      </c>
      <c r="D50" s="1479">
        <f t="shared" si="64"/>
        <v>158.60435967302453</v>
      </c>
      <c r="E50" s="1479">
        <f t="shared" ref="E50:F52" si="87">E51+(E$49-E$53)*K50/SUM(K$49:K$52)</f>
        <v>239.25573260785075</v>
      </c>
      <c r="F50" s="1479">
        <f t="shared" si="87"/>
        <v>141.38899430740037</v>
      </c>
      <c r="G50" s="3418">
        <v>2007</v>
      </c>
      <c r="H50" s="1489">
        <v>3</v>
      </c>
      <c r="I50" s="1489">
        <v>8.65</v>
      </c>
      <c r="J50" s="1489">
        <v>8.06</v>
      </c>
      <c r="K50" s="1489">
        <v>9.94</v>
      </c>
      <c r="L50" s="1490">
        <v>5.8</v>
      </c>
      <c r="N50" s="1526">
        <f t="shared" si="84"/>
        <v>6.940217571740015E-2</v>
      </c>
      <c r="O50" s="1527">
        <f t="shared" si="84"/>
        <v>7.1197482471153428E-2</v>
      </c>
      <c r="P50" s="1527">
        <f t="shared" si="85"/>
        <v>0.10529679922579582</v>
      </c>
      <c r="Q50" s="1527">
        <f t="shared" si="85"/>
        <v>5.3292245059512133E-2</v>
      </c>
      <c r="R50" s="1476"/>
      <c r="S50" s="1474"/>
      <c r="T50" s="1475"/>
      <c r="U50" s="1475"/>
      <c r="V50" s="1475"/>
      <c r="X50" s="1528"/>
      <c r="Y50" s="1528"/>
      <c r="Z50" s="1528"/>
    </row>
    <row r="51" spans="1:26">
      <c r="A51" s="1463" t="s">
        <v>1189</v>
      </c>
      <c r="B51" s="1479">
        <f t="shared" si="86"/>
        <v>168.82017748715555</v>
      </c>
      <c r="C51" s="1479">
        <f t="shared" si="86"/>
        <v>148.06267029972753</v>
      </c>
      <c r="D51" s="1479">
        <f t="shared" si="64"/>
        <v>148.06267029972753</v>
      </c>
      <c r="E51" s="1479">
        <f t="shared" si="87"/>
        <v>216.46288379323747</v>
      </c>
      <c r="F51" s="1479">
        <f t="shared" si="87"/>
        <v>134.23529411764704</v>
      </c>
      <c r="G51" s="3418">
        <v>2007</v>
      </c>
      <c r="H51" s="1467">
        <v>2</v>
      </c>
      <c r="I51" s="1467">
        <v>3.67</v>
      </c>
      <c r="J51" s="1467">
        <v>2.3199999999999998</v>
      </c>
      <c r="K51" s="1467">
        <v>5.0199999999999996</v>
      </c>
      <c r="L51" s="1481">
        <v>6.71</v>
      </c>
      <c r="N51" s="1526">
        <f t="shared" si="84"/>
        <v>3.0339138143848032E-2</v>
      </c>
      <c r="O51" s="1527">
        <f t="shared" si="84"/>
        <v>2.0922341588790472E-2</v>
      </c>
      <c r="P51" s="1527">
        <f t="shared" si="85"/>
        <v>5.6164796592717003E-2</v>
      </c>
      <c r="Q51" s="1527">
        <f t="shared" si="85"/>
        <v>6.5704536723887319E-2</v>
      </c>
      <c r="R51" s="1476"/>
      <c r="S51" s="1474"/>
      <c r="T51" s="1475"/>
      <c r="U51" s="1475"/>
      <c r="V51" s="1475"/>
      <c r="X51" s="1528"/>
      <c r="Y51" s="1528"/>
      <c r="Z51" s="1528"/>
    </row>
    <row r="52" spans="1:26">
      <c r="A52" s="1463" t="s">
        <v>1190</v>
      </c>
      <c r="B52" s="1479">
        <f t="shared" si="86"/>
        <v>163.84913591779542</v>
      </c>
      <c r="C52" s="1479">
        <f t="shared" si="86"/>
        <v>145.0283378746594</v>
      </c>
      <c r="D52" s="1479">
        <f t="shared" si="64"/>
        <v>145.0283378746594</v>
      </c>
      <c r="E52" s="1479">
        <f t="shared" si="87"/>
        <v>204.95180722891567</v>
      </c>
      <c r="F52" s="1479">
        <f t="shared" si="87"/>
        <v>125.95920303605313</v>
      </c>
      <c r="G52" s="3419">
        <v>2007</v>
      </c>
      <c r="H52" s="1466">
        <v>1</v>
      </c>
      <c r="I52" s="1466">
        <v>3.58</v>
      </c>
      <c r="J52" s="1466">
        <v>3.08</v>
      </c>
      <c r="K52" s="1466">
        <v>4.34</v>
      </c>
      <c r="L52" s="1480">
        <v>3.21</v>
      </c>
      <c r="N52" s="1529">
        <f t="shared" si="84"/>
        <v>3.0497710174814063E-2</v>
      </c>
      <c r="O52" s="1530">
        <f t="shared" si="84"/>
        <v>2.8569772160704998E-2</v>
      </c>
      <c r="P52" s="1530">
        <f t="shared" si="85"/>
        <v>5.1034908866234296E-2</v>
      </c>
      <c r="Q52" s="1530">
        <f t="shared" si="85"/>
        <v>3.245248390207478E-2</v>
      </c>
      <c r="R52" s="1476"/>
      <c r="S52" s="1482">
        <f>B52/B53-1</f>
        <v>3.0497710174814063E-2</v>
      </c>
      <c r="T52" s="1483">
        <f>C52/C53-1</f>
        <v>2.8569772160704998E-2</v>
      </c>
      <c r="U52" s="1483">
        <f>E52/E53-1</f>
        <v>5.1034908866234296E-2</v>
      </c>
      <c r="V52" s="1483">
        <f>F52/F53-1</f>
        <v>3.245248390207478E-2</v>
      </c>
      <c r="X52" s="1528"/>
      <c r="Y52" s="1528"/>
      <c r="Z52" s="1528"/>
    </row>
    <row r="53" spans="1:26" ht="13.5" thickBot="1">
      <c r="A53" s="1463" t="s">
        <v>1191</v>
      </c>
      <c r="B53" s="1492">
        <v>159</v>
      </c>
      <c r="C53" s="1492">
        <v>141</v>
      </c>
      <c r="D53" s="1492">
        <f t="shared" si="64"/>
        <v>141</v>
      </c>
      <c r="E53" s="1492">
        <v>195</v>
      </c>
      <c r="F53" s="1493">
        <v>122</v>
      </c>
      <c r="G53" s="3417">
        <v>2006</v>
      </c>
      <c r="H53" s="1484">
        <v>4</v>
      </c>
      <c r="I53" s="1484">
        <v>3.79</v>
      </c>
      <c r="J53" s="1484">
        <v>2.21</v>
      </c>
      <c r="K53" s="1484">
        <v>5.65</v>
      </c>
      <c r="L53" s="1485">
        <v>5.41</v>
      </c>
      <c r="N53" s="1526">
        <f t="shared" ref="N53:O56" si="88">I53/SUM(I$53:I$56)*(B$53/B$57-1)</f>
        <v>7.245466462748526E-2</v>
      </c>
      <c r="O53" s="1527">
        <f t="shared" si="88"/>
        <v>2.3237230038062766E-2</v>
      </c>
      <c r="P53" s="1527">
        <f t="shared" ref="P53:Q56" si="89">K53/SUM(K$53:K$56)*(E$53/E$57-1)</f>
        <v>0.16146893866323722</v>
      </c>
      <c r="Q53" s="1527">
        <f t="shared" si="89"/>
        <v>5.0755230321793784E-2</v>
      </c>
      <c r="R53" s="1476"/>
      <c r="S53" s="1477"/>
      <c r="T53" s="1478"/>
      <c r="U53" s="1478"/>
      <c r="V53" s="1478"/>
      <c r="X53" s="1528"/>
      <c r="Y53" s="1528"/>
      <c r="Z53" s="1528"/>
    </row>
    <row r="54" spans="1:26">
      <c r="A54" s="1463" t="s">
        <v>1192</v>
      </c>
      <c r="B54" s="1479">
        <f t="shared" ref="B54:C56" si="90">B55+(B$53-B$57)*I54/SUM(I$53:I$56)</f>
        <v>149.00125628140702</v>
      </c>
      <c r="C54" s="1479">
        <f t="shared" si="90"/>
        <v>137.95592286501378</v>
      </c>
      <c r="D54" s="1479">
        <f t="shared" si="64"/>
        <v>137.95592286501378</v>
      </c>
      <c r="E54" s="1479">
        <f t="shared" ref="E54:F56" si="91">E55+(E$53-E$57)*K54/SUM(K$53:K$56)</f>
        <v>169.97231450719823</v>
      </c>
      <c r="F54" s="1479">
        <f t="shared" si="91"/>
        <v>116.21390374331551</v>
      </c>
      <c r="G54" s="3418">
        <v>2006</v>
      </c>
      <c r="H54" s="1489">
        <v>3</v>
      </c>
      <c r="I54" s="1489">
        <v>0.92</v>
      </c>
      <c r="J54" s="1489">
        <v>1.08</v>
      </c>
      <c r="K54" s="1489">
        <v>0.73</v>
      </c>
      <c r="L54" s="1490">
        <v>1.08</v>
      </c>
      <c r="N54" s="1526">
        <f t="shared" si="88"/>
        <v>1.7587939698492462E-2</v>
      </c>
      <c r="O54" s="1527">
        <f t="shared" si="88"/>
        <v>1.1355750425840628E-2</v>
      </c>
      <c r="P54" s="1527">
        <f t="shared" si="89"/>
        <v>2.0862358446754544E-2</v>
      </c>
      <c r="Q54" s="1527">
        <f t="shared" si="89"/>
        <v>1.0132282578103011E-2</v>
      </c>
      <c r="R54" s="1476"/>
      <c r="S54" s="1474"/>
      <c r="T54" s="1475"/>
      <c r="U54" s="1475"/>
      <c r="V54" s="1475"/>
      <c r="X54" s="1528"/>
      <c r="Y54" s="1528"/>
      <c r="Z54" s="1528"/>
    </row>
    <row r="55" spans="1:26">
      <c r="A55" s="1463" t="s">
        <v>1193</v>
      </c>
      <c r="B55" s="1479">
        <f t="shared" si="90"/>
        <v>146.57412060301507</v>
      </c>
      <c r="C55" s="1479">
        <f t="shared" si="90"/>
        <v>136.46831955922866</v>
      </c>
      <c r="D55" s="1479">
        <f t="shared" si="64"/>
        <v>136.46831955922866</v>
      </c>
      <c r="E55" s="1479">
        <f t="shared" si="91"/>
        <v>166.73864894795128</v>
      </c>
      <c r="F55" s="1479">
        <f t="shared" si="91"/>
        <v>115.05882352941177</v>
      </c>
      <c r="G55" s="3418">
        <v>2006</v>
      </c>
      <c r="H55" s="1467">
        <v>2</v>
      </c>
      <c r="I55" s="1467">
        <v>0.96</v>
      </c>
      <c r="J55" s="1467">
        <v>0.25</v>
      </c>
      <c r="K55" s="1467">
        <v>1.9</v>
      </c>
      <c r="L55" s="1481">
        <v>0.95</v>
      </c>
      <c r="N55" s="1526">
        <f t="shared" si="88"/>
        <v>1.8352632728861701E-2</v>
      </c>
      <c r="O55" s="1527">
        <f t="shared" si="88"/>
        <v>2.6286459319075526E-3</v>
      </c>
      <c r="P55" s="1527">
        <f t="shared" si="89"/>
        <v>5.4299289107991269E-2</v>
      </c>
      <c r="Q55" s="1527">
        <f t="shared" si="89"/>
        <v>8.9126559714794995E-3</v>
      </c>
      <c r="R55" s="1476"/>
      <c r="S55" s="1474"/>
      <c r="T55" s="1475"/>
      <c r="U55" s="1475"/>
      <c r="V55" s="1475"/>
      <c r="X55" s="1528"/>
      <c r="Y55" s="1528"/>
      <c r="Z55" s="1528"/>
    </row>
    <row r="56" spans="1:26">
      <c r="A56" s="1463" t="s">
        <v>1194</v>
      </c>
      <c r="B56" s="1479">
        <f t="shared" si="90"/>
        <v>144.04145728643215</v>
      </c>
      <c r="C56" s="1479">
        <f t="shared" si="90"/>
        <v>136.12396694214877</v>
      </c>
      <c r="D56" s="1479">
        <f t="shared" si="64"/>
        <v>136.12396694214877</v>
      </c>
      <c r="E56" s="1479">
        <f t="shared" si="91"/>
        <v>158.32225913621264</v>
      </c>
      <c r="F56" s="1479">
        <f t="shared" si="91"/>
        <v>114.04278074866311</v>
      </c>
      <c r="G56" s="3419">
        <v>2006</v>
      </c>
      <c r="H56" s="1466">
        <v>1</v>
      </c>
      <c r="I56" s="1466">
        <v>2.29</v>
      </c>
      <c r="J56" s="1466">
        <v>3.72</v>
      </c>
      <c r="K56" s="1466">
        <v>0.75</v>
      </c>
      <c r="L56" s="1480">
        <v>0.04</v>
      </c>
      <c r="N56" s="1529">
        <f t="shared" si="88"/>
        <v>4.3778675988638847E-2</v>
      </c>
      <c r="O56" s="1530">
        <f t="shared" si="88"/>
        <v>3.9114251466784385E-2</v>
      </c>
      <c r="P56" s="1530">
        <f t="shared" si="89"/>
        <v>2.1433929911049188E-2</v>
      </c>
      <c r="Q56" s="1530">
        <f t="shared" si="89"/>
        <v>3.7526972511492629E-4</v>
      </c>
      <c r="R56" s="1476"/>
      <c r="S56" s="1482">
        <f>B56/B57-1</f>
        <v>4.3778675988638716E-2</v>
      </c>
      <c r="T56" s="1483">
        <f>C56/C57-1</f>
        <v>3.91142514667846E-2</v>
      </c>
      <c r="U56" s="1483">
        <f>E56/E57-1</f>
        <v>2.143392991104931E-2</v>
      </c>
      <c r="V56" s="1483">
        <f>F56/F57-1</f>
        <v>3.7526972511492396E-4</v>
      </c>
      <c r="X56" s="1528"/>
      <c r="Y56" s="1528"/>
      <c r="Z56" s="1528"/>
    </row>
    <row r="57" spans="1:26" ht="13.5" thickBot="1">
      <c r="A57" s="1463" t="s">
        <v>1195</v>
      </c>
      <c r="B57" s="1492">
        <v>138</v>
      </c>
      <c r="C57" s="1492">
        <v>131</v>
      </c>
      <c r="D57" s="1492">
        <f t="shared" si="64"/>
        <v>131</v>
      </c>
      <c r="E57" s="1492">
        <v>155</v>
      </c>
      <c r="F57" s="1493">
        <v>114</v>
      </c>
      <c r="G57" s="3417">
        <v>2005</v>
      </c>
      <c r="H57" s="1484">
        <v>4</v>
      </c>
      <c r="I57" s="1484">
        <v>3.29</v>
      </c>
      <c r="J57" s="1484">
        <v>1.44</v>
      </c>
      <c r="K57" s="1484">
        <v>0.66</v>
      </c>
      <c r="L57" s="1485">
        <v>7.78</v>
      </c>
      <c r="N57" s="1526">
        <f t="shared" ref="N57:O60" si="92">I57/SUM(I$57:I$60)*(B$57/B$61-1)</f>
        <v>9.9404603216919935E-2</v>
      </c>
      <c r="O57" s="1527">
        <f t="shared" si="92"/>
        <v>4.7636550760861554E-2</v>
      </c>
      <c r="P57" s="1527">
        <f t="shared" ref="P57:Q60" si="93">K57/SUM(K$57:K$60)*(E$57/E$61-1)</f>
        <v>8.3756345177664976E-2</v>
      </c>
      <c r="Q57" s="1527">
        <f t="shared" si="93"/>
        <v>5.2148766661559584E-2</v>
      </c>
      <c r="R57" s="1476"/>
      <c r="S57" s="1477"/>
      <c r="T57" s="1478"/>
      <c r="U57" s="1478"/>
      <c r="V57" s="1478"/>
      <c r="X57" s="1528"/>
      <c r="Y57" s="1528"/>
      <c r="Z57" s="1528"/>
    </row>
    <row r="58" spans="1:26">
      <c r="A58" s="1463" t="s">
        <v>1196</v>
      </c>
      <c r="B58" s="1479">
        <f t="shared" ref="B58:C60" si="94">B59+(B$57-B$61)*I58/SUM(I$57:I$60)</f>
        <v>125.9720430107527</v>
      </c>
      <c r="C58" s="1479">
        <f t="shared" si="94"/>
        <v>125.1883408071749</v>
      </c>
      <c r="D58" s="1479">
        <f t="shared" si="64"/>
        <v>125.1883408071749</v>
      </c>
      <c r="E58" s="1479">
        <f t="shared" ref="E58:F60" si="95">E59+(E$57-E$61)*K58/SUM(K$57:K$60)</f>
        <v>144.61421319796952</v>
      </c>
      <c r="F58" s="1479">
        <f t="shared" si="95"/>
        <v>108.42008196721311</v>
      </c>
      <c r="G58" s="3418">
        <v>2005</v>
      </c>
      <c r="H58" s="1489">
        <v>3</v>
      </c>
      <c r="I58" s="1489">
        <v>0.46</v>
      </c>
      <c r="J58" s="1489">
        <v>0.32</v>
      </c>
      <c r="K58" s="1489">
        <v>0.42</v>
      </c>
      <c r="L58" s="1490">
        <v>0.64</v>
      </c>
      <c r="N58" s="1526">
        <f t="shared" si="92"/>
        <v>1.3898515951301874E-2</v>
      </c>
      <c r="O58" s="1527">
        <f t="shared" si="92"/>
        <v>1.0585900169080346E-2</v>
      </c>
      <c r="P58" s="1527">
        <f t="shared" si="93"/>
        <v>5.3299492385786795E-2</v>
      </c>
      <c r="Q58" s="1527">
        <f t="shared" si="93"/>
        <v>4.2898728359123568E-3</v>
      </c>
      <c r="R58" s="1476"/>
      <c r="S58" s="1474"/>
      <c r="T58" s="1475"/>
      <c r="U58" s="1475"/>
      <c r="V58" s="1475"/>
      <c r="X58" s="1528"/>
      <c r="Y58" s="1528"/>
      <c r="Z58" s="1528"/>
    </row>
    <row r="59" spans="1:26">
      <c r="A59" s="1463" t="s">
        <v>1197</v>
      </c>
      <c r="B59" s="1479">
        <f t="shared" si="94"/>
        <v>124.29032258064517</v>
      </c>
      <c r="C59" s="1479">
        <f t="shared" si="94"/>
        <v>123.8968609865471</v>
      </c>
      <c r="D59" s="1479">
        <f t="shared" si="64"/>
        <v>123.8968609865471</v>
      </c>
      <c r="E59" s="1479">
        <f t="shared" si="95"/>
        <v>138.00507614213197</v>
      </c>
      <c r="F59" s="1479">
        <f t="shared" si="95"/>
        <v>107.96106557377048</v>
      </c>
      <c r="G59" s="3418">
        <v>2005</v>
      </c>
      <c r="H59" s="1467">
        <v>2</v>
      </c>
      <c r="I59" s="1467">
        <v>0.47</v>
      </c>
      <c r="J59" s="1467">
        <v>0.1</v>
      </c>
      <c r="K59" s="1467">
        <v>0.52</v>
      </c>
      <c r="L59" s="1481">
        <v>0.79</v>
      </c>
      <c r="N59" s="1526">
        <f t="shared" si="92"/>
        <v>1.420065760241713E-2</v>
      </c>
      <c r="O59" s="1527">
        <f t="shared" si="92"/>
        <v>3.3080938028376083E-3</v>
      </c>
      <c r="P59" s="1527">
        <f t="shared" si="93"/>
        <v>6.598984771573603E-2</v>
      </c>
      <c r="Q59" s="1527">
        <f t="shared" si="93"/>
        <v>5.2953117818293153E-3</v>
      </c>
      <c r="R59" s="1476"/>
      <c r="S59" s="1474"/>
      <c r="T59" s="1475"/>
      <c r="U59" s="1475"/>
      <c r="V59" s="1475"/>
      <c r="X59" s="1528"/>
      <c r="Y59" s="1528"/>
      <c r="Z59" s="1528"/>
    </row>
    <row r="60" spans="1:26">
      <c r="A60" s="1463" t="s">
        <v>1198</v>
      </c>
      <c r="B60" s="1479">
        <f t="shared" si="94"/>
        <v>122.57204301075269</v>
      </c>
      <c r="C60" s="1479">
        <f t="shared" si="94"/>
        <v>123.4932735426009</v>
      </c>
      <c r="D60" s="1479">
        <f t="shared" si="64"/>
        <v>123.4932735426009</v>
      </c>
      <c r="E60" s="1479">
        <f t="shared" si="95"/>
        <v>129.82233502538071</v>
      </c>
      <c r="F60" s="1479">
        <f t="shared" si="95"/>
        <v>107.39446721311475</v>
      </c>
      <c r="G60" s="3419">
        <v>2005</v>
      </c>
      <c r="H60" s="1466">
        <v>1</v>
      </c>
      <c r="I60" s="1466">
        <v>0.43</v>
      </c>
      <c r="J60" s="1466">
        <v>0.37</v>
      </c>
      <c r="K60" s="1466">
        <v>0.37</v>
      </c>
      <c r="L60" s="1480">
        <v>0.55000000000000004</v>
      </c>
      <c r="N60" s="1529">
        <f t="shared" si="92"/>
        <v>1.2992090997956099E-2</v>
      </c>
      <c r="O60" s="1530">
        <f t="shared" si="92"/>
        <v>1.2239947070499151E-2</v>
      </c>
      <c r="P60" s="1530">
        <f t="shared" si="93"/>
        <v>4.6954314720812178E-2</v>
      </c>
      <c r="Q60" s="1530">
        <f t="shared" si="93"/>
        <v>3.6866094683621815E-3</v>
      </c>
      <c r="R60" s="1476"/>
      <c r="S60" s="1482">
        <f>B60/B61-1</f>
        <v>1.2992090997956174E-2</v>
      </c>
      <c r="T60" s="1483">
        <f>C60/C61-1</f>
        <v>1.2239947070499246E-2</v>
      </c>
      <c r="U60" s="1483">
        <f>E60/E61-1</f>
        <v>4.695431472081224E-2</v>
      </c>
      <c r="V60" s="1483">
        <f>F60/F61-1</f>
        <v>3.6866094683620787E-3</v>
      </c>
      <c r="X60" s="1528"/>
      <c r="Y60" s="1528"/>
      <c r="Z60" s="1528"/>
    </row>
    <row r="61" spans="1:26" ht="13.5" thickBot="1">
      <c r="A61" s="1463" t="s">
        <v>1199</v>
      </c>
      <c r="B61" s="1513">
        <v>121</v>
      </c>
      <c r="C61" s="1513">
        <v>122</v>
      </c>
      <c r="D61" s="1513">
        <f t="shared" si="64"/>
        <v>122</v>
      </c>
      <c r="E61" s="1513">
        <v>124</v>
      </c>
      <c r="F61" s="1514">
        <v>107</v>
      </c>
      <c r="G61" s="3417">
        <v>2004</v>
      </c>
      <c r="H61" s="1484">
        <v>4</v>
      </c>
      <c r="I61" s="1484">
        <v>0.33</v>
      </c>
      <c r="J61" s="1484">
        <v>0.5</v>
      </c>
      <c r="K61" s="1484">
        <v>0.5</v>
      </c>
      <c r="L61" s="1485">
        <v>0</v>
      </c>
      <c r="N61" s="1526">
        <f t="shared" ref="N61:O64" si="96">I61/SUM(I$61:I$64)*(B$61/B$65-1)</f>
        <v>1.3391770148526898E-2</v>
      </c>
      <c r="O61" s="1527">
        <f t="shared" si="96"/>
        <v>1.063264221158958E-2</v>
      </c>
      <c r="P61" s="1527">
        <f t="shared" ref="P61:Q64" si="97">K61/SUM(K$61:K$64)*(E$61/E$65-1)</f>
        <v>2.2244466688911134E-2</v>
      </c>
      <c r="Q61" s="1527">
        <f t="shared" si="97"/>
        <v>0</v>
      </c>
      <c r="R61" s="1476"/>
      <c r="S61" s="1477"/>
      <c r="T61" s="1478"/>
      <c r="U61" s="1478"/>
      <c r="V61" s="1478"/>
      <c r="X61" s="1528"/>
      <c r="Y61" s="1528"/>
      <c r="Z61" s="1528"/>
    </row>
    <row r="62" spans="1:26">
      <c r="A62" s="1463" t="s">
        <v>1200</v>
      </c>
      <c r="B62" s="1479">
        <f t="shared" ref="B62:C64" si="98">B63+(B$61-B$65)*I62/SUM(I$61:I$64)</f>
        <v>119.51351351351352</v>
      </c>
      <c r="C62" s="1479">
        <f t="shared" si="98"/>
        <v>120.7878787878788</v>
      </c>
      <c r="D62" s="1479">
        <f t="shared" si="64"/>
        <v>120.7878787878788</v>
      </c>
      <c r="E62" s="1479">
        <f t="shared" ref="E62:F64" si="99">E63+(E$61-E$65)*K62/SUM(K$61:K$64)</f>
        <v>121.5975975975976</v>
      </c>
      <c r="F62" s="1479">
        <f t="shared" si="99"/>
        <v>107</v>
      </c>
      <c r="G62" s="3418">
        <v>2004</v>
      </c>
      <c r="H62" s="1489">
        <v>3</v>
      </c>
      <c r="I62" s="1489">
        <v>0.56000000000000005</v>
      </c>
      <c r="J62" s="1489">
        <v>0.8</v>
      </c>
      <c r="K62" s="1489">
        <v>0.83</v>
      </c>
      <c r="L62" s="1490">
        <v>0.06</v>
      </c>
      <c r="N62" s="1526">
        <f t="shared" si="96"/>
        <v>2.2725428130833527E-2</v>
      </c>
      <c r="O62" s="1527">
        <f t="shared" si="96"/>
        <v>1.7012227538543329E-2</v>
      </c>
      <c r="P62" s="1527">
        <f t="shared" si="97"/>
        <v>3.6925814703592477E-2</v>
      </c>
      <c r="Q62" s="1527">
        <f t="shared" si="97"/>
        <v>2.8846153846153744E-2</v>
      </c>
      <c r="R62" s="1476"/>
      <c r="S62" s="1474"/>
      <c r="T62" s="1475"/>
      <c r="U62" s="1475"/>
      <c r="V62" s="1475"/>
      <c r="X62" s="1528"/>
      <c r="Y62" s="1528"/>
      <c r="Z62" s="1528"/>
    </row>
    <row r="63" spans="1:26">
      <c r="A63" s="1463" t="s">
        <v>1201</v>
      </c>
      <c r="B63" s="1479">
        <f t="shared" si="98"/>
        <v>116.99099099099099</v>
      </c>
      <c r="C63" s="1479">
        <f t="shared" si="98"/>
        <v>118.84848484848486</v>
      </c>
      <c r="D63" s="1479">
        <f t="shared" si="64"/>
        <v>118.84848484848486</v>
      </c>
      <c r="E63" s="1479">
        <f t="shared" si="99"/>
        <v>117.60960960960961</v>
      </c>
      <c r="F63" s="1479">
        <f t="shared" si="99"/>
        <v>104</v>
      </c>
      <c r="G63" s="3418">
        <v>2004</v>
      </c>
      <c r="H63" s="1467">
        <v>2</v>
      </c>
      <c r="I63" s="1467">
        <v>1</v>
      </c>
      <c r="J63" s="1467">
        <v>1.5</v>
      </c>
      <c r="K63" s="1467">
        <v>1.5</v>
      </c>
      <c r="L63" s="1481">
        <v>0</v>
      </c>
      <c r="N63" s="1526">
        <f t="shared" si="96"/>
        <v>4.0581121662202721E-2</v>
      </c>
      <c r="O63" s="1527">
        <f t="shared" si="96"/>
        <v>3.1897926634768738E-2</v>
      </c>
      <c r="P63" s="1527">
        <f t="shared" si="97"/>
        <v>6.6733400066733395E-2</v>
      </c>
      <c r="Q63" s="1527">
        <f t="shared" si="97"/>
        <v>0</v>
      </c>
      <c r="R63" s="1476"/>
      <c r="S63" s="1474"/>
      <c r="T63" s="1475"/>
      <c r="U63" s="1475"/>
      <c r="V63" s="1475"/>
      <c r="X63" s="1528"/>
      <c r="Y63" s="1528"/>
      <c r="Z63" s="1528"/>
    </row>
    <row r="64" spans="1:26" s="1519" customFormat="1" ht="13.5" thickBot="1">
      <c r="A64" s="1463" t="s">
        <v>1202</v>
      </c>
      <c r="B64" s="1516">
        <f t="shared" si="98"/>
        <v>112.48648648648648</v>
      </c>
      <c r="C64" s="1516">
        <f t="shared" si="98"/>
        <v>115.21212121212122</v>
      </c>
      <c r="D64" s="1516">
        <f t="shared" si="64"/>
        <v>115.21212121212122</v>
      </c>
      <c r="E64" s="1516">
        <f t="shared" si="99"/>
        <v>110.4024024024024</v>
      </c>
      <c r="F64" s="1516">
        <f t="shared" si="99"/>
        <v>104</v>
      </c>
      <c r="G64" s="3419">
        <v>2004</v>
      </c>
      <c r="H64" s="1517">
        <v>1</v>
      </c>
      <c r="I64" s="1517">
        <v>0.33</v>
      </c>
      <c r="J64" s="1517">
        <v>0.5</v>
      </c>
      <c r="K64" s="1517">
        <v>0.5</v>
      </c>
      <c r="L64" s="1518">
        <v>0</v>
      </c>
      <c r="N64" s="1531">
        <f t="shared" si="96"/>
        <v>1.3391770148526898E-2</v>
      </c>
      <c r="O64" s="1532">
        <f t="shared" si="96"/>
        <v>1.063264221158958E-2</v>
      </c>
      <c r="P64" s="1532">
        <f t="shared" si="97"/>
        <v>2.2244466688911134E-2</v>
      </c>
      <c r="Q64" s="1532">
        <f t="shared" si="97"/>
        <v>0</v>
      </c>
      <c r="R64" s="1522"/>
      <c r="S64" s="1520">
        <f>B64/B65-1</f>
        <v>1.3391770148526883E-2</v>
      </c>
      <c r="T64" s="1521">
        <f>C64/C65-1</f>
        <v>1.063264221158966E-2</v>
      </c>
      <c r="U64" s="1521">
        <f>E64/E65-1</f>
        <v>2.2244466688911224E-2</v>
      </c>
      <c r="V64" s="1521">
        <f>F64/F65-1</f>
        <v>0</v>
      </c>
      <c r="X64" s="1533"/>
      <c r="Y64" s="1533"/>
      <c r="Z64" s="1533"/>
    </row>
    <row r="65" spans="1:26" ht="13.5" thickBot="1">
      <c r="A65" s="1463" t="s">
        <v>1203</v>
      </c>
      <c r="B65" s="1534">
        <v>111</v>
      </c>
      <c r="C65" s="1534">
        <v>114</v>
      </c>
      <c r="D65" s="1534">
        <f t="shared" si="64"/>
        <v>114</v>
      </c>
      <c r="E65" s="1534">
        <v>108</v>
      </c>
      <c r="F65" s="1535">
        <v>104</v>
      </c>
      <c r="G65" s="3417">
        <v>2003</v>
      </c>
      <c r="H65" s="1524">
        <v>4</v>
      </c>
      <c r="I65" s="1536"/>
      <c r="J65" s="1536"/>
      <c r="K65" s="1536"/>
      <c r="L65" s="1536"/>
      <c r="N65" s="1537"/>
      <c r="O65" s="1536"/>
      <c r="P65" s="1536"/>
      <c r="Q65" s="1536"/>
      <c r="S65" s="1537"/>
      <c r="T65" s="1536"/>
      <c r="U65" s="1536"/>
      <c r="V65" s="1536"/>
      <c r="X65" s="1528"/>
      <c r="Y65" s="1528"/>
      <c r="Z65" s="1528"/>
    </row>
    <row r="66" spans="1:26">
      <c r="A66" s="1463" t="s">
        <v>1204</v>
      </c>
      <c r="B66" s="1538">
        <f t="shared" ref="B66:C68" si="100">B67+(B$65-B$69)/4</f>
        <v>109.75</v>
      </c>
      <c r="C66" s="1538">
        <f t="shared" si="100"/>
        <v>112.25</v>
      </c>
      <c r="D66" s="1538">
        <f t="shared" si="64"/>
        <v>112.25</v>
      </c>
      <c r="E66" s="1538">
        <f t="shared" ref="E66:F68" si="101">E67+(E$65-E$69)/4</f>
        <v>107.25</v>
      </c>
      <c r="F66" s="1538">
        <f t="shared" si="101"/>
        <v>103.5</v>
      </c>
      <c r="G66" s="3418">
        <v>2003</v>
      </c>
      <c r="H66" s="1489">
        <v>3</v>
      </c>
      <c r="I66" s="1536"/>
      <c r="J66" s="1536"/>
      <c r="K66" s="1536"/>
      <c r="L66" s="1536"/>
      <c r="X66" s="1528"/>
      <c r="Y66" s="1528"/>
      <c r="Z66" s="1528"/>
    </row>
    <row r="67" spans="1:26">
      <c r="A67" s="1463" t="s">
        <v>1205</v>
      </c>
      <c r="B67" s="1538">
        <f t="shared" si="100"/>
        <v>108.5</v>
      </c>
      <c r="C67" s="1538">
        <f t="shared" si="100"/>
        <v>110.5</v>
      </c>
      <c r="D67" s="1538">
        <f t="shared" si="64"/>
        <v>110.5</v>
      </c>
      <c r="E67" s="1538">
        <f t="shared" si="101"/>
        <v>106.5</v>
      </c>
      <c r="F67" s="1538">
        <f t="shared" si="101"/>
        <v>103</v>
      </c>
      <c r="G67" s="3418">
        <v>2003</v>
      </c>
      <c r="H67" s="1467">
        <v>2</v>
      </c>
      <c r="I67" s="1536"/>
      <c r="J67" s="1536"/>
      <c r="K67" s="1536"/>
      <c r="L67" s="1536"/>
      <c r="X67" s="1528"/>
      <c r="Y67" s="1528"/>
      <c r="Z67" s="1528"/>
    </row>
    <row r="68" spans="1:26" ht="13.5" thickBot="1">
      <c r="A68" s="1463" t="s">
        <v>1206</v>
      </c>
      <c r="B68" s="1538">
        <f t="shared" si="100"/>
        <v>107.25</v>
      </c>
      <c r="C68" s="1538">
        <f t="shared" si="100"/>
        <v>108.75</v>
      </c>
      <c r="D68" s="1538">
        <f t="shared" si="64"/>
        <v>108.75</v>
      </c>
      <c r="E68" s="1538">
        <f t="shared" si="101"/>
        <v>105.75</v>
      </c>
      <c r="F68" s="1538">
        <f t="shared" si="101"/>
        <v>102.5</v>
      </c>
      <c r="G68" s="3419">
        <v>2003</v>
      </c>
      <c r="H68" s="1539">
        <v>1</v>
      </c>
      <c r="I68" s="1536"/>
      <c r="J68" s="1536"/>
      <c r="K68" s="1536"/>
      <c r="L68" s="1536"/>
      <c r="S68" s="1474"/>
      <c r="T68" s="1475"/>
      <c r="U68" s="1475"/>
      <c r="X68" s="1528"/>
      <c r="Y68" s="1528"/>
      <c r="Z68" s="1528"/>
    </row>
    <row r="69" spans="1:26" ht="13.5" thickBot="1">
      <c r="A69" s="1463" t="s">
        <v>1207</v>
      </c>
      <c r="B69" s="1540">
        <v>106</v>
      </c>
      <c r="C69" s="1540">
        <v>107</v>
      </c>
      <c r="D69" s="1540">
        <f t="shared" si="64"/>
        <v>107</v>
      </c>
      <c r="E69" s="1540">
        <v>105</v>
      </c>
      <c r="F69" s="1541">
        <v>102</v>
      </c>
      <c r="G69" s="3417">
        <v>2002</v>
      </c>
      <c r="H69" s="1484">
        <v>4</v>
      </c>
      <c r="I69" s="1536"/>
      <c r="J69" s="1536"/>
      <c r="K69" s="1536"/>
      <c r="L69" s="1536"/>
      <c r="N69" s="1537"/>
      <c r="O69" s="1536"/>
      <c r="P69" s="1536"/>
      <c r="Q69" s="1536"/>
      <c r="S69" s="1537"/>
      <c r="T69" s="1536"/>
      <c r="U69" s="1536"/>
      <c r="V69" s="1536"/>
      <c r="X69" s="1528"/>
      <c r="Y69" s="1528"/>
      <c r="Z69" s="1528"/>
    </row>
    <row r="70" spans="1:26">
      <c r="A70" s="1463" t="s">
        <v>1208</v>
      </c>
      <c r="B70" s="1538">
        <f t="shared" ref="B70:C72" si="102">B71+(B$69-B$73)/4</f>
        <v>105</v>
      </c>
      <c r="C70" s="1538">
        <f t="shared" si="102"/>
        <v>106</v>
      </c>
      <c r="D70" s="1538">
        <f t="shared" si="64"/>
        <v>106</v>
      </c>
      <c r="E70" s="1538">
        <f t="shared" ref="E70:F72" si="103">E71+(E$69-E$73)/4</f>
        <v>104.5</v>
      </c>
      <c r="F70" s="1538">
        <f t="shared" si="103"/>
        <v>101.5</v>
      </c>
      <c r="G70" s="3418">
        <v>2002</v>
      </c>
      <c r="H70" s="1489">
        <v>3</v>
      </c>
      <c r="I70" s="1536"/>
      <c r="J70" s="1536"/>
      <c r="K70" s="1536"/>
      <c r="L70" s="1536"/>
      <c r="X70" s="1528"/>
      <c r="Y70" s="1528"/>
      <c r="Z70" s="1528"/>
    </row>
    <row r="71" spans="1:26">
      <c r="A71" s="1463" t="s">
        <v>1209</v>
      </c>
      <c r="B71" s="1538">
        <f t="shared" si="102"/>
        <v>104</v>
      </c>
      <c r="C71" s="1538">
        <f t="shared" si="102"/>
        <v>105</v>
      </c>
      <c r="D71" s="1538">
        <f t="shared" si="64"/>
        <v>105</v>
      </c>
      <c r="E71" s="1538">
        <f t="shared" si="103"/>
        <v>104</v>
      </c>
      <c r="F71" s="1538">
        <f t="shared" si="103"/>
        <v>101</v>
      </c>
      <c r="G71" s="3418">
        <v>2002</v>
      </c>
      <c r="H71" s="1467">
        <v>2</v>
      </c>
      <c r="I71" s="1536"/>
      <c r="J71" s="1536"/>
      <c r="K71" s="1536"/>
      <c r="L71" s="1536"/>
      <c r="X71" s="1528"/>
      <c r="Y71" s="1528"/>
      <c r="Z71" s="1528"/>
    </row>
    <row r="72" spans="1:26" s="1500" customFormat="1" ht="13.5" thickBot="1">
      <c r="A72" s="1496" t="s">
        <v>1210</v>
      </c>
      <c r="B72" s="1542">
        <f t="shared" si="102"/>
        <v>103</v>
      </c>
      <c r="C72" s="1542">
        <f t="shared" si="102"/>
        <v>104</v>
      </c>
      <c r="D72" s="1542">
        <f t="shared" si="64"/>
        <v>104</v>
      </c>
      <c r="E72" s="1542">
        <f t="shared" si="103"/>
        <v>103.5</v>
      </c>
      <c r="F72" s="1542">
        <f t="shared" si="103"/>
        <v>100.5</v>
      </c>
      <c r="G72" s="3419">
        <v>2002</v>
      </c>
      <c r="H72" s="1543">
        <v>1</v>
      </c>
      <c r="I72" s="1544"/>
      <c r="J72" s="1544"/>
      <c r="K72" s="1544"/>
      <c r="L72" s="1544"/>
      <c r="N72" s="1545"/>
      <c r="S72" s="1545"/>
      <c r="X72" s="1546"/>
      <c r="Y72" s="1546"/>
      <c r="Z72" s="1546"/>
    </row>
    <row r="73" spans="1:26" ht="13.5" thickBot="1">
      <c r="B73" s="1547">
        <v>102</v>
      </c>
      <c r="C73" s="1548">
        <v>103</v>
      </c>
      <c r="D73" s="1548">
        <f t="shared" si="64"/>
        <v>103</v>
      </c>
      <c r="E73" s="1548">
        <v>103</v>
      </c>
      <c r="F73" s="1549">
        <v>100</v>
      </c>
      <c r="I73" s="1536"/>
      <c r="J73" s="1536"/>
      <c r="K73" s="1536"/>
      <c r="L73" s="1536"/>
      <c r="N73" s="1537"/>
      <c r="O73" s="1536"/>
      <c r="P73" s="1536"/>
      <c r="Q73" s="1536"/>
      <c r="S73" s="1537"/>
      <c r="T73" s="1536"/>
      <c r="U73" s="1536"/>
      <c r="V73" s="1536"/>
      <c r="X73" s="1478"/>
      <c r="Y73" s="1478"/>
      <c r="Z73" s="1478"/>
    </row>
    <row r="75" spans="1:26" s="1551" customFormat="1">
      <c r="A75" s="1550" t="s">
        <v>1211</v>
      </c>
      <c r="G75" s="1552"/>
      <c r="N75" s="1552"/>
      <c r="S75" s="1552"/>
    </row>
    <row r="76" spans="1:26" s="1551" customFormat="1">
      <c r="A76" s="1551" t="s">
        <v>1212</v>
      </c>
      <c r="G76" s="1552"/>
      <c r="N76" s="1552"/>
      <c r="S76" s="1552"/>
    </row>
    <row r="77" spans="1:26" s="1551" customFormat="1">
      <c r="A77" s="1551" t="s">
        <v>1213</v>
      </c>
      <c r="G77" s="1552"/>
      <c r="I77" s="1553"/>
      <c r="J77" s="1553"/>
      <c r="K77" s="1553"/>
      <c r="L77" s="1553"/>
      <c r="N77" s="1554"/>
      <c r="O77" s="1553"/>
      <c r="P77" s="1553"/>
      <c r="Q77" s="1553"/>
      <c r="S77" s="1554"/>
      <c r="T77" s="1553"/>
      <c r="U77" s="1553"/>
      <c r="V77" s="1553"/>
    </row>
    <row r="78" spans="1:26" s="1551" customFormat="1">
      <c r="A78" s="1551" t="s">
        <v>1214</v>
      </c>
      <c r="G78" s="1552"/>
      <c r="N78" s="1552"/>
      <c r="S78" s="1552"/>
    </row>
    <row r="85" spans="7:22" ht="13.5" thickBot="1"/>
    <row r="86" spans="7:22">
      <c r="G86" s="1473"/>
      <c r="S86" s="1555" t="s">
        <v>1215</v>
      </c>
      <c r="T86" s="1556" t="s">
        <v>1216</v>
      </c>
      <c r="U86" s="1556" t="s">
        <v>1217</v>
      </c>
      <c r="V86" s="1556" t="s">
        <v>1218</v>
      </c>
    </row>
    <row r="87" spans="7:22">
      <c r="G87" s="1473"/>
      <c r="N87" s="1477"/>
      <c r="O87" s="1478"/>
      <c r="P87" s="1478"/>
      <c r="Q87" s="1478"/>
      <c r="S87" s="1557">
        <v>2006</v>
      </c>
      <c r="T87" s="1558">
        <v>15.1</v>
      </c>
      <c r="U87" s="1558">
        <v>7.43</v>
      </c>
      <c r="V87" s="1558">
        <v>26.26</v>
      </c>
    </row>
    <row r="88" spans="7:22">
      <c r="G88" s="1473"/>
      <c r="N88" s="1477"/>
      <c r="O88" s="1478"/>
      <c r="P88" s="1478"/>
      <c r="Q88" s="1478"/>
      <c r="S88" s="1559">
        <v>2005</v>
      </c>
      <c r="T88" s="1560">
        <v>13.9</v>
      </c>
      <c r="U88" s="1560">
        <v>7.49</v>
      </c>
      <c r="V88" s="1560">
        <v>24.92</v>
      </c>
    </row>
    <row r="89" spans="7:22">
      <c r="G89" s="1473"/>
      <c r="N89" s="1477"/>
      <c r="O89" s="1478"/>
      <c r="P89" s="1478"/>
      <c r="Q89" s="1478"/>
      <c r="S89" s="1557">
        <v>2004</v>
      </c>
      <c r="T89" s="1558">
        <v>9.48</v>
      </c>
      <c r="U89" s="1558">
        <v>7.2</v>
      </c>
      <c r="V89" s="1558">
        <v>14.68</v>
      </c>
    </row>
    <row r="90" spans="7:22">
      <c r="G90" s="1473"/>
      <c r="N90" s="1477"/>
      <c r="O90" s="1478"/>
      <c r="P90" s="1478"/>
      <c r="Q90" s="1478"/>
      <c r="S90" s="1559">
        <v>2003</v>
      </c>
      <c r="T90" s="1560">
        <v>4.5</v>
      </c>
      <c r="U90" s="1560">
        <v>6.12</v>
      </c>
      <c r="V90" s="1560">
        <v>2.34</v>
      </c>
    </row>
    <row r="91" spans="7:22" ht="13.5" thickBot="1">
      <c r="G91" s="1473"/>
      <c r="N91" s="1477"/>
      <c r="O91" s="1478"/>
      <c r="P91" s="1478"/>
      <c r="Q91" s="1478"/>
      <c r="S91" s="1561">
        <v>2002</v>
      </c>
      <c r="T91" s="1562">
        <v>3.59</v>
      </c>
      <c r="U91" s="1562">
        <v>4.54</v>
      </c>
      <c r="V91" s="1562">
        <v>2.5499999999999998</v>
      </c>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2976</v>
      </c>
      <c r="C1" s="3428" t="s">
        <v>2977</v>
      </c>
      <c r="D1" s="3429"/>
      <c r="E1" s="3429"/>
      <c r="F1" s="3429"/>
      <c r="G1" s="3429"/>
      <c r="H1" s="3429"/>
      <c r="I1" s="3429"/>
      <c r="J1" s="3429"/>
      <c r="K1" s="3429"/>
      <c r="L1" s="3429"/>
      <c r="M1" s="3429"/>
      <c r="N1" s="3429"/>
      <c r="O1" s="3429"/>
      <c r="P1" s="3429"/>
      <c r="Q1" s="3429"/>
      <c r="R1" s="3429"/>
      <c r="S1" s="3430"/>
      <c r="T1" s="1206" t="s">
        <v>2978</v>
      </c>
    </row>
    <row r="2" spans="1:45" s="706" customFormat="1">
      <c r="A2" s="1207"/>
      <c r="B2" s="702" t="s">
        <v>2979</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6"/>
      <c r="G3" s="1706"/>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
        <v>2980</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2981</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2982</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2983</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2984</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2985</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80" t="s">
        <v>2986</v>
      </c>
      <c r="B17" s="2881" t="s">
        <v>2987</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882" t="s">
        <v>2988</v>
      </c>
      <c r="E19" s="1794"/>
      <c r="F19" s="1794"/>
      <c r="G19" s="1794"/>
      <c r="H19" s="1282"/>
      <c r="I19" s="167"/>
      <c r="J19" s="167"/>
      <c r="K19" s="167"/>
      <c r="L19" s="167"/>
      <c r="M19" s="167"/>
      <c r="N19" s="167"/>
      <c r="O19" s="167"/>
      <c r="P19" s="167"/>
      <c r="Q19" s="167"/>
      <c r="R19" s="787"/>
      <c r="S19" s="137"/>
    </row>
    <row r="20" spans="1:45" ht="16.5" thickBot="1">
      <c r="A20" s="714" t="s">
        <v>2989</v>
      </c>
      <c r="B20" s="337" t="e">
        <f ca="1">IF(D20="——",S22,S22-F20)</f>
        <v>#REF!</v>
      </c>
      <c r="C20" s="167"/>
      <c r="D20" s="2883" t="s">
        <v>2990</v>
      </c>
      <c r="E20" s="1795"/>
      <c r="F20" s="1206" t="e">
        <f ca="1">SUMIF(INDIRECT("'"&amp;H20&amp;"'"&amp;"!A:A"),"承租人权益价值",INDIRECT("'"&amp;H20&amp;"'"&amp;"!c:c"))</f>
        <v>#REF!</v>
      </c>
      <c r="G20" s="1206" t="s">
        <v>2991</v>
      </c>
      <c r="H20" s="2884"/>
      <c r="I20" s="167"/>
      <c r="J20" s="167"/>
      <c r="K20" s="167"/>
      <c r="L20" s="167"/>
      <c r="M20" s="167"/>
      <c r="N20" s="167"/>
      <c r="O20" s="167"/>
      <c r="P20" s="167"/>
      <c r="Q20" s="167"/>
      <c r="R20" s="787"/>
      <c r="S20" s="137"/>
    </row>
    <row r="21" spans="1:45" ht="15.75">
      <c r="A21" s="714" t="s">
        <v>2992</v>
      </c>
      <c r="B21" s="337">
        <f>R22</f>
        <v>10000</v>
      </c>
      <c r="C21" s="167"/>
      <c r="D21" s="167"/>
      <c r="E21" s="167"/>
      <c r="F21" s="167"/>
      <c r="G21" s="167"/>
      <c r="H21" s="167"/>
      <c r="I21" s="167"/>
      <c r="J21" s="167"/>
      <c r="K21" s="167"/>
      <c r="L21" s="167"/>
      <c r="M21" s="167"/>
      <c r="N21" s="167"/>
      <c r="O21" s="167"/>
      <c r="P21" s="167"/>
      <c r="Q21" s="167"/>
      <c r="R21" s="787"/>
      <c r="S21" s="137"/>
    </row>
    <row r="22" spans="1:45">
      <c r="A22" s="360" t="s">
        <v>2993</v>
      </c>
      <c r="B22" s="24">
        <f>SUM(B24:B10000)</f>
        <v>100</v>
      </c>
      <c r="C22" s="3287" t="s">
        <v>33</v>
      </c>
      <c r="D22" s="3288"/>
      <c r="E22" s="3288"/>
      <c r="F22" s="3288"/>
      <c r="G22" s="3288"/>
      <c r="H22" s="3288"/>
      <c r="I22" s="3288"/>
      <c r="J22" s="3288"/>
      <c r="K22" s="3288"/>
      <c r="L22" s="3288"/>
      <c r="M22" s="3288"/>
      <c r="N22" s="3288"/>
      <c r="O22" s="3288"/>
      <c r="P22" s="3288"/>
      <c r="Q22" s="3427"/>
      <c r="R22" s="715">
        <f>ROUND(S22*10000/B22,0)</f>
        <v>10000</v>
      </c>
      <c r="S22" s="24">
        <f>SUM(S24:S10000)</f>
        <v>100</v>
      </c>
    </row>
    <row r="23" spans="1:45" s="12" customFormat="1" ht="24">
      <c r="A23" s="11" t="s">
        <v>2994</v>
      </c>
      <c r="B23" s="11" t="s">
        <v>2995</v>
      </c>
      <c r="C23" s="11" t="s">
        <v>2996</v>
      </c>
      <c r="D23" s="11" t="str">
        <f>B5</f>
        <v>修正项2</v>
      </c>
      <c r="E23" s="11" t="s">
        <v>2996</v>
      </c>
      <c r="F23" s="11" t="str">
        <f>B7</f>
        <v>修正项3</v>
      </c>
      <c r="G23" s="11" t="s">
        <v>2996</v>
      </c>
      <c r="H23" s="11" t="str">
        <f>B9</f>
        <v>修正项4</v>
      </c>
      <c r="I23" s="11" t="s">
        <v>2996</v>
      </c>
      <c r="J23" s="11" t="str">
        <f>B11</f>
        <v>修正项5</v>
      </c>
      <c r="K23" s="11" t="s">
        <v>2996</v>
      </c>
      <c r="L23" s="11" t="str">
        <f>B13</f>
        <v>修正项6</v>
      </c>
      <c r="M23" s="11" t="s">
        <v>2996</v>
      </c>
      <c r="N23" s="11" t="str">
        <f>B15</f>
        <v>修正项7</v>
      </c>
      <c r="O23" s="11" t="s">
        <v>2996</v>
      </c>
      <c r="P23" s="11" t="str">
        <f>B17</f>
        <v>楼层</v>
      </c>
      <c r="Q23" s="11" t="s">
        <v>2996</v>
      </c>
      <c r="R23" s="716" t="s">
        <v>2997</v>
      </c>
      <c r="S23" s="11" t="s">
        <v>2998</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2999</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J26" sqref="J26"/>
    </sheetView>
  </sheetViews>
  <sheetFormatPr defaultRowHeight="13.5"/>
  <cols>
    <col min="1" max="4" width="15.625" customWidth="1"/>
    <col min="7" max="7" width="9.5" bestFit="1" customWidth="1"/>
    <col min="9" max="9" width="12.75" bestFit="1" customWidth="1"/>
  </cols>
  <sheetData>
    <row r="1" spans="1:9">
      <c r="A1" s="3431" t="s">
        <v>3300</v>
      </c>
      <c r="B1" s="3432"/>
      <c r="C1" s="3432"/>
      <c r="D1" s="3432"/>
    </row>
    <row r="2" spans="1:9">
      <c r="A2" s="3081"/>
      <c r="B2" s="3081" t="s">
        <v>3301</v>
      </c>
      <c r="C2" s="3081" t="s">
        <v>3302</v>
      </c>
      <c r="D2" s="3081" t="s">
        <v>3303</v>
      </c>
    </row>
    <row r="3" spans="1:9">
      <c r="A3" s="3082" t="s">
        <v>1377</v>
      </c>
      <c r="B3" s="3083">
        <v>1121.75</v>
      </c>
      <c r="C3" s="3083">
        <v>790316</v>
      </c>
      <c r="D3" s="3084">
        <f>ROUND(C3/30/B3,2)</f>
        <v>23.48</v>
      </c>
    </row>
    <row r="4" spans="1:9">
      <c r="A4" s="3082" t="s">
        <v>27</v>
      </c>
      <c r="B4" s="3083">
        <v>49771.639999999992</v>
      </c>
      <c r="C4" s="3083">
        <v>23046916</v>
      </c>
      <c r="D4" s="3084">
        <f t="shared" ref="D4" si="0">ROUND(C4/30/B4,2)</f>
        <v>15.44</v>
      </c>
      <c r="I4">
        <f>B4+B10+B16</f>
        <v>191085.85999999996</v>
      </c>
    </row>
    <row r="5" spans="1:9">
      <c r="A5" s="3082" t="s">
        <v>3304</v>
      </c>
      <c r="B5" s="3083">
        <f>SUM(B3:B4)</f>
        <v>50893.389999999992</v>
      </c>
      <c r="C5" s="3083">
        <f>SUM(C3:C4)</f>
        <v>23837232</v>
      </c>
      <c r="D5" s="3084">
        <f>ROUND(C5/30/B5,2)</f>
        <v>15.61</v>
      </c>
    </row>
    <row r="7" spans="1:9">
      <c r="A7" s="3433" t="s">
        <v>3310</v>
      </c>
      <c r="B7" s="3434"/>
      <c r="C7" s="3434"/>
      <c r="D7" s="3434"/>
    </row>
    <row r="8" spans="1:9">
      <c r="A8" s="3081"/>
      <c r="B8" s="3081" t="s">
        <v>3301</v>
      </c>
      <c r="C8" s="3081" t="s">
        <v>3302</v>
      </c>
      <c r="D8" s="3081" t="s">
        <v>3303</v>
      </c>
    </row>
    <row r="9" spans="1:9">
      <c r="A9" s="3086" t="s">
        <v>1377</v>
      </c>
      <c r="B9" s="3085">
        <v>7063.8000000000011</v>
      </c>
      <c r="C9" s="3085">
        <v>2151425</v>
      </c>
      <c r="D9" s="3084">
        <f>ROUND(C9/30/B9,2)</f>
        <v>10.15</v>
      </c>
    </row>
    <row r="10" spans="1:9">
      <c r="A10" s="3086" t="s">
        <v>27</v>
      </c>
      <c r="B10" s="3085">
        <v>45771.289999999986</v>
      </c>
      <c r="C10" s="3085">
        <v>22503138</v>
      </c>
      <c r="D10" s="3084">
        <f>ROUND(C10/30/B10,2)</f>
        <v>16.39</v>
      </c>
    </row>
    <row r="11" spans="1:9">
      <c r="A11" s="3010" t="s">
        <v>3305</v>
      </c>
      <c r="B11" s="2912">
        <f>SUM(B9:B10)</f>
        <v>52835.089999999989</v>
      </c>
      <c r="C11" s="2912">
        <f>SUM(C9:C10)</f>
        <v>24654563</v>
      </c>
      <c r="D11" s="3084">
        <f>ROUND(C11/30/B11,2)</f>
        <v>15.55</v>
      </c>
      <c r="F11" s="2952" t="s">
        <v>3312</v>
      </c>
    </row>
    <row r="12" spans="1:9">
      <c r="A12" s="3090"/>
      <c r="B12" s="3091"/>
      <c r="C12" s="3091"/>
      <c r="D12" s="3092"/>
      <c r="F12">
        <f>ROUND((C5+C11)/10000*12,0)</f>
        <v>58190</v>
      </c>
      <c r="H12">
        <v>49143</v>
      </c>
    </row>
    <row r="13" spans="1:9">
      <c r="A13" s="3433" t="s">
        <v>3311</v>
      </c>
      <c r="B13" s="3434"/>
      <c r="C13" s="3434"/>
      <c r="D13" s="3434"/>
      <c r="I13">
        <f>H12/F12</f>
        <v>0.84452655095377216</v>
      </c>
    </row>
    <row r="14" spans="1:9">
      <c r="A14" s="2912"/>
      <c r="B14" s="3081" t="s">
        <v>3301</v>
      </c>
      <c r="C14" s="3081" t="s">
        <v>3302</v>
      </c>
      <c r="D14" s="3081" t="s">
        <v>3303</v>
      </c>
    </row>
    <row r="15" spans="1:9">
      <c r="A15" s="3010" t="s">
        <v>3306</v>
      </c>
      <c r="B15" s="2912">
        <f>B3+B9</f>
        <v>8185.5500000000011</v>
      </c>
      <c r="C15" s="2912">
        <f>C3+C9</f>
        <v>2941741</v>
      </c>
      <c r="D15" s="3093">
        <f>ROUND(C15/30/B15,2)</f>
        <v>11.98</v>
      </c>
      <c r="G15">
        <f>C15*12/10000</f>
        <v>3530.0891999999999</v>
      </c>
      <c r="I15">
        <f>ROUND(B15*365*12/10000,0)</f>
        <v>3585</v>
      </c>
    </row>
    <row r="16" spans="1:9">
      <c r="A16" s="3087" t="s">
        <v>3307</v>
      </c>
      <c r="B16" s="2912">
        <f>B4+B10</f>
        <v>95542.929999999978</v>
      </c>
      <c r="C16" s="2912">
        <f>C4+C10</f>
        <v>45550054</v>
      </c>
      <c r="D16" s="3093">
        <f>ROUND(C16/30/B16,2)</f>
        <v>15.89</v>
      </c>
      <c r="G16">
        <f>C16*12/10000</f>
        <v>54660.0648</v>
      </c>
      <c r="I16">
        <f>ROUND(B16*365*15/10000,0)</f>
        <v>52310</v>
      </c>
    </row>
    <row r="17" spans="1:5">
      <c r="A17" s="3088" t="s">
        <v>3305</v>
      </c>
      <c r="B17">
        <f>SUM(B15:B16)</f>
        <v>103728.47999999998</v>
      </c>
    </row>
    <row r="19" spans="1:5">
      <c r="A19" s="2912"/>
      <c r="B19" s="3010" t="s">
        <v>3301</v>
      </c>
      <c r="C19" s="3010" t="s">
        <v>3308</v>
      </c>
      <c r="D19" s="3010" t="s">
        <v>3309</v>
      </c>
    </row>
    <row r="20" spans="1:5">
      <c r="A20" s="3087" t="s">
        <v>3306</v>
      </c>
      <c r="B20" s="2912">
        <f>'数据-汇总表'!F19+'数据-汇总表'!G19</f>
        <v>10535.52</v>
      </c>
      <c r="C20" s="2912">
        <f>B20-B15</f>
        <v>2349.9699999999993</v>
      </c>
      <c r="D20" s="3089">
        <f>ROUND((B20-C20)/B20,2)</f>
        <v>0.78</v>
      </c>
    </row>
    <row r="21" spans="1:5">
      <c r="A21" s="3087" t="s">
        <v>3307</v>
      </c>
      <c r="B21" s="2912">
        <f>'数据-汇总表'!F20</f>
        <v>107191.97</v>
      </c>
      <c r="C21" s="2912">
        <f>B21-B16</f>
        <v>11649.040000000023</v>
      </c>
      <c r="D21" s="3089">
        <f>ROUND((B21-C21)/B21,2)</f>
        <v>0.89</v>
      </c>
    </row>
    <row r="27" spans="1:5">
      <c r="A27" s="2912"/>
      <c r="B27" s="2912">
        <v>2014</v>
      </c>
      <c r="C27" s="2912">
        <v>2015</v>
      </c>
      <c r="D27" s="2912">
        <v>2016</v>
      </c>
      <c r="E27" s="2912">
        <v>2017</v>
      </c>
    </row>
    <row r="28" spans="1:5">
      <c r="A28" s="3010" t="s">
        <v>3298</v>
      </c>
      <c r="B28" s="3010">
        <v>46469</v>
      </c>
      <c r="C28" s="2912">
        <v>48481</v>
      </c>
      <c r="D28" s="2912">
        <v>45991</v>
      </c>
      <c r="E28" s="2912">
        <v>49143</v>
      </c>
    </row>
    <row r="29" spans="1:5">
      <c r="A29" s="3010" t="s">
        <v>3299</v>
      </c>
      <c r="B29" s="2912">
        <f>C28/B28-1</f>
        <v>4.3297682325851738E-2</v>
      </c>
      <c r="C29" s="2912">
        <f>D28/C28-1</f>
        <v>-5.1360326725933825E-2</v>
      </c>
      <c r="D29" s="2912">
        <f>E28/D28-1</f>
        <v>6.8535148181165795E-2</v>
      </c>
      <c r="E29" s="3105"/>
    </row>
  </sheetData>
  <mergeCells count="3">
    <mergeCell ref="A1:D1"/>
    <mergeCell ref="A7:D7"/>
    <mergeCell ref="A13:D13"/>
  </mergeCells>
  <phoneticPr fontId="14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workbookViewId="0">
      <selection activeCell="K4" sqref="K4"/>
    </sheetView>
  </sheetViews>
  <sheetFormatPr defaultRowHeight="13.5"/>
  <cols>
    <col min="1" max="3" width="15.625" style="2913" customWidth="1"/>
    <col min="5" max="5" width="12.375" customWidth="1"/>
    <col min="6" max="6" width="9.5" bestFit="1" customWidth="1"/>
    <col min="7" max="7" width="10.75" bestFit="1" customWidth="1"/>
    <col min="8" max="8" width="12" bestFit="1" customWidth="1"/>
    <col min="9" max="9" width="11.625" bestFit="1" customWidth="1"/>
    <col min="10" max="10" width="14.375" customWidth="1"/>
    <col min="11" max="11" width="13.5" customWidth="1"/>
    <col min="257" max="259" width="15.625" customWidth="1"/>
    <col min="261" max="261" width="12.375" customWidth="1"/>
    <col min="262" max="262" width="9.5" bestFit="1" customWidth="1"/>
    <col min="263" max="263" width="10.75" bestFit="1" customWidth="1"/>
    <col min="264" max="264" width="12" bestFit="1" customWidth="1"/>
    <col min="265" max="265" width="10.75" bestFit="1" customWidth="1"/>
    <col min="266" max="266" width="14.375" customWidth="1"/>
    <col min="267" max="267" width="13.5" customWidth="1"/>
    <col min="513" max="515" width="15.625" customWidth="1"/>
    <col min="517" max="517" width="12.375" customWidth="1"/>
    <col min="518" max="518" width="9.5" bestFit="1" customWidth="1"/>
    <col min="519" max="519" width="10.75" bestFit="1" customWidth="1"/>
    <col min="520" max="520" width="12" bestFit="1" customWidth="1"/>
    <col min="521" max="521" width="10.75" bestFit="1" customWidth="1"/>
    <col min="522" max="522" width="14.375" customWidth="1"/>
    <col min="523" max="523" width="13.5" customWidth="1"/>
    <col min="769" max="771" width="15.625" customWidth="1"/>
    <col min="773" max="773" width="12.375" customWidth="1"/>
    <col min="774" max="774" width="9.5" bestFit="1" customWidth="1"/>
    <col min="775" max="775" width="10.75" bestFit="1" customWidth="1"/>
    <col min="776" max="776" width="12" bestFit="1" customWidth="1"/>
    <col min="777" max="777" width="10.75" bestFit="1" customWidth="1"/>
    <col min="778" max="778" width="14.375" customWidth="1"/>
    <col min="779" max="779" width="13.5" customWidth="1"/>
    <col min="1025" max="1027" width="15.625" customWidth="1"/>
    <col min="1029" max="1029" width="12.375" customWidth="1"/>
    <col min="1030" max="1030" width="9.5" bestFit="1" customWidth="1"/>
    <col min="1031" max="1031" width="10.75" bestFit="1" customWidth="1"/>
    <col min="1032" max="1032" width="12" bestFit="1" customWidth="1"/>
    <col min="1033" max="1033" width="10.75" bestFit="1" customWidth="1"/>
    <col min="1034" max="1034" width="14.375" customWidth="1"/>
    <col min="1035" max="1035" width="13.5" customWidth="1"/>
    <col min="1281" max="1283" width="15.625" customWidth="1"/>
    <col min="1285" max="1285" width="12.375" customWidth="1"/>
    <col min="1286" max="1286" width="9.5" bestFit="1" customWidth="1"/>
    <col min="1287" max="1287" width="10.75" bestFit="1" customWidth="1"/>
    <col min="1288" max="1288" width="12" bestFit="1" customWidth="1"/>
    <col min="1289" max="1289" width="10.75" bestFit="1" customWidth="1"/>
    <col min="1290" max="1290" width="14.375" customWidth="1"/>
    <col min="1291" max="1291" width="13.5" customWidth="1"/>
    <col min="1537" max="1539" width="15.625" customWidth="1"/>
    <col min="1541" max="1541" width="12.375" customWidth="1"/>
    <col min="1542" max="1542" width="9.5" bestFit="1" customWidth="1"/>
    <col min="1543" max="1543" width="10.75" bestFit="1" customWidth="1"/>
    <col min="1544" max="1544" width="12" bestFit="1" customWidth="1"/>
    <col min="1545" max="1545" width="10.75" bestFit="1" customWidth="1"/>
    <col min="1546" max="1546" width="14.375" customWidth="1"/>
    <col min="1547" max="1547" width="13.5" customWidth="1"/>
    <col min="1793" max="1795" width="15.625" customWidth="1"/>
    <col min="1797" max="1797" width="12.375" customWidth="1"/>
    <col min="1798" max="1798" width="9.5" bestFit="1" customWidth="1"/>
    <col min="1799" max="1799" width="10.75" bestFit="1" customWidth="1"/>
    <col min="1800" max="1800" width="12" bestFit="1" customWidth="1"/>
    <col min="1801" max="1801" width="10.75" bestFit="1" customWidth="1"/>
    <col min="1802" max="1802" width="14.375" customWidth="1"/>
    <col min="1803" max="1803" width="13.5" customWidth="1"/>
    <col min="2049" max="2051" width="15.625" customWidth="1"/>
    <col min="2053" max="2053" width="12.375" customWidth="1"/>
    <col min="2054" max="2054" width="9.5" bestFit="1" customWidth="1"/>
    <col min="2055" max="2055" width="10.75" bestFit="1" customWidth="1"/>
    <col min="2056" max="2056" width="12" bestFit="1" customWidth="1"/>
    <col min="2057" max="2057" width="10.75" bestFit="1" customWidth="1"/>
    <col min="2058" max="2058" width="14.375" customWidth="1"/>
    <col min="2059" max="2059" width="13.5" customWidth="1"/>
    <col min="2305" max="2307" width="15.625" customWidth="1"/>
    <col min="2309" max="2309" width="12.375" customWidth="1"/>
    <col min="2310" max="2310" width="9.5" bestFit="1" customWidth="1"/>
    <col min="2311" max="2311" width="10.75" bestFit="1" customWidth="1"/>
    <col min="2312" max="2312" width="12" bestFit="1" customWidth="1"/>
    <col min="2313" max="2313" width="10.75" bestFit="1" customWidth="1"/>
    <col min="2314" max="2314" width="14.375" customWidth="1"/>
    <col min="2315" max="2315" width="13.5" customWidth="1"/>
    <col min="2561" max="2563" width="15.625" customWidth="1"/>
    <col min="2565" max="2565" width="12.375" customWidth="1"/>
    <col min="2566" max="2566" width="9.5" bestFit="1" customWidth="1"/>
    <col min="2567" max="2567" width="10.75" bestFit="1" customWidth="1"/>
    <col min="2568" max="2568" width="12" bestFit="1" customWidth="1"/>
    <col min="2569" max="2569" width="10.75" bestFit="1" customWidth="1"/>
    <col min="2570" max="2570" width="14.375" customWidth="1"/>
    <col min="2571" max="2571" width="13.5" customWidth="1"/>
    <col min="2817" max="2819" width="15.625" customWidth="1"/>
    <col min="2821" max="2821" width="12.375" customWidth="1"/>
    <col min="2822" max="2822" width="9.5" bestFit="1" customWidth="1"/>
    <col min="2823" max="2823" width="10.75" bestFit="1" customWidth="1"/>
    <col min="2824" max="2824" width="12" bestFit="1" customWidth="1"/>
    <col min="2825" max="2825" width="10.75" bestFit="1" customWidth="1"/>
    <col min="2826" max="2826" width="14.375" customWidth="1"/>
    <col min="2827" max="2827" width="13.5" customWidth="1"/>
    <col min="3073" max="3075" width="15.625" customWidth="1"/>
    <col min="3077" max="3077" width="12.375" customWidth="1"/>
    <col min="3078" max="3078" width="9.5" bestFit="1" customWidth="1"/>
    <col min="3079" max="3079" width="10.75" bestFit="1" customWidth="1"/>
    <col min="3080" max="3080" width="12" bestFit="1" customWidth="1"/>
    <col min="3081" max="3081" width="10.75" bestFit="1" customWidth="1"/>
    <col min="3082" max="3082" width="14.375" customWidth="1"/>
    <col min="3083" max="3083" width="13.5" customWidth="1"/>
    <col min="3329" max="3331" width="15.625" customWidth="1"/>
    <col min="3333" max="3333" width="12.375" customWidth="1"/>
    <col min="3334" max="3334" width="9.5" bestFit="1" customWidth="1"/>
    <col min="3335" max="3335" width="10.75" bestFit="1" customWidth="1"/>
    <col min="3336" max="3336" width="12" bestFit="1" customWidth="1"/>
    <col min="3337" max="3337" width="10.75" bestFit="1" customWidth="1"/>
    <col min="3338" max="3338" width="14.375" customWidth="1"/>
    <col min="3339" max="3339" width="13.5" customWidth="1"/>
    <col min="3585" max="3587" width="15.625" customWidth="1"/>
    <col min="3589" max="3589" width="12.375" customWidth="1"/>
    <col min="3590" max="3590" width="9.5" bestFit="1" customWidth="1"/>
    <col min="3591" max="3591" width="10.75" bestFit="1" customWidth="1"/>
    <col min="3592" max="3592" width="12" bestFit="1" customWidth="1"/>
    <col min="3593" max="3593" width="10.75" bestFit="1" customWidth="1"/>
    <col min="3594" max="3594" width="14.375" customWidth="1"/>
    <col min="3595" max="3595" width="13.5" customWidth="1"/>
    <col min="3841" max="3843" width="15.625" customWidth="1"/>
    <col min="3845" max="3845" width="12.375" customWidth="1"/>
    <col min="3846" max="3846" width="9.5" bestFit="1" customWidth="1"/>
    <col min="3847" max="3847" width="10.75" bestFit="1" customWidth="1"/>
    <col min="3848" max="3848" width="12" bestFit="1" customWidth="1"/>
    <col min="3849" max="3849" width="10.75" bestFit="1" customWidth="1"/>
    <col min="3850" max="3850" width="14.375" customWidth="1"/>
    <col min="3851" max="3851" width="13.5" customWidth="1"/>
    <col min="4097" max="4099" width="15.625" customWidth="1"/>
    <col min="4101" max="4101" width="12.375" customWidth="1"/>
    <col min="4102" max="4102" width="9.5" bestFit="1" customWidth="1"/>
    <col min="4103" max="4103" width="10.75" bestFit="1" customWidth="1"/>
    <col min="4104" max="4104" width="12" bestFit="1" customWidth="1"/>
    <col min="4105" max="4105" width="10.75" bestFit="1" customWidth="1"/>
    <col min="4106" max="4106" width="14.375" customWidth="1"/>
    <col min="4107" max="4107" width="13.5" customWidth="1"/>
    <col min="4353" max="4355" width="15.625" customWidth="1"/>
    <col min="4357" max="4357" width="12.375" customWidth="1"/>
    <col min="4358" max="4358" width="9.5" bestFit="1" customWidth="1"/>
    <col min="4359" max="4359" width="10.75" bestFit="1" customWidth="1"/>
    <col min="4360" max="4360" width="12" bestFit="1" customWidth="1"/>
    <col min="4361" max="4361" width="10.75" bestFit="1" customWidth="1"/>
    <col min="4362" max="4362" width="14.375" customWidth="1"/>
    <col min="4363" max="4363" width="13.5" customWidth="1"/>
    <col min="4609" max="4611" width="15.625" customWidth="1"/>
    <col min="4613" max="4613" width="12.375" customWidth="1"/>
    <col min="4614" max="4614" width="9.5" bestFit="1" customWidth="1"/>
    <col min="4615" max="4615" width="10.75" bestFit="1" customWidth="1"/>
    <col min="4616" max="4616" width="12" bestFit="1" customWidth="1"/>
    <col min="4617" max="4617" width="10.75" bestFit="1" customWidth="1"/>
    <col min="4618" max="4618" width="14.375" customWidth="1"/>
    <col min="4619" max="4619" width="13.5" customWidth="1"/>
    <col min="4865" max="4867" width="15.625" customWidth="1"/>
    <col min="4869" max="4869" width="12.375" customWidth="1"/>
    <col min="4870" max="4870" width="9.5" bestFit="1" customWidth="1"/>
    <col min="4871" max="4871" width="10.75" bestFit="1" customWidth="1"/>
    <col min="4872" max="4872" width="12" bestFit="1" customWidth="1"/>
    <col min="4873" max="4873" width="10.75" bestFit="1" customWidth="1"/>
    <col min="4874" max="4874" width="14.375" customWidth="1"/>
    <col min="4875" max="4875" width="13.5" customWidth="1"/>
    <col min="5121" max="5123" width="15.625" customWidth="1"/>
    <col min="5125" max="5125" width="12.375" customWidth="1"/>
    <col min="5126" max="5126" width="9.5" bestFit="1" customWidth="1"/>
    <col min="5127" max="5127" width="10.75" bestFit="1" customWidth="1"/>
    <col min="5128" max="5128" width="12" bestFit="1" customWidth="1"/>
    <col min="5129" max="5129" width="10.75" bestFit="1" customWidth="1"/>
    <col min="5130" max="5130" width="14.375" customWidth="1"/>
    <col min="5131" max="5131" width="13.5" customWidth="1"/>
    <col min="5377" max="5379" width="15.625" customWidth="1"/>
    <col min="5381" max="5381" width="12.375" customWidth="1"/>
    <col min="5382" max="5382" width="9.5" bestFit="1" customWidth="1"/>
    <col min="5383" max="5383" width="10.75" bestFit="1" customWidth="1"/>
    <col min="5384" max="5384" width="12" bestFit="1" customWidth="1"/>
    <col min="5385" max="5385" width="10.75" bestFit="1" customWidth="1"/>
    <col min="5386" max="5386" width="14.375" customWidth="1"/>
    <col min="5387" max="5387" width="13.5" customWidth="1"/>
    <col min="5633" max="5635" width="15.625" customWidth="1"/>
    <col min="5637" max="5637" width="12.375" customWidth="1"/>
    <col min="5638" max="5638" width="9.5" bestFit="1" customWidth="1"/>
    <col min="5639" max="5639" width="10.75" bestFit="1" customWidth="1"/>
    <col min="5640" max="5640" width="12" bestFit="1" customWidth="1"/>
    <col min="5641" max="5641" width="10.75" bestFit="1" customWidth="1"/>
    <col min="5642" max="5642" width="14.375" customWidth="1"/>
    <col min="5643" max="5643" width="13.5" customWidth="1"/>
    <col min="5889" max="5891" width="15.625" customWidth="1"/>
    <col min="5893" max="5893" width="12.375" customWidth="1"/>
    <col min="5894" max="5894" width="9.5" bestFit="1" customWidth="1"/>
    <col min="5895" max="5895" width="10.75" bestFit="1" customWidth="1"/>
    <col min="5896" max="5896" width="12" bestFit="1" customWidth="1"/>
    <col min="5897" max="5897" width="10.75" bestFit="1" customWidth="1"/>
    <col min="5898" max="5898" width="14.375" customWidth="1"/>
    <col min="5899" max="5899" width="13.5" customWidth="1"/>
    <col min="6145" max="6147" width="15.625" customWidth="1"/>
    <col min="6149" max="6149" width="12.375" customWidth="1"/>
    <col min="6150" max="6150" width="9.5" bestFit="1" customWidth="1"/>
    <col min="6151" max="6151" width="10.75" bestFit="1" customWidth="1"/>
    <col min="6152" max="6152" width="12" bestFit="1" customWidth="1"/>
    <col min="6153" max="6153" width="10.75" bestFit="1" customWidth="1"/>
    <col min="6154" max="6154" width="14.375" customWidth="1"/>
    <col min="6155" max="6155" width="13.5" customWidth="1"/>
    <col min="6401" max="6403" width="15.625" customWidth="1"/>
    <col min="6405" max="6405" width="12.375" customWidth="1"/>
    <col min="6406" max="6406" width="9.5" bestFit="1" customWidth="1"/>
    <col min="6407" max="6407" width="10.75" bestFit="1" customWidth="1"/>
    <col min="6408" max="6408" width="12" bestFit="1" customWidth="1"/>
    <col min="6409" max="6409" width="10.75" bestFit="1" customWidth="1"/>
    <col min="6410" max="6410" width="14.375" customWidth="1"/>
    <col min="6411" max="6411" width="13.5" customWidth="1"/>
    <col min="6657" max="6659" width="15.625" customWidth="1"/>
    <col min="6661" max="6661" width="12.375" customWidth="1"/>
    <col min="6662" max="6662" width="9.5" bestFit="1" customWidth="1"/>
    <col min="6663" max="6663" width="10.75" bestFit="1" customWidth="1"/>
    <col min="6664" max="6664" width="12" bestFit="1" customWidth="1"/>
    <col min="6665" max="6665" width="10.75" bestFit="1" customWidth="1"/>
    <col min="6666" max="6666" width="14.375" customWidth="1"/>
    <col min="6667" max="6667" width="13.5" customWidth="1"/>
    <col min="6913" max="6915" width="15.625" customWidth="1"/>
    <col min="6917" max="6917" width="12.375" customWidth="1"/>
    <col min="6918" max="6918" width="9.5" bestFit="1" customWidth="1"/>
    <col min="6919" max="6919" width="10.75" bestFit="1" customWidth="1"/>
    <col min="6920" max="6920" width="12" bestFit="1" customWidth="1"/>
    <col min="6921" max="6921" width="10.75" bestFit="1" customWidth="1"/>
    <col min="6922" max="6922" width="14.375" customWidth="1"/>
    <col min="6923" max="6923" width="13.5" customWidth="1"/>
    <col min="7169" max="7171" width="15.625" customWidth="1"/>
    <col min="7173" max="7173" width="12.375" customWidth="1"/>
    <col min="7174" max="7174" width="9.5" bestFit="1" customWidth="1"/>
    <col min="7175" max="7175" width="10.75" bestFit="1" customWidth="1"/>
    <col min="7176" max="7176" width="12" bestFit="1" customWidth="1"/>
    <col min="7177" max="7177" width="10.75" bestFit="1" customWidth="1"/>
    <col min="7178" max="7178" width="14.375" customWidth="1"/>
    <col min="7179" max="7179" width="13.5" customWidth="1"/>
    <col min="7425" max="7427" width="15.625" customWidth="1"/>
    <col min="7429" max="7429" width="12.375" customWidth="1"/>
    <col min="7430" max="7430" width="9.5" bestFit="1" customWidth="1"/>
    <col min="7431" max="7431" width="10.75" bestFit="1" customWidth="1"/>
    <col min="7432" max="7432" width="12" bestFit="1" customWidth="1"/>
    <col min="7433" max="7433" width="10.75" bestFit="1" customWidth="1"/>
    <col min="7434" max="7434" width="14.375" customWidth="1"/>
    <col min="7435" max="7435" width="13.5" customWidth="1"/>
    <col min="7681" max="7683" width="15.625" customWidth="1"/>
    <col min="7685" max="7685" width="12.375" customWidth="1"/>
    <col min="7686" max="7686" width="9.5" bestFit="1" customWidth="1"/>
    <col min="7687" max="7687" width="10.75" bestFit="1" customWidth="1"/>
    <col min="7688" max="7688" width="12" bestFit="1" customWidth="1"/>
    <col min="7689" max="7689" width="10.75" bestFit="1" customWidth="1"/>
    <col min="7690" max="7690" width="14.375" customWidth="1"/>
    <col min="7691" max="7691" width="13.5" customWidth="1"/>
    <col min="7937" max="7939" width="15.625" customWidth="1"/>
    <col min="7941" max="7941" width="12.375" customWidth="1"/>
    <col min="7942" max="7942" width="9.5" bestFit="1" customWidth="1"/>
    <col min="7943" max="7943" width="10.75" bestFit="1" customWidth="1"/>
    <col min="7944" max="7944" width="12" bestFit="1" customWidth="1"/>
    <col min="7945" max="7945" width="10.75" bestFit="1" customWidth="1"/>
    <col min="7946" max="7946" width="14.375" customWidth="1"/>
    <col min="7947" max="7947" width="13.5" customWidth="1"/>
    <col min="8193" max="8195" width="15.625" customWidth="1"/>
    <col min="8197" max="8197" width="12.375" customWidth="1"/>
    <col min="8198" max="8198" width="9.5" bestFit="1" customWidth="1"/>
    <col min="8199" max="8199" width="10.75" bestFit="1" customWidth="1"/>
    <col min="8200" max="8200" width="12" bestFit="1" customWidth="1"/>
    <col min="8201" max="8201" width="10.75" bestFit="1" customWidth="1"/>
    <col min="8202" max="8202" width="14.375" customWidth="1"/>
    <col min="8203" max="8203" width="13.5" customWidth="1"/>
    <col min="8449" max="8451" width="15.625" customWidth="1"/>
    <col min="8453" max="8453" width="12.375" customWidth="1"/>
    <col min="8454" max="8454" width="9.5" bestFit="1" customWidth="1"/>
    <col min="8455" max="8455" width="10.75" bestFit="1" customWidth="1"/>
    <col min="8456" max="8456" width="12" bestFit="1" customWidth="1"/>
    <col min="8457" max="8457" width="10.75" bestFit="1" customWidth="1"/>
    <col min="8458" max="8458" width="14.375" customWidth="1"/>
    <col min="8459" max="8459" width="13.5" customWidth="1"/>
    <col min="8705" max="8707" width="15.625" customWidth="1"/>
    <col min="8709" max="8709" width="12.375" customWidth="1"/>
    <col min="8710" max="8710" width="9.5" bestFit="1" customWidth="1"/>
    <col min="8711" max="8711" width="10.75" bestFit="1" customWidth="1"/>
    <col min="8712" max="8712" width="12" bestFit="1" customWidth="1"/>
    <col min="8713" max="8713" width="10.75" bestFit="1" customWidth="1"/>
    <col min="8714" max="8714" width="14.375" customWidth="1"/>
    <col min="8715" max="8715" width="13.5" customWidth="1"/>
    <col min="8961" max="8963" width="15.625" customWidth="1"/>
    <col min="8965" max="8965" width="12.375" customWidth="1"/>
    <col min="8966" max="8966" width="9.5" bestFit="1" customWidth="1"/>
    <col min="8967" max="8967" width="10.75" bestFit="1" customWidth="1"/>
    <col min="8968" max="8968" width="12" bestFit="1" customWidth="1"/>
    <col min="8969" max="8969" width="10.75" bestFit="1" customWidth="1"/>
    <col min="8970" max="8970" width="14.375" customWidth="1"/>
    <col min="8971" max="8971" width="13.5" customWidth="1"/>
    <col min="9217" max="9219" width="15.625" customWidth="1"/>
    <col min="9221" max="9221" width="12.375" customWidth="1"/>
    <col min="9222" max="9222" width="9.5" bestFit="1" customWidth="1"/>
    <col min="9223" max="9223" width="10.75" bestFit="1" customWidth="1"/>
    <col min="9224" max="9224" width="12" bestFit="1" customWidth="1"/>
    <col min="9225" max="9225" width="10.75" bestFit="1" customWidth="1"/>
    <col min="9226" max="9226" width="14.375" customWidth="1"/>
    <col min="9227" max="9227" width="13.5" customWidth="1"/>
    <col min="9473" max="9475" width="15.625" customWidth="1"/>
    <col min="9477" max="9477" width="12.375" customWidth="1"/>
    <col min="9478" max="9478" width="9.5" bestFit="1" customWidth="1"/>
    <col min="9479" max="9479" width="10.75" bestFit="1" customWidth="1"/>
    <col min="9480" max="9480" width="12" bestFit="1" customWidth="1"/>
    <col min="9481" max="9481" width="10.75" bestFit="1" customWidth="1"/>
    <col min="9482" max="9482" width="14.375" customWidth="1"/>
    <col min="9483" max="9483" width="13.5" customWidth="1"/>
    <col min="9729" max="9731" width="15.625" customWidth="1"/>
    <col min="9733" max="9733" width="12.375" customWidth="1"/>
    <col min="9734" max="9734" width="9.5" bestFit="1" customWidth="1"/>
    <col min="9735" max="9735" width="10.75" bestFit="1" customWidth="1"/>
    <col min="9736" max="9736" width="12" bestFit="1" customWidth="1"/>
    <col min="9737" max="9737" width="10.75" bestFit="1" customWidth="1"/>
    <col min="9738" max="9738" width="14.375" customWidth="1"/>
    <col min="9739" max="9739" width="13.5" customWidth="1"/>
    <col min="9985" max="9987" width="15.625" customWidth="1"/>
    <col min="9989" max="9989" width="12.375" customWidth="1"/>
    <col min="9990" max="9990" width="9.5" bestFit="1" customWidth="1"/>
    <col min="9991" max="9991" width="10.75" bestFit="1" customWidth="1"/>
    <col min="9992" max="9992" width="12" bestFit="1" customWidth="1"/>
    <col min="9993" max="9993" width="10.75" bestFit="1" customWidth="1"/>
    <col min="9994" max="9994" width="14.375" customWidth="1"/>
    <col min="9995" max="9995" width="13.5" customWidth="1"/>
    <col min="10241" max="10243" width="15.625" customWidth="1"/>
    <col min="10245" max="10245" width="12.375" customWidth="1"/>
    <col min="10246" max="10246" width="9.5" bestFit="1" customWidth="1"/>
    <col min="10247" max="10247" width="10.75" bestFit="1" customWidth="1"/>
    <col min="10248" max="10248" width="12" bestFit="1" customWidth="1"/>
    <col min="10249" max="10249" width="10.75" bestFit="1" customWidth="1"/>
    <col min="10250" max="10250" width="14.375" customWidth="1"/>
    <col min="10251" max="10251" width="13.5" customWidth="1"/>
    <col min="10497" max="10499" width="15.625" customWidth="1"/>
    <col min="10501" max="10501" width="12.375" customWidth="1"/>
    <col min="10502" max="10502" width="9.5" bestFit="1" customWidth="1"/>
    <col min="10503" max="10503" width="10.75" bestFit="1" customWidth="1"/>
    <col min="10504" max="10504" width="12" bestFit="1" customWidth="1"/>
    <col min="10505" max="10505" width="10.75" bestFit="1" customWidth="1"/>
    <col min="10506" max="10506" width="14.375" customWidth="1"/>
    <col min="10507" max="10507" width="13.5" customWidth="1"/>
    <col min="10753" max="10755" width="15.625" customWidth="1"/>
    <col min="10757" max="10757" width="12.375" customWidth="1"/>
    <col min="10758" max="10758" width="9.5" bestFit="1" customWidth="1"/>
    <col min="10759" max="10759" width="10.75" bestFit="1" customWidth="1"/>
    <col min="10760" max="10760" width="12" bestFit="1" customWidth="1"/>
    <col min="10761" max="10761" width="10.75" bestFit="1" customWidth="1"/>
    <col min="10762" max="10762" width="14.375" customWidth="1"/>
    <col min="10763" max="10763" width="13.5" customWidth="1"/>
    <col min="11009" max="11011" width="15.625" customWidth="1"/>
    <col min="11013" max="11013" width="12.375" customWidth="1"/>
    <col min="11014" max="11014" width="9.5" bestFit="1" customWidth="1"/>
    <col min="11015" max="11015" width="10.75" bestFit="1" customWidth="1"/>
    <col min="11016" max="11016" width="12" bestFit="1" customWidth="1"/>
    <col min="11017" max="11017" width="10.75" bestFit="1" customWidth="1"/>
    <col min="11018" max="11018" width="14.375" customWidth="1"/>
    <col min="11019" max="11019" width="13.5" customWidth="1"/>
    <col min="11265" max="11267" width="15.625" customWidth="1"/>
    <col min="11269" max="11269" width="12.375" customWidth="1"/>
    <col min="11270" max="11270" width="9.5" bestFit="1" customWidth="1"/>
    <col min="11271" max="11271" width="10.75" bestFit="1" customWidth="1"/>
    <col min="11272" max="11272" width="12" bestFit="1" customWidth="1"/>
    <col min="11273" max="11273" width="10.75" bestFit="1" customWidth="1"/>
    <col min="11274" max="11274" width="14.375" customWidth="1"/>
    <col min="11275" max="11275" width="13.5" customWidth="1"/>
    <col min="11521" max="11523" width="15.625" customWidth="1"/>
    <col min="11525" max="11525" width="12.375" customWidth="1"/>
    <col min="11526" max="11526" width="9.5" bestFit="1" customWidth="1"/>
    <col min="11527" max="11527" width="10.75" bestFit="1" customWidth="1"/>
    <col min="11528" max="11528" width="12" bestFit="1" customWidth="1"/>
    <col min="11529" max="11529" width="10.75" bestFit="1" customWidth="1"/>
    <col min="11530" max="11530" width="14.375" customWidth="1"/>
    <col min="11531" max="11531" width="13.5" customWidth="1"/>
    <col min="11777" max="11779" width="15.625" customWidth="1"/>
    <col min="11781" max="11781" width="12.375" customWidth="1"/>
    <col min="11782" max="11782" width="9.5" bestFit="1" customWidth="1"/>
    <col min="11783" max="11783" width="10.75" bestFit="1" customWidth="1"/>
    <col min="11784" max="11784" width="12" bestFit="1" customWidth="1"/>
    <col min="11785" max="11785" width="10.75" bestFit="1" customWidth="1"/>
    <col min="11786" max="11786" width="14.375" customWidth="1"/>
    <col min="11787" max="11787" width="13.5" customWidth="1"/>
    <col min="12033" max="12035" width="15.625" customWidth="1"/>
    <col min="12037" max="12037" width="12.375" customWidth="1"/>
    <col min="12038" max="12038" width="9.5" bestFit="1" customWidth="1"/>
    <col min="12039" max="12039" width="10.75" bestFit="1" customWidth="1"/>
    <col min="12040" max="12040" width="12" bestFit="1" customWidth="1"/>
    <col min="12041" max="12041" width="10.75" bestFit="1" customWidth="1"/>
    <col min="12042" max="12042" width="14.375" customWidth="1"/>
    <col min="12043" max="12043" width="13.5" customWidth="1"/>
    <col min="12289" max="12291" width="15.625" customWidth="1"/>
    <col min="12293" max="12293" width="12.375" customWidth="1"/>
    <col min="12294" max="12294" width="9.5" bestFit="1" customWidth="1"/>
    <col min="12295" max="12295" width="10.75" bestFit="1" customWidth="1"/>
    <col min="12296" max="12296" width="12" bestFit="1" customWidth="1"/>
    <col min="12297" max="12297" width="10.75" bestFit="1" customWidth="1"/>
    <col min="12298" max="12298" width="14.375" customWidth="1"/>
    <col min="12299" max="12299" width="13.5" customWidth="1"/>
    <col min="12545" max="12547" width="15.625" customWidth="1"/>
    <col min="12549" max="12549" width="12.375" customWidth="1"/>
    <col min="12550" max="12550" width="9.5" bestFit="1" customWidth="1"/>
    <col min="12551" max="12551" width="10.75" bestFit="1" customWidth="1"/>
    <col min="12552" max="12552" width="12" bestFit="1" customWidth="1"/>
    <col min="12553" max="12553" width="10.75" bestFit="1" customWidth="1"/>
    <col min="12554" max="12554" width="14.375" customWidth="1"/>
    <col min="12555" max="12555" width="13.5" customWidth="1"/>
    <col min="12801" max="12803" width="15.625" customWidth="1"/>
    <col min="12805" max="12805" width="12.375" customWidth="1"/>
    <col min="12806" max="12806" width="9.5" bestFit="1" customWidth="1"/>
    <col min="12807" max="12807" width="10.75" bestFit="1" customWidth="1"/>
    <col min="12808" max="12808" width="12" bestFit="1" customWidth="1"/>
    <col min="12809" max="12809" width="10.75" bestFit="1" customWidth="1"/>
    <col min="12810" max="12810" width="14.375" customWidth="1"/>
    <col min="12811" max="12811" width="13.5" customWidth="1"/>
    <col min="13057" max="13059" width="15.625" customWidth="1"/>
    <col min="13061" max="13061" width="12.375" customWidth="1"/>
    <col min="13062" max="13062" width="9.5" bestFit="1" customWidth="1"/>
    <col min="13063" max="13063" width="10.75" bestFit="1" customWidth="1"/>
    <col min="13064" max="13064" width="12" bestFit="1" customWidth="1"/>
    <col min="13065" max="13065" width="10.75" bestFit="1" customWidth="1"/>
    <col min="13066" max="13066" width="14.375" customWidth="1"/>
    <col min="13067" max="13067" width="13.5" customWidth="1"/>
    <col min="13313" max="13315" width="15.625" customWidth="1"/>
    <col min="13317" max="13317" width="12.375" customWidth="1"/>
    <col min="13318" max="13318" width="9.5" bestFit="1" customWidth="1"/>
    <col min="13319" max="13319" width="10.75" bestFit="1" customWidth="1"/>
    <col min="13320" max="13320" width="12" bestFit="1" customWidth="1"/>
    <col min="13321" max="13321" width="10.75" bestFit="1" customWidth="1"/>
    <col min="13322" max="13322" width="14.375" customWidth="1"/>
    <col min="13323" max="13323" width="13.5" customWidth="1"/>
    <col min="13569" max="13571" width="15.625" customWidth="1"/>
    <col min="13573" max="13573" width="12.375" customWidth="1"/>
    <col min="13574" max="13574" width="9.5" bestFit="1" customWidth="1"/>
    <col min="13575" max="13575" width="10.75" bestFit="1" customWidth="1"/>
    <col min="13576" max="13576" width="12" bestFit="1" customWidth="1"/>
    <col min="13577" max="13577" width="10.75" bestFit="1" customWidth="1"/>
    <col min="13578" max="13578" width="14.375" customWidth="1"/>
    <col min="13579" max="13579" width="13.5" customWidth="1"/>
    <col min="13825" max="13827" width="15.625" customWidth="1"/>
    <col min="13829" max="13829" width="12.375" customWidth="1"/>
    <col min="13830" max="13830" width="9.5" bestFit="1" customWidth="1"/>
    <col min="13831" max="13831" width="10.75" bestFit="1" customWidth="1"/>
    <col min="13832" max="13832" width="12" bestFit="1" customWidth="1"/>
    <col min="13833" max="13833" width="10.75" bestFit="1" customWidth="1"/>
    <col min="13834" max="13834" width="14.375" customWidth="1"/>
    <col min="13835" max="13835" width="13.5" customWidth="1"/>
    <col min="14081" max="14083" width="15.625" customWidth="1"/>
    <col min="14085" max="14085" width="12.375" customWidth="1"/>
    <col min="14086" max="14086" width="9.5" bestFit="1" customWidth="1"/>
    <col min="14087" max="14087" width="10.75" bestFit="1" customWidth="1"/>
    <col min="14088" max="14088" width="12" bestFit="1" customWidth="1"/>
    <col min="14089" max="14089" width="10.75" bestFit="1" customWidth="1"/>
    <col min="14090" max="14090" width="14.375" customWidth="1"/>
    <col min="14091" max="14091" width="13.5" customWidth="1"/>
    <col min="14337" max="14339" width="15.625" customWidth="1"/>
    <col min="14341" max="14341" width="12.375" customWidth="1"/>
    <col min="14342" max="14342" width="9.5" bestFit="1" customWidth="1"/>
    <col min="14343" max="14343" width="10.75" bestFit="1" customWidth="1"/>
    <col min="14344" max="14344" width="12" bestFit="1" customWidth="1"/>
    <col min="14345" max="14345" width="10.75" bestFit="1" customWidth="1"/>
    <col min="14346" max="14346" width="14.375" customWidth="1"/>
    <col min="14347" max="14347" width="13.5" customWidth="1"/>
    <col min="14593" max="14595" width="15.625" customWidth="1"/>
    <col min="14597" max="14597" width="12.375" customWidth="1"/>
    <col min="14598" max="14598" width="9.5" bestFit="1" customWidth="1"/>
    <col min="14599" max="14599" width="10.75" bestFit="1" customWidth="1"/>
    <col min="14600" max="14600" width="12" bestFit="1" customWidth="1"/>
    <col min="14601" max="14601" width="10.75" bestFit="1" customWidth="1"/>
    <col min="14602" max="14602" width="14.375" customWidth="1"/>
    <col min="14603" max="14603" width="13.5" customWidth="1"/>
    <col min="14849" max="14851" width="15.625" customWidth="1"/>
    <col min="14853" max="14853" width="12.375" customWidth="1"/>
    <col min="14854" max="14854" width="9.5" bestFit="1" customWidth="1"/>
    <col min="14855" max="14855" width="10.75" bestFit="1" customWidth="1"/>
    <col min="14856" max="14856" width="12" bestFit="1" customWidth="1"/>
    <col min="14857" max="14857" width="10.75" bestFit="1" customWidth="1"/>
    <col min="14858" max="14858" width="14.375" customWidth="1"/>
    <col min="14859" max="14859" width="13.5" customWidth="1"/>
    <col min="15105" max="15107" width="15.625" customWidth="1"/>
    <col min="15109" max="15109" width="12.375" customWidth="1"/>
    <col min="15110" max="15110" width="9.5" bestFit="1" customWidth="1"/>
    <col min="15111" max="15111" width="10.75" bestFit="1" customWidth="1"/>
    <col min="15112" max="15112" width="12" bestFit="1" customWidth="1"/>
    <col min="15113" max="15113" width="10.75" bestFit="1" customWidth="1"/>
    <col min="15114" max="15114" width="14.375" customWidth="1"/>
    <col min="15115" max="15115" width="13.5" customWidth="1"/>
    <col min="15361" max="15363" width="15.625" customWidth="1"/>
    <col min="15365" max="15365" width="12.375" customWidth="1"/>
    <col min="15366" max="15366" width="9.5" bestFit="1" customWidth="1"/>
    <col min="15367" max="15367" width="10.75" bestFit="1" customWidth="1"/>
    <col min="15368" max="15368" width="12" bestFit="1" customWidth="1"/>
    <col min="15369" max="15369" width="10.75" bestFit="1" customWidth="1"/>
    <col min="15370" max="15370" width="14.375" customWidth="1"/>
    <col min="15371" max="15371" width="13.5" customWidth="1"/>
    <col min="15617" max="15619" width="15.625" customWidth="1"/>
    <col min="15621" max="15621" width="12.375" customWidth="1"/>
    <col min="15622" max="15622" width="9.5" bestFit="1" customWidth="1"/>
    <col min="15623" max="15623" width="10.75" bestFit="1" customWidth="1"/>
    <col min="15624" max="15624" width="12" bestFit="1" customWidth="1"/>
    <col min="15625" max="15625" width="10.75" bestFit="1" customWidth="1"/>
    <col min="15626" max="15626" width="14.375" customWidth="1"/>
    <col min="15627" max="15627" width="13.5" customWidth="1"/>
    <col min="15873" max="15875" width="15.625" customWidth="1"/>
    <col min="15877" max="15877" width="12.375" customWidth="1"/>
    <col min="15878" max="15878" width="9.5" bestFit="1" customWidth="1"/>
    <col min="15879" max="15879" width="10.75" bestFit="1" customWidth="1"/>
    <col min="15880" max="15880" width="12" bestFit="1" customWidth="1"/>
    <col min="15881" max="15881" width="10.75" bestFit="1" customWidth="1"/>
    <col min="15882" max="15882" width="14.375" customWidth="1"/>
    <col min="15883" max="15883" width="13.5" customWidth="1"/>
    <col min="16129" max="16131" width="15.625" customWidth="1"/>
    <col min="16133" max="16133" width="12.375" customWidth="1"/>
    <col min="16134" max="16134" width="9.5" bestFit="1" customWidth="1"/>
    <col min="16135" max="16135" width="10.75" bestFit="1" customWidth="1"/>
    <col min="16136" max="16136" width="12" bestFit="1" customWidth="1"/>
    <col min="16137" max="16137" width="10.75" bestFit="1" customWidth="1"/>
    <col min="16138" max="16138" width="14.375" customWidth="1"/>
    <col min="16139" max="16139" width="13.5" customWidth="1"/>
  </cols>
  <sheetData>
    <row r="1" spans="1:13" ht="34.5" customHeight="1" thickBot="1">
      <c r="A1" s="2913" t="s">
        <v>3046</v>
      </c>
      <c r="B1" s="2913" t="s">
        <v>1111</v>
      </c>
      <c r="C1" s="2913" t="s">
        <v>557</v>
      </c>
    </row>
    <row r="2" spans="1:13" ht="15" thickBot="1">
      <c r="A2" s="2926" t="s">
        <v>3047</v>
      </c>
      <c r="B2" s="2926"/>
      <c r="C2" s="2927"/>
      <c r="E2" s="3435" t="s">
        <v>557</v>
      </c>
      <c r="F2" s="3437" t="s">
        <v>3048</v>
      </c>
      <c r="G2" s="3439" t="s">
        <v>1111</v>
      </c>
      <c r="H2" s="3440"/>
      <c r="I2" s="3441"/>
    </row>
    <row r="3" spans="1:13" ht="15" thickBot="1">
      <c r="A3" s="2928">
        <v>-501</v>
      </c>
      <c r="B3" s="2928">
        <v>281.82</v>
      </c>
      <c r="C3" s="2929" t="s">
        <v>3049</v>
      </c>
      <c r="E3" s="3436"/>
      <c r="F3" s="3438"/>
      <c r="G3" s="2930" t="s">
        <v>3050</v>
      </c>
      <c r="H3" s="2930" t="s">
        <v>603</v>
      </c>
      <c r="I3" s="2930" t="s">
        <v>3036</v>
      </c>
    </row>
    <row r="4" spans="1:13" ht="15" thickBot="1">
      <c r="A4" s="2928" t="s">
        <v>3051</v>
      </c>
      <c r="B4" s="2928"/>
      <c r="C4" s="2929"/>
      <c r="E4" s="2931" t="str">
        <f>C3</f>
        <v>车库</v>
      </c>
      <c r="F4" s="2932">
        <f>ROUND(I4/($I$9-$I$6)*$F$11,2)</f>
        <v>721.7</v>
      </c>
      <c r="G4" s="2933">
        <v>0</v>
      </c>
      <c r="H4" s="2930">
        <f>B3+B5+B20</f>
        <v>11406.86</v>
      </c>
      <c r="I4" s="2933">
        <f>G4+H4</f>
        <v>11406.86</v>
      </c>
      <c r="J4" s="2952" t="s">
        <v>3118</v>
      </c>
      <c r="K4">
        <f>I4/304</f>
        <v>37.522565789473688</v>
      </c>
    </row>
    <row r="5" spans="1:13" ht="15" thickBot="1">
      <c r="A5" s="2934">
        <v>-401</v>
      </c>
      <c r="B5" s="2934">
        <v>7891.37</v>
      </c>
      <c r="C5" s="2929" t="s">
        <v>3049</v>
      </c>
      <c r="E5" s="2935" t="str">
        <f>C23</f>
        <v>展览商业</v>
      </c>
      <c r="F5" s="2932">
        <f>ROUND(I5/($I$9-$I$6)*$F$11,2)</f>
        <v>184.75</v>
      </c>
      <c r="G5" s="2930">
        <v>0</v>
      </c>
      <c r="H5" s="2930">
        <f>B23+B24+B25+B26</f>
        <v>2920.1000000000004</v>
      </c>
      <c r="I5" s="2930">
        <f>G5+H5</f>
        <v>2920.1000000000004</v>
      </c>
      <c r="J5" s="2952" t="s">
        <v>3101</v>
      </c>
    </row>
    <row r="6" spans="1:13" ht="29.25" thickBot="1">
      <c r="A6" s="2934">
        <v>-404</v>
      </c>
      <c r="B6" s="2934">
        <v>175.11</v>
      </c>
      <c r="C6" s="2929" t="s">
        <v>3052</v>
      </c>
      <c r="E6" s="2936" t="s">
        <v>3053</v>
      </c>
      <c r="F6" s="2932">
        <v>0</v>
      </c>
      <c r="G6" s="2930">
        <v>0</v>
      </c>
      <c r="H6" s="2930">
        <f>B6+B7+B9+B10+B11+B12+B15+B16+B17+B18+B21+B27+B14</f>
        <v>1606.8400000000001</v>
      </c>
      <c r="I6" s="2930">
        <f>G6+H6</f>
        <v>1606.8400000000001</v>
      </c>
    </row>
    <row r="7" spans="1:13" ht="15" thickBot="1">
      <c r="A7" s="2934">
        <v>-405</v>
      </c>
      <c r="B7" s="2934">
        <v>11.43</v>
      </c>
      <c r="C7" s="2929" t="s">
        <v>3052</v>
      </c>
      <c r="E7" s="2935" t="str">
        <f>C30</f>
        <v>商业</v>
      </c>
      <c r="F7" s="2932">
        <f>ROUND(I7/($I$9-$I$6)*$F$11,2)</f>
        <v>145.26</v>
      </c>
      <c r="G7" s="2930">
        <f>B30+B31+B32+B36</f>
        <v>2295.9700000000003</v>
      </c>
      <c r="H7" s="2930">
        <v>0</v>
      </c>
      <c r="I7" s="2930">
        <f>G7+H7</f>
        <v>2295.9700000000003</v>
      </c>
      <c r="J7" s="2952" t="s">
        <v>3100</v>
      </c>
    </row>
    <row r="8" spans="1:13" ht="15" thickBot="1">
      <c r="A8" s="2934" t="s">
        <v>3054</v>
      </c>
      <c r="B8" s="2934"/>
      <c r="C8" s="2929"/>
      <c r="E8" s="2935" t="str">
        <f>C34</f>
        <v>办公</v>
      </c>
      <c r="F8" s="2932">
        <f>F11-F4-F5-F7</f>
        <v>3706.71</v>
      </c>
      <c r="G8" s="2930">
        <f>B34+B38+B39+B41+B42+B44+B46+B47+B49+B50+B52+B53+B55+B56+B58+B59+B61+B62+B64+B65+B67+B68+B70+B71+B73+B74+B76+B77+B79+B80+B82+B83+B85+B86+B88+B89+B91+B92+B94+B95+B97+B98+B100+B101+B103+B105+B107+B109+B111+B113+B115+B117+B118</f>
        <v>58586.810000000005</v>
      </c>
      <c r="H8" s="2930">
        <v>0</v>
      </c>
      <c r="I8" s="2930">
        <f>G8+H8</f>
        <v>58586.810000000005</v>
      </c>
      <c r="J8" s="2952" t="s">
        <v>3099</v>
      </c>
    </row>
    <row r="9" spans="1:13" ht="15" thickBot="1">
      <c r="A9" s="2928">
        <v>-303</v>
      </c>
      <c r="B9" s="2928">
        <v>11.43</v>
      </c>
      <c r="C9" s="2929" t="s">
        <v>3052</v>
      </c>
      <c r="E9" s="2930" t="s">
        <v>3036</v>
      </c>
      <c r="F9" s="2932">
        <f>SUM(F4:F8)</f>
        <v>4758.42</v>
      </c>
      <c r="G9" s="2937">
        <f>SUM(G4:G8)</f>
        <v>60882.780000000006</v>
      </c>
      <c r="H9" s="2937">
        <f>SUM(H4:H8)</f>
        <v>15933.800000000001</v>
      </c>
      <c r="I9" s="2937">
        <f>SUM(I4:I8)</f>
        <v>76816.58</v>
      </c>
    </row>
    <row r="10" spans="1:13" ht="15" thickBot="1">
      <c r="A10" s="2928">
        <v>-304</v>
      </c>
      <c r="B10" s="2928">
        <v>8.14</v>
      </c>
      <c r="C10" s="2929" t="s">
        <v>3052</v>
      </c>
      <c r="K10" s="2938"/>
    </row>
    <row r="11" spans="1:13" ht="14.25" thickBot="1">
      <c r="A11" s="2928">
        <v>-305</v>
      </c>
      <c r="B11" s="2928">
        <v>78.2</v>
      </c>
      <c r="C11" s="2929" t="s">
        <v>3052</v>
      </c>
      <c r="E11" t="s">
        <v>3055</v>
      </c>
      <c r="F11">
        <v>4758.42</v>
      </c>
      <c r="G11" s="2952" t="s">
        <v>3228</v>
      </c>
      <c r="H11">
        <f>ROUND(G9/F9,2)</f>
        <v>12.79</v>
      </c>
    </row>
    <row r="12" spans="1:13" ht="14.25" thickBot="1">
      <c r="A12" s="2934">
        <v>-306</v>
      </c>
      <c r="B12" s="2934">
        <v>57.14</v>
      </c>
      <c r="C12" s="2929" t="s">
        <v>3052</v>
      </c>
      <c r="E12" s="3442" t="s">
        <v>184</v>
      </c>
      <c r="F12" s="3442"/>
      <c r="G12" s="3442"/>
      <c r="I12" s="3442" t="s">
        <v>183</v>
      </c>
      <c r="J12" s="3442"/>
      <c r="K12" s="3442"/>
    </row>
    <row r="13" spans="1:13" ht="14.25" thickBot="1">
      <c r="A13" s="2934" t="s">
        <v>3056</v>
      </c>
      <c r="B13" s="2934"/>
      <c r="C13" s="2929"/>
      <c r="E13" s="2939" t="s">
        <v>3057</v>
      </c>
      <c r="F13" s="2939" t="s">
        <v>1111</v>
      </c>
      <c r="G13" s="2940"/>
      <c r="I13" s="2941" t="s">
        <v>3057</v>
      </c>
      <c r="J13" s="2941" t="s">
        <v>1111</v>
      </c>
      <c r="K13" s="2942" t="s">
        <v>3058</v>
      </c>
    </row>
    <row r="14" spans="1:13" ht="14.25" thickBot="1">
      <c r="A14" s="2934">
        <v>-202</v>
      </c>
      <c r="B14" s="2934">
        <v>1103.93</v>
      </c>
      <c r="C14" s="2929" t="s">
        <v>3059</v>
      </c>
      <c r="E14" s="1319">
        <v>201</v>
      </c>
      <c r="F14" s="1319">
        <v>1241.3599999999999</v>
      </c>
      <c r="G14" s="2943" t="s">
        <v>27</v>
      </c>
      <c r="I14" s="2944">
        <v>101</v>
      </c>
      <c r="J14" s="2945">
        <f>B30</f>
        <v>399</v>
      </c>
      <c r="K14" s="2912">
        <f>ROUND(J14/($I$9-$I$6)*$F$11,2)</f>
        <v>25.24</v>
      </c>
    </row>
    <row r="15" spans="1:13" ht="15.75" customHeight="1" thickBot="1">
      <c r="A15" s="2928">
        <v>-206</v>
      </c>
      <c r="B15" s="2928">
        <v>42.91</v>
      </c>
      <c r="C15" s="2929" t="s">
        <v>3052</v>
      </c>
      <c r="E15" s="1319">
        <v>401</v>
      </c>
      <c r="F15" s="1319">
        <v>1490.04</v>
      </c>
      <c r="G15" s="2943" t="s">
        <v>27</v>
      </c>
      <c r="I15" s="2944">
        <v>107</v>
      </c>
      <c r="J15" s="2912">
        <f>B31</f>
        <v>157.30000000000001</v>
      </c>
      <c r="K15" s="2912">
        <f t="shared" ref="K15:K20" si="0">ROUND(J15/($I$9-$I$6)*$F$11,2)</f>
        <v>9.9499999999999993</v>
      </c>
      <c r="L15">
        <v>-1</v>
      </c>
      <c r="M15">
        <f>J18+J19+J20+J21</f>
        <v>2920.1000000000004</v>
      </c>
    </row>
    <row r="16" spans="1:13" ht="14.25" thickBot="1">
      <c r="A16" s="2928">
        <v>-207</v>
      </c>
      <c r="B16" s="2928">
        <v>57.19</v>
      </c>
      <c r="C16" s="2929" t="s">
        <v>3052</v>
      </c>
      <c r="E16" s="1319">
        <v>403</v>
      </c>
      <c r="F16" s="1319">
        <v>713.79</v>
      </c>
      <c r="G16" s="2943" t="s">
        <v>27</v>
      </c>
      <c r="I16" s="2944">
        <v>108</v>
      </c>
      <c r="J16" s="2912">
        <f>B32</f>
        <v>314.99</v>
      </c>
      <c r="K16" s="2912">
        <f t="shared" si="0"/>
        <v>19.93</v>
      </c>
      <c r="L16">
        <v>1</v>
      </c>
      <c r="M16">
        <f>J14+J15+J16</f>
        <v>871.29</v>
      </c>
    </row>
    <row r="17" spans="1:13" ht="14.25" thickBot="1">
      <c r="A17" s="2928">
        <v>-208</v>
      </c>
      <c r="B17" s="2928">
        <v>43.49</v>
      </c>
      <c r="C17" s="2929" t="s">
        <v>3052</v>
      </c>
      <c r="E17" s="1319">
        <v>501</v>
      </c>
      <c r="F17" s="1319">
        <v>1720.67</v>
      </c>
      <c r="G17" s="2943" t="s">
        <v>27</v>
      </c>
      <c r="I17" s="2944">
        <v>301</v>
      </c>
      <c r="J17" s="2912">
        <f>B36</f>
        <v>1424.68</v>
      </c>
      <c r="K17" s="2912">
        <f t="shared" si="0"/>
        <v>90.14</v>
      </c>
      <c r="L17">
        <v>3</v>
      </c>
      <c r="M17">
        <f>J17</f>
        <v>1424.68</v>
      </c>
    </row>
    <row r="18" spans="1:13" ht="14.25" thickBot="1">
      <c r="A18" s="2928">
        <v>-209</v>
      </c>
      <c r="B18" s="2928">
        <v>4.74</v>
      </c>
      <c r="C18" s="2929" t="s">
        <v>3052</v>
      </c>
      <c r="E18" s="1319">
        <v>503</v>
      </c>
      <c r="F18" s="1319">
        <v>784.25</v>
      </c>
      <c r="G18" s="2943" t="s">
        <v>27</v>
      </c>
      <c r="I18" s="2944">
        <f t="shared" ref="I18:J21" si="1">A23</f>
        <v>-101</v>
      </c>
      <c r="J18" s="2912">
        <f>B23</f>
        <v>907.62</v>
      </c>
      <c r="K18" s="2912">
        <f t="shared" si="0"/>
        <v>57.42</v>
      </c>
    </row>
    <row r="19" spans="1:13" ht="14.25" thickBot="1">
      <c r="A19" s="2928" t="s">
        <v>3060</v>
      </c>
      <c r="B19" s="2928"/>
      <c r="C19" s="2929"/>
      <c r="E19" s="1319">
        <v>601</v>
      </c>
      <c r="F19" s="1319">
        <v>1509.02</v>
      </c>
      <c r="G19" s="2943" t="s">
        <v>27</v>
      </c>
      <c r="I19" s="2944">
        <f t="shared" si="1"/>
        <v>-102</v>
      </c>
      <c r="J19" s="2912">
        <f t="shared" si="1"/>
        <v>57.51</v>
      </c>
      <c r="K19" s="2912">
        <f t="shared" si="0"/>
        <v>3.64</v>
      </c>
    </row>
    <row r="20" spans="1:13" ht="12.75" customHeight="1" thickBot="1">
      <c r="A20" s="2928">
        <v>-214</v>
      </c>
      <c r="B20" s="2928">
        <v>3233.67</v>
      </c>
      <c r="C20" s="2929" t="s">
        <v>3049</v>
      </c>
      <c r="E20" s="1319">
        <v>701</v>
      </c>
      <c r="F20" s="1319">
        <v>1706.47</v>
      </c>
      <c r="G20" s="2943" t="s">
        <v>27</v>
      </c>
      <c r="I20" s="2944">
        <f t="shared" si="1"/>
        <v>-104</v>
      </c>
      <c r="J20" s="2912">
        <f t="shared" si="1"/>
        <v>1854.19</v>
      </c>
      <c r="K20" s="2912">
        <f t="shared" si="0"/>
        <v>117.31</v>
      </c>
      <c r="L20">
        <f>SUM(K14:K20)</f>
        <v>323.63</v>
      </c>
    </row>
    <row r="21" spans="1:13" ht="14.25" thickBot="1">
      <c r="A21" s="2934">
        <v>-218</v>
      </c>
      <c r="B21" s="2934">
        <v>4.99</v>
      </c>
      <c r="C21" s="2929" t="s">
        <v>3052</v>
      </c>
      <c r="E21" s="1319">
        <v>703</v>
      </c>
      <c r="F21" s="1319">
        <v>444.47</v>
      </c>
      <c r="G21" s="2943" t="s">
        <v>27</v>
      </c>
      <c r="I21" s="2944">
        <f t="shared" si="1"/>
        <v>-105</v>
      </c>
      <c r="J21" s="2912">
        <f t="shared" si="1"/>
        <v>100.78</v>
      </c>
      <c r="K21" s="2946">
        <f>F5+F7-L20</f>
        <v>6.3799999999999955</v>
      </c>
    </row>
    <row r="22" spans="1:13" ht="14.25" thickBot="1">
      <c r="A22" s="2928" t="s">
        <v>3061</v>
      </c>
      <c r="B22" s="2928"/>
      <c r="C22" s="2929"/>
      <c r="E22" s="1319">
        <v>801</v>
      </c>
      <c r="F22" s="1319">
        <v>1731.32</v>
      </c>
      <c r="G22" s="2943" t="s">
        <v>27</v>
      </c>
      <c r="I22" s="2912" t="s">
        <v>3036</v>
      </c>
      <c r="J22" s="2912">
        <f>SUM(J14:J21)</f>
        <v>5216.0700000000006</v>
      </c>
      <c r="K22" s="2912">
        <f>SUM(K14:K21)</f>
        <v>330.01</v>
      </c>
    </row>
    <row r="23" spans="1:13" ht="14.25" thickBot="1">
      <c r="A23" s="2928">
        <v>-101</v>
      </c>
      <c r="B23" s="2928">
        <v>907.62</v>
      </c>
      <c r="C23" s="2929" t="s">
        <v>3062</v>
      </c>
      <c r="E23" s="1319">
        <v>803</v>
      </c>
      <c r="F23" s="1319">
        <v>148.13999999999999</v>
      </c>
      <c r="G23" s="2943" t="s">
        <v>27</v>
      </c>
    </row>
    <row r="24" spans="1:13" ht="14.25" thickBot="1">
      <c r="A24" s="2928">
        <v>-102</v>
      </c>
      <c r="B24" s="2928">
        <v>57.51</v>
      </c>
      <c r="C24" s="2929" t="s">
        <v>3062</v>
      </c>
      <c r="E24" s="1319">
        <v>901</v>
      </c>
      <c r="F24" s="1319">
        <v>1704.96</v>
      </c>
      <c r="G24" s="2943" t="s">
        <v>27</v>
      </c>
      <c r="H24" s="2952" t="s">
        <v>3119</v>
      </c>
      <c r="I24">
        <v>67181.19</v>
      </c>
    </row>
    <row r="25" spans="1:13" ht="14.25" thickBot="1">
      <c r="A25" s="2928">
        <v>-104</v>
      </c>
      <c r="B25" s="2928">
        <v>1854.19</v>
      </c>
      <c r="C25" s="2929" t="s">
        <v>3062</v>
      </c>
      <c r="E25" s="1319">
        <v>903</v>
      </c>
      <c r="F25" s="1319">
        <v>446.92</v>
      </c>
      <c r="G25" s="2943" t="s">
        <v>27</v>
      </c>
      <c r="H25" s="2952" t="s">
        <v>3120</v>
      </c>
      <c r="I25">
        <v>4629.46</v>
      </c>
    </row>
    <row r="26" spans="1:13" ht="14.25" thickBot="1">
      <c r="A26" s="2928">
        <v>-105</v>
      </c>
      <c r="B26" s="2928">
        <v>100.78</v>
      </c>
      <c r="C26" s="2929" t="s">
        <v>3062</v>
      </c>
      <c r="E26" s="1319">
        <v>1001</v>
      </c>
      <c r="F26" s="1319">
        <v>1730.45</v>
      </c>
      <c r="G26" s="2943" t="s">
        <v>27</v>
      </c>
    </row>
    <row r="27" spans="1:13" ht="14.25" thickBot="1">
      <c r="A27" s="2928">
        <v>-109</v>
      </c>
      <c r="B27" s="2928">
        <v>8.14</v>
      </c>
      <c r="C27" s="2929" t="s">
        <v>3052</v>
      </c>
      <c r="E27" s="1319">
        <v>1003</v>
      </c>
      <c r="F27" s="1319">
        <v>149.74</v>
      </c>
      <c r="G27" s="2943" t="s">
        <v>27</v>
      </c>
    </row>
    <row r="28" spans="1:13" ht="14.25" thickBot="1">
      <c r="A28" s="2947" t="s">
        <v>3063</v>
      </c>
      <c r="B28" s="2947">
        <f>SUM(B3:B27)</f>
        <v>15933.800000000001</v>
      </c>
      <c r="C28" s="2929"/>
      <c r="E28" s="1319">
        <v>1101</v>
      </c>
      <c r="F28" s="1319">
        <v>1703.47</v>
      </c>
      <c r="G28" s="2943" t="s">
        <v>27</v>
      </c>
    </row>
    <row r="29" spans="1:13" ht="14.25" thickBot="1">
      <c r="A29" s="2928" t="s">
        <v>3064</v>
      </c>
      <c r="B29" s="2928"/>
      <c r="C29" s="2929"/>
      <c r="E29" s="1319">
        <v>1103</v>
      </c>
      <c r="F29" s="1319">
        <v>450.72</v>
      </c>
      <c r="G29" s="2943" t="s">
        <v>27</v>
      </c>
      <c r="I29" s="2954">
        <f>I9+I24</f>
        <v>143997.77000000002</v>
      </c>
    </row>
    <row r="30" spans="1:13" ht="14.25" thickBot="1">
      <c r="A30" s="2928">
        <v>101</v>
      </c>
      <c r="B30" s="2928">
        <v>399</v>
      </c>
      <c r="C30" s="2929" t="s">
        <v>1377</v>
      </c>
      <c r="E30" s="1319">
        <v>1201</v>
      </c>
      <c r="F30" s="1319">
        <v>1730.45</v>
      </c>
      <c r="G30" s="2943" t="s">
        <v>27</v>
      </c>
    </row>
    <row r="31" spans="1:13" ht="14.25" thickBot="1">
      <c r="A31" s="2928">
        <v>107</v>
      </c>
      <c r="B31" s="2928">
        <v>157.30000000000001</v>
      </c>
      <c r="C31" s="2929" t="s">
        <v>1377</v>
      </c>
      <c r="E31" s="1319">
        <v>1203</v>
      </c>
      <c r="F31" s="1319">
        <v>149.74</v>
      </c>
      <c r="G31" s="2943" t="s">
        <v>27</v>
      </c>
    </row>
    <row r="32" spans="1:13" ht="14.25" thickBot="1">
      <c r="A32" s="2928">
        <v>108</v>
      </c>
      <c r="B32" s="2928">
        <v>314.99</v>
      </c>
      <c r="C32" s="2929" t="s">
        <v>1377</v>
      </c>
      <c r="E32" s="1319">
        <v>1301</v>
      </c>
      <c r="F32" s="1319">
        <v>1703.01</v>
      </c>
      <c r="G32" s="2943" t="s">
        <v>27</v>
      </c>
    </row>
    <row r="33" spans="1:8" ht="14.25" thickBot="1">
      <c r="A33" s="2928" t="s">
        <v>3065</v>
      </c>
      <c r="B33" s="2928"/>
      <c r="C33" s="2929"/>
      <c r="E33" s="1319">
        <v>1303</v>
      </c>
      <c r="F33" s="1319">
        <v>451.98</v>
      </c>
      <c r="G33" s="2943" t="s">
        <v>27</v>
      </c>
    </row>
    <row r="34" spans="1:8" ht="14.25" thickBot="1">
      <c r="A34" s="2928">
        <v>201</v>
      </c>
      <c r="B34" s="2928">
        <v>1241.3599999999999</v>
      </c>
      <c r="C34" s="2929" t="s">
        <v>27</v>
      </c>
      <c r="E34" s="1319">
        <v>1401</v>
      </c>
      <c r="F34" s="1319">
        <v>1730.45</v>
      </c>
      <c r="G34" s="2943" t="s">
        <v>27</v>
      </c>
    </row>
    <row r="35" spans="1:8" ht="14.25" thickBot="1">
      <c r="A35" s="2928" t="s">
        <v>3066</v>
      </c>
      <c r="B35" s="2928"/>
      <c r="C35" s="2929"/>
      <c r="E35" s="1319">
        <v>1403</v>
      </c>
      <c r="F35" s="1319">
        <v>149.74</v>
      </c>
      <c r="G35" s="2943" t="s">
        <v>27</v>
      </c>
    </row>
    <row r="36" spans="1:8" ht="14.25" thickBot="1">
      <c r="A36" s="2928">
        <v>301</v>
      </c>
      <c r="B36" s="2928">
        <v>1424.68</v>
      </c>
      <c r="C36" s="2929" t="s">
        <v>1377</v>
      </c>
      <c r="E36" s="1319">
        <v>1501</v>
      </c>
      <c r="F36" s="1319">
        <v>1703.18</v>
      </c>
      <c r="G36" s="2943" t="s">
        <v>27</v>
      </c>
    </row>
    <row r="37" spans="1:8" ht="14.25" thickBot="1">
      <c r="A37" s="2928" t="s">
        <v>3067</v>
      </c>
      <c r="B37" s="2928"/>
      <c r="C37" s="2929"/>
      <c r="E37" s="1319">
        <v>1503</v>
      </c>
      <c r="F37" s="1319">
        <v>451.34</v>
      </c>
      <c r="G37" s="2943" t="s">
        <v>27</v>
      </c>
    </row>
    <row r="38" spans="1:8" ht="14.25" thickBot="1">
      <c r="A38" s="2928">
        <v>401</v>
      </c>
      <c r="B38" s="2928">
        <v>1490.04</v>
      </c>
      <c r="C38" s="2929" t="s">
        <v>27</v>
      </c>
      <c r="E38" s="1319">
        <v>1601</v>
      </c>
      <c r="F38" s="1319">
        <v>260.95</v>
      </c>
      <c r="G38" s="2943" t="s">
        <v>27</v>
      </c>
    </row>
    <row r="39" spans="1:8" ht="14.25" thickBot="1">
      <c r="A39" s="2928">
        <v>403</v>
      </c>
      <c r="B39" s="2928">
        <v>713.79</v>
      </c>
      <c r="C39" s="2929" t="s">
        <v>27</v>
      </c>
      <c r="E39" s="1319">
        <v>1602</v>
      </c>
      <c r="F39" s="1319">
        <v>573.46</v>
      </c>
      <c r="G39" s="2943" t="s">
        <v>27</v>
      </c>
    </row>
    <row r="40" spans="1:8" ht="14.25" thickBot="1">
      <c r="A40" s="2928" t="s">
        <v>3068</v>
      </c>
      <c r="B40" s="2928"/>
      <c r="C40" s="2948"/>
      <c r="E40" s="1319">
        <v>1701</v>
      </c>
      <c r="F40" s="1319">
        <v>1703</v>
      </c>
      <c r="G40" s="2943" t="s">
        <v>27</v>
      </c>
    </row>
    <row r="41" spans="1:8" ht="14.25" thickBot="1">
      <c r="A41" s="2928">
        <v>501</v>
      </c>
      <c r="B41" s="2928">
        <v>1720.67</v>
      </c>
      <c r="C41" s="2929" t="s">
        <v>27</v>
      </c>
      <c r="E41" s="1319">
        <v>1703</v>
      </c>
      <c r="F41" s="1319">
        <v>451.99</v>
      </c>
      <c r="G41" s="2943" t="s">
        <v>27</v>
      </c>
    </row>
    <row r="42" spans="1:8" ht="14.25" thickBot="1">
      <c r="A42" s="2928">
        <v>503</v>
      </c>
      <c r="B42" s="2928">
        <v>784.25</v>
      </c>
      <c r="C42" s="2929" t="s">
        <v>27</v>
      </c>
      <c r="E42" s="1319">
        <v>1801</v>
      </c>
      <c r="F42" s="1319">
        <v>1730.45</v>
      </c>
      <c r="G42" s="2943" t="s">
        <v>27</v>
      </c>
    </row>
    <row r="43" spans="1:8" ht="14.25" thickBot="1">
      <c r="A43" s="2928" t="s">
        <v>3069</v>
      </c>
      <c r="B43" s="2928"/>
      <c r="C43" s="2948"/>
      <c r="E43" s="1319">
        <v>1803</v>
      </c>
      <c r="F43" s="1319">
        <v>149.74</v>
      </c>
      <c r="G43" s="2943" t="s">
        <v>27</v>
      </c>
    </row>
    <row r="44" spans="1:8" ht="14.25" thickBot="1">
      <c r="A44" s="2928">
        <v>601</v>
      </c>
      <c r="B44" s="2928">
        <v>1509.02</v>
      </c>
      <c r="C44" s="2929" t="s">
        <v>27</v>
      </c>
      <c r="E44" s="2949">
        <v>1901</v>
      </c>
      <c r="F44" s="2949">
        <v>1703</v>
      </c>
      <c r="G44" s="2950" t="s">
        <v>27</v>
      </c>
      <c r="H44">
        <f>ROUND(F44/(I9-I6)*F11,2)</f>
        <v>107.75</v>
      </c>
    </row>
    <row r="45" spans="1:8" ht="14.25" thickBot="1">
      <c r="A45" s="2928" t="s">
        <v>3070</v>
      </c>
      <c r="B45" s="2928"/>
      <c r="C45" s="2948"/>
      <c r="E45" s="1319">
        <v>1903</v>
      </c>
      <c r="F45" s="1319">
        <v>451.99</v>
      </c>
      <c r="G45" s="2943" t="s">
        <v>27</v>
      </c>
    </row>
    <row r="46" spans="1:8" ht="14.25" thickBot="1">
      <c r="A46" s="2928">
        <v>701</v>
      </c>
      <c r="B46" s="2928">
        <v>1706.47</v>
      </c>
      <c r="C46" s="2929" t="s">
        <v>27</v>
      </c>
      <c r="E46" s="1319">
        <v>2001</v>
      </c>
      <c r="F46" s="1319">
        <v>1730.45</v>
      </c>
      <c r="G46" s="2943" t="s">
        <v>27</v>
      </c>
    </row>
    <row r="47" spans="1:8" ht="14.25" thickBot="1">
      <c r="A47" s="2928">
        <v>703</v>
      </c>
      <c r="B47" s="2928">
        <v>444.47</v>
      </c>
      <c r="C47" s="2929" t="s">
        <v>27</v>
      </c>
      <c r="E47" s="1319">
        <v>2003</v>
      </c>
      <c r="F47" s="1319">
        <v>149.74</v>
      </c>
      <c r="G47" s="2943" t="s">
        <v>27</v>
      </c>
    </row>
    <row r="48" spans="1:8" ht="14.25" thickBot="1">
      <c r="A48" s="2928" t="s">
        <v>3071</v>
      </c>
      <c r="B48" s="2928"/>
      <c r="C48" s="2948"/>
      <c r="E48" s="1319">
        <v>2101</v>
      </c>
      <c r="F48" s="1319">
        <v>1684.98</v>
      </c>
      <c r="G48" s="2943" t="s">
        <v>27</v>
      </c>
    </row>
    <row r="49" spans="1:7" ht="14.25" thickBot="1">
      <c r="A49" s="2928">
        <v>801</v>
      </c>
      <c r="B49" s="2928">
        <v>1731.32</v>
      </c>
      <c r="C49" s="2929" t="s">
        <v>27</v>
      </c>
      <c r="E49" s="1319">
        <v>2103</v>
      </c>
      <c r="F49" s="1319">
        <v>552.46</v>
      </c>
      <c r="G49" s="2943" t="s">
        <v>27</v>
      </c>
    </row>
    <row r="50" spans="1:7" ht="14.25" thickBot="1">
      <c r="A50" s="2928">
        <v>803</v>
      </c>
      <c r="B50" s="2928">
        <v>148.13999999999999</v>
      </c>
      <c r="C50" s="2929" t="s">
        <v>27</v>
      </c>
      <c r="E50" s="1319">
        <v>2201</v>
      </c>
      <c r="F50" s="1319">
        <v>1707.59</v>
      </c>
      <c r="G50" s="2943" t="s">
        <v>27</v>
      </c>
    </row>
    <row r="51" spans="1:7" ht="14.25" thickBot="1">
      <c r="A51" s="2928" t="s">
        <v>3072</v>
      </c>
      <c r="B51" s="2928"/>
      <c r="C51" s="2948"/>
      <c r="E51" s="1319">
        <v>2203</v>
      </c>
      <c r="F51" s="1319">
        <v>246.41</v>
      </c>
      <c r="G51" s="2943" t="s">
        <v>27</v>
      </c>
    </row>
    <row r="52" spans="1:7" ht="14.25" thickBot="1">
      <c r="A52" s="2928">
        <v>901</v>
      </c>
      <c r="B52" s="2928">
        <v>1704.96</v>
      </c>
      <c r="C52" s="2929" t="s">
        <v>27</v>
      </c>
      <c r="E52" s="1319">
        <v>2301</v>
      </c>
      <c r="F52" s="1319">
        <v>1684.98</v>
      </c>
      <c r="G52" s="2943" t="s">
        <v>27</v>
      </c>
    </row>
    <row r="53" spans="1:7" ht="14.25" thickBot="1">
      <c r="A53" s="2928">
        <v>903</v>
      </c>
      <c r="B53" s="2928">
        <v>446.92</v>
      </c>
      <c r="C53" s="2929" t="s">
        <v>27</v>
      </c>
      <c r="E53" s="1319">
        <v>2303</v>
      </c>
      <c r="F53" s="1319">
        <v>552.46</v>
      </c>
      <c r="G53" s="2943" t="s">
        <v>27</v>
      </c>
    </row>
    <row r="54" spans="1:7" ht="14.25" thickBot="1">
      <c r="A54" s="2928" t="s">
        <v>3073</v>
      </c>
      <c r="B54" s="2928"/>
      <c r="C54" s="2948"/>
      <c r="E54" s="1319">
        <v>2401</v>
      </c>
      <c r="F54" s="1319">
        <v>1707.59</v>
      </c>
      <c r="G54" s="2943" t="s">
        <v>27</v>
      </c>
    </row>
    <row r="55" spans="1:7" ht="14.25" thickBot="1">
      <c r="A55" s="2928">
        <v>1001</v>
      </c>
      <c r="B55" s="2928">
        <v>1730.45</v>
      </c>
      <c r="C55" s="2929" t="s">
        <v>27</v>
      </c>
      <c r="E55" s="1319">
        <v>2403</v>
      </c>
      <c r="F55" s="1319">
        <v>246.41</v>
      </c>
      <c r="G55" s="2943" t="s">
        <v>27</v>
      </c>
    </row>
    <row r="56" spans="1:7" ht="14.25" thickBot="1">
      <c r="A56" s="2928">
        <v>1003</v>
      </c>
      <c r="B56" s="2928">
        <v>149.74</v>
      </c>
      <c r="C56" s="2929" t="s">
        <v>27</v>
      </c>
      <c r="E56" s="1319">
        <v>2501</v>
      </c>
      <c r="F56" s="1319">
        <v>1684.98</v>
      </c>
      <c r="G56" s="2943" t="s">
        <v>27</v>
      </c>
    </row>
    <row r="57" spans="1:7" ht="14.25" thickBot="1">
      <c r="A57" s="2928" t="s">
        <v>3074</v>
      </c>
      <c r="B57" s="2928"/>
      <c r="C57" s="2948"/>
      <c r="E57" s="1319">
        <v>2503</v>
      </c>
      <c r="F57" s="1319">
        <v>552.46</v>
      </c>
      <c r="G57" s="2943" t="s">
        <v>27</v>
      </c>
    </row>
    <row r="58" spans="1:7" ht="14.25" thickBot="1">
      <c r="A58" s="2928">
        <v>1101</v>
      </c>
      <c r="B58" s="2928">
        <v>1703.47</v>
      </c>
      <c r="C58" s="2929" t="s">
        <v>27</v>
      </c>
      <c r="E58" s="1319">
        <v>2601</v>
      </c>
      <c r="F58" s="1319">
        <v>1026.42</v>
      </c>
      <c r="G58" s="2943" t="s">
        <v>27</v>
      </c>
    </row>
    <row r="59" spans="1:7" ht="14.25" thickBot="1">
      <c r="A59" s="2928">
        <v>1103</v>
      </c>
      <c r="B59" s="2928">
        <v>450.72</v>
      </c>
      <c r="C59" s="2929" t="s">
        <v>27</v>
      </c>
      <c r="E59" s="1319">
        <v>2701</v>
      </c>
      <c r="F59" s="1319">
        <v>1678.85</v>
      </c>
      <c r="G59" s="2943" t="s">
        <v>27</v>
      </c>
    </row>
    <row r="60" spans="1:7" ht="14.25" thickBot="1">
      <c r="A60" s="2928" t="s">
        <v>3075</v>
      </c>
      <c r="B60" s="2928"/>
      <c r="C60" s="2948"/>
      <c r="E60" s="1319">
        <v>2801</v>
      </c>
      <c r="F60" s="1319">
        <v>1687.61</v>
      </c>
      <c r="G60" s="2943" t="s">
        <v>27</v>
      </c>
    </row>
    <row r="61" spans="1:7" ht="14.25" thickBot="1">
      <c r="A61" s="2928">
        <v>1201</v>
      </c>
      <c r="B61" s="2928">
        <v>1730.45</v>
      </c>
      <c r="C61" s="2929" t="s">
        <v>27</v>
      </c>
      <c r="E61" s="1319">
        <v>2901</v>
      </c>
      <c r="F61" s="1319">
        <v>1709.76</v>
      </c>
      <c r="G61" s="2943" t="s">
        <v>27</v>
      </c>
    </row>
    <row r="62" spans="1:7" ht="14.25" thickBot="1">
      <c r="A62" s="2928">
        <v>1203</v>
      </c>
      <c r="B62" s="2928">
        <v>149.74</v>
      </c>
      <c r="C62" s="2929" t="s">
        <v>27</v>
      </c>
      <c r="E62" s="1319">
        <v>3001</v>
      </c>
      <c r="F62" s="1319">
        <v>1718.42</v>
      </c>
      <c r="G62" s="2943" t="s">
        <v>27</v>
      </c>
    </row>
    <row r="63" spans="1:7" ht="14.25" thickBot="1">
      <c r="A63" s="2928" t="s">
        <v>3076</v>
      </c>
      <c r="B63" s="2928"/>
      <c r="C63" s="2948"/>
      <c r="E63" s="1319">
        <v>3101</v>
      </c>
      <c r="F63" s="1319">
        <v>1764.2</v>
      </c>
      <c r="G63" s="2943" t="s">
        <v>27</v>
      </c>
    </row>
    <row r="64" spans="1:7" ht="14.25" thickBot="1">
      <c r="A64" s="2928">
        <v>1301</v>
      </c>
      <c r="B64" s="2928">
        <v>1703.01</v>
      </c>
      <c r="C64" s="2929" t="s">
        <v>27</v>
      </c>
      <c r="E64" s="1319">
        <v>3201</v>
      </c>
      <c r="F64" s="1319">
        <v>1764.2</v>
      </c>
      <c r="G64" s="2943" t="s">
        <v>27</v>
      </c>
    </row>
    <row r="65" spans="1:7" ht="14.25" thickBot="1">
      <c r="A65" s="2928">
        <v>1303</v>
      </c>
      <c r="B65" s="2928">
        <v>451.98</v>
      </c>
      <c r="C65" s="2929" t="s">
        <v>27</v>
      </c>
      <c r="E65" s="1319">
        <v>3301</v>
      </c>
      <c r="F65" s="1319">
        <v>1718.51</v>
      </c>
      <c r="G65" s="2943" t="s">
        <v>27</v>
      </c>
    </row>
    <row r="66" spans="1:7" ht="14.25" thickBot="1">
      <c r="A66" s="2928" t="s">
        <v>3077</v>
      </c>
      <c r="B66" s="2928"/>
      <c r="C66" s="2929"/>
      <c r="E66" s="1319">
        <v>3303</v>
      </c>
      <c r="F66" s="1319">
        <v>248.07</v>
      </c>
      <c r="G66" s="2943" t="s">
        <v>27</v>
      </c>
    </row>
    <row r="67" spans="1:7" ht="14.25" thickBot="1">
      <c r="A67" s="2928">
        <v>1401</v>
      </c>
      <c r="B67" s="2928">
        <v>1730.45</v>
      </c>
      <c r="C67" s="2929" t="s">
        <v>27</v>
      </c>
      <c r="E67" s="2939" t="s">
        <v>3036</v>
      </c>
      <c r="F67" s="2940">
        <f>SUM(F14:F66)</f>
        <v>58586.810000000005</v>
      </c>
      <c r="G67" s="2940"/>
    </row>
    <row r="68" spans="1:7" ht="14.25" thickBot="1">
      <c r="A68" s="2928">
        <v>1403</v>
      </c>
      <c r="B68" s="2928">
        <v>149.74</v>
      </c>
      <c r="C68" s="2929" t="s">
        <v>27</v>
      </c>
    </row>
    <row r="69" spans="1:7" ht="14.25" thickBot="1">
      <c r="A69" s="2928" t="s">
        <v>3078</v>
      </c>
      <c r="B69" s="2928"/>
      <c r="C69" s="2929"/>
    </row>
    <row r="70" spans="1:7" ht="14.25" thickBot="1">
      <c r="A70" s="2928">
        <v>1501</v>
      </c>
      <c r="B70" s="2928">
        <v>1703.18</v>
      </c>
      <c r="C70" s="2929" t="s">
        <v>27</v>
      </c>
    </row>
    <row r="71" spans="1:7" ht="14.25" thickBot="1">
      <c r="A71" s="2928">
        <v>1503</v>
      </c>
      <c r="B71" s="2928">
        <v>451.34</v>
      </c>
      <c r="C71" s="2929" t="s">
        <v>27</v>
      </c>
    </row>
    <row r="72" spans="1:7" ht="14.25" thickBot="1">
      <c r="A72" s="2928" t="s">
        <v>3079</v>
      </c>
      <c r="B72" s="2928"/>
      <c r="C72" s="2929"/>
    </row>
    <row r="73" spans="1:7" ht="14.25" thickBot="1">
      <c r="A73" s="2928">
        <v>1601</v>
      </c>
      <c r="B73" s="2928">
        <v>260.95</v>
      </c>
      <c r="C73" s="2929" t="s">
        <v>27</v>
      </c>
    </row>
    <row r="74" spans="1:7" ht="14.25" thickBot="1">
      <c r="A74" s="2928">
        <v>1602</v>
      </c>
      <c r="B74" s="2928">
        <v>573.46</v>
      </c>
      <c r="C74" s="2929" t="s">
        <v>27</v>
      </c>
    </row>
    <row r="75" spans="1:7" ht="14.25" thickBot="1">
      <c r="A75" s="2928" t="s">
        <v>3080</v>
      </c>
      <c r="B75" s="2928"/>
      <c r="C75" s="2929"/>
    </row>
    <row r="76" spans="1:7" ht="14.25" thickBot="1">
      <c r="A76" s="2928">
        <v>1701</v>
      </c>
      <c r="B76" s="2928">
        <v>1703</v>
      </c>
      <c r="C76" s="2929" t="s">
        <v>27</v>
      </c>
    </row>
    <row r="77" spans="1:7" ht="14.25" thickBot="1">
      <c r="A77" s="2928">
        <v>1703</v>
      </c>
      <c r="B77" s="2928">
        <v>451.99</v>
      </c>
      <c r="C77" s="2929" t="s">
        <v>27</v>
      </c>
    </row>
    <row r="78" spans="1:7" ht="14.25" thickBot="1">
      <c r="A78" s="2928" t="s">
        <v>3081</v>
      </c>
      <c r="B78" s="2928"/>
      <c r="C78" s="2929"/>
    </row>
    <row r="79" spans="1:7" ht="14.25" thickBot="1">
      <c r="A79" s="2928">
        <v>1801</v>
      </c>
      <c r="B79" s="2928">
        <v>1730.45</v>
      </c>
      <c r="C79" s="2929" t="s">
        <v>27</v>
      </c>
    </row>
    <row r="80" spans="1:7" ht="14.25" thickBot="1">
      <c r="A80" s="2928">
        <v>1803</v>
      </c>
      <c r="B80" s="2928">
        <v>149.74</v>
      </c>
      <c r="C80" s="2929" t="s">
        <v>27</v>
      </c>
    </row>
    <row r="81" spans="1:3" ht="14.25" thickBot="1">
      <c r="A81" s="2928" t="s">
        <v>3082</v>
      </c>
      <c r="B81" s="2928"/>
      <c r="C81" s="2929"/>
    </row>
    <row r="82" spans="1:3" ht="14.25" thickBot="1">
      <c r="A82" s="2928">
        <v>1901</v>
      </c>
      <c r="B82" s="2928">
        <v>1703</v>
      </c>
      <c r="C82" s="2929" t="s">
        <v>27</v>
      </c>
    </row>
    <row r="83" spans="1:3" ht="14.25" thickBot="1">
      <c r="A83" s="2928">
        <v>1903</v>
      </c>
      <c r="B83" s="2928">
        <v>451.99</v>
      </c>
      <c r="C83" s="2929" t="s">
        <v>27</v>
      </c>
    </row>
    <row r="84" spans="1:3" ht="14.25" thickBot="1">
      <c r="A84" s="2928" t="s">
        <v>3083</v>
      </c>
      <c r="B84" s="2928"/>
      <c r="C84" s="2948"/>
    </row>
    <row r="85" spans="1:3" ht="14.25" thickBot="1">
      <c r="A85" s="2928">
        <v>2001</v>
      </c>
      <c r="B85" s="2928">
        <v>1730.45</v>
      </c>
      <c r="C85" s="2929" t="s">
        <v>27</v>
      </c>
    </row>
    <row r="86" spans="1:3" ht="14.25" thickBot="1">
      <c r="A86" s="2928">
        <v>2003</v>
      </c>
      <c r="B86" s="2928">
        <v>149.74</v>
      </c>
      <c r="C86" s="2929" t="s">
        <v>27</v>
      </c>
    </row>
    <row r="87" spans="1:3" ht="14.25" thickBot="1">
      <c r="A87" s="2928" t="s">
        <v>3084</v>
      </c>
      <c r="B87" s="2928"/>
      <c r="C87" s="2948"/>
    </row>
    <row r="88" spans="1:3" ht="14.25" thickBot="1">
      <c r="A88" s="2928">
        <v>2101</v>
      </c>
      <c r="B88" s="2928">
        <v>1684.98</v>
      </c>
      <c r="C88" s="2929" t="s">
        <v>27</v>
      </c>
    </row>
    <row r="89" spans="1:3" ht="14.25" thickBot="1">
      <c r="A89" s="2928">
        <v>2103</v>
      </c>
      <c r="B89" s="2928">
        <v>552.46</v>
      </c>
      <c r="C89" s="2929" t="s">
        <v>27</v>
      </c>
    </row>
    <row r="90" spans="1:3" ht="14.25" thickBot="1">
      <c r="A90" s="2928" t="s">
        <v>3085</v>
      </c>
      <c r="B90" s="2928"/>
      <c r="C90" s="2948"/>
    </row>
    <row r="91" spans="1:3" ht="14.25" thickBot="1">
      <c r="A91" s="2928">
        <v>2201</v>
      </c>
      <c r="B91" s="2928">
        <v>1707.59</v>
      </c>
      <c r="C91" s="2929" t="s">
        <v>27</v>
      </c>
    </row>
    <row r="92" spans="1:3" ht="14.25" thickBot="1">
      <c r="A92" s="2928">
        <v>2203</v>
      </c>
      <c r="B92" s="2928">
        <v>246.41</v>
      </c>
      <c r="C92" s="2929" t="s">
        <v>27</v>
      </c>
    </row>
    <row r="93" spans="1:3" ht="14.25" thickBot="1">
      <c r="A93" s="2928" t="s">
        <v>3086</v>
      </c>
      <c r="B93" s="2928"/>
      <c r="C93" s="2948"/>
    </row>
    <row r="94" spans="1:3" ht="14.25" thickBot="1">
      <c r="A94" s="2928">
        <v>2301</v>
      </c>
      <c r="B94" s="2928">
        <v>1684.98</v>
      </c>
      <c r="C94" s="2929" t="s">
        <v>27</v>
      </c>
    </row>
    <row r="95" spans="1:3" ht="14.25" thickBot="1">
      <c r="A95" s="2928">
        <v>2303</v>
      </c>
      <c r="B95" s="2928">
        <v>552.46</v>
      </c>
      <c r="C95" s="2929" t="s">
        <v>27</v>
      </c>
    </row>
    <row r="96" spans="1:3" ht="14.25" thickBot="1">
      <c r="A96" s="2928" t="s">
        <v>3087</v>
      </c>
      <c r="B96" s="2928"/>
      <c r="C96" s="2929"/>
    </row>
    <row r="97" spans="1:3" ht="14.25" thickBot="1">
      <c r="A97" s="2928">
        <v>2401</v>
      </c>
      <c r="B97" s="2928">
        <v>1707.59</v>
      </c>
      <c r="C97" s="2929" t="s">
        <v>27</v>
      </c>
    </row>
    <row r="98" spans="1:3" ht="14.25" thickBot="1">
      <c r="A98" s="2928">
        <v>2403</v>
      </c>
      <c r="B98" s="2928">
        <v>246.41</v>
      </c>
      <c r="C98" s="2929" t="s">
        <v>27</v>
      </c>
    </row>
    <row r="99" spans="1:3" ht="14.25" thickBot="1">
      <c r="A99" s="2928" t="s">
        <v>3088</v>
      </c>
      <c r="B99" s="2928"/>
      <c r="C99" s="2948"/>
    </row>
    <row r="100" spans="1:3" ht="14.25" thickBot="1">
      <c r="A100" s="2928">
        <v>2501</v>
      </c>
      <c r="B100" s="2928">
        <v>1684.98</v>
      </c>
      <c r="C100" s="2929" t="s">
        <v>27</v>
      </c>
    </row>
    <row r="101" spans="1:3" ht="14.25" thickBot="1">
      <c r="A101" s="2928">
        <v>2503</v>
      </c>
      <c r="B101" s="2928">
        <v>552.46</v>
      </c>
      <c r="C101" s="2929" t="s">
        <v>27</v>
      </c>
    </row>
    <row r="102" spans="1:3" ht="14.25" thickBot="1">
      <c r="A102" s="2928" t="s">
        <v>3089</v>
      </c>
      <c r="B102" s="2928"/>
      <c r="C102" s="2948"/>
    </row>
    <row r="103" spans="1:3" ht="14.25" thickBot="1">
      <c r="A103" s="2928">
        <v>2601</v>
      </c>
      <c r="B103" s="2928">
        <v>1026.42</v>
      </c>
      <c r="C103" s="2929" t="s">
        <v>27</v>
      </c>
    </row>
    <row r="104" spans="1:3" ht="14.25" thickBot="1">
      <c r="A104" s="2928" t="s">
        <v>3090</v>
      </c>
      <c r="B104" s="2928"/>
      <c r="C104" s="2948"/>
    </row>
    <row r="105" spans="1:3" ht="14.25" thickBot="1">
      <c r="A105" s="2928">
        <v>2701</v>
      </c>
      <c r="B105" s="2928">
        <v>1678.85</v>
      </c>
      <c r="C105" s="2929" t="s">
        <v>27</v>
      </c>
    </row>
    <row r="106" spans="1:3" ht="14.25" thickBot="1">
      <c r="A106" s="2928" t="s">
        <v>3091</v>
      </c>
      <c r="B106" s="2928"/>
      <c r="C106" s="2948"/>
    </row>
    <row r="107" spans="1:3" ht="14.25" thickBot="1">
      <c r="A107" s="2928">
        <v>2801</v>
      </c>
      <c r="B107" s="2928">
        <v>1687.61</v>
      </c>
      <c r="C107" s="2929" t="s">
        <v>27</v>
      </c>
    </row>
    <row r="108" spans="1:3" ht="14.25" thickBot="1">
      <c r="A108" s="2928" t="s">
        <v>3092</v>
      </c>
      <c r="B108" s="2928"/>
      <c r="C108" s="2948"/>
    </row>
    <row r="109" spans="1:3" ht="14.25" thickBot="1">
      <c r="A109" s="2928">
        <v>2901</v>
      </c>
      <c r="B109" s="2928">
        <v>1709.76</v>
      </c>
      <c r="C109" s="2929" t="s">
        <v>27</v>
      </c>
    </row>
    <row r="110" spans="1:3" ht="14.25" thickBot="1">
      <c r="A110" s="2928" t="s">
        <v>3093</v>
      </c>
      <c r="B110" s="2928"/>
      <c r="C110" s="2948"/>
    </row>
    <row r="111" spans="1:3" ht="14.25" thickBot="1">
      <c r="A111" s="2928">
        <v>3001</v>
      </c>
      <c r="B111" s="2928">
        <v>1718.42</v>
      </c>
      <c r="C111" s="2929" t="s">
        <v>27</v>
      </c>
    </row>
    <row r="112" spans="1:3" ht="14.25" thickBot="1">
      <c r="A112" s="2928" t="s">
        <v>3094</v>
      </c>
      <c r="B112" s="2928"/>
      <c r="C112" s="2948"/>
    </row>
    <row r="113" spans="1:3" ht="14.25" thickBot="1">
      <c r="A113" s="2928">
        <v>3101</v>
      </c>
      <c r="B113" s="2928">
        <v>1764.2</v>
      </c>
      <c r="C113" s="2929" t="s">
        <v>27</v>
      </c>
    </row>
    <row r="114" spans="1:3" ht="14.25" thickBot="1">
      <c r="A114" s="2928" t="s">
        <v>3095</v>
      </c>
      <c r="B114" s="2928"/>
      <c r="C114" s="2948"/>
    </row>
    <row r="115" spans="1:3" ht="14.25" thickBot="1">
      <c r="A115" s="2928">
        <v>3201</v>
      </c>
      <c r="B115" s="2928">
        <v>1764.2</v>
      </c>
      <c r="C115" s="2929" t="s">
        <v>27</v>
      </c>
    </row>
    <row r="116" spans="1:3" ht="14.25" thickBot="1">
      <c r="A116" s="2928" t="s">
        <v>3096</v>
      </c>
      <c r="B116" s="2928"/>
      <c r="C116" s="2948"/>
    </row>
    <row r="117" spans="1:3" ht="14.25" thickBot="1">
      <c r="A117" s="2928">
        <v>3301</v>
      </c>
      <c r="B117" s="2928">
        <v>1718.51</v>
      </c>
      <c r="C117" s="2929" t="s">
        <v>27</v>
      </c>
    </row>
    <row r="118" spans="1:3" ht="14.25" thickBot="1">
      <c r="A118" s="2928">
        <v>3303</v>
      </c>
      <c r="B118" s="2928">
        <v>248.07</v>
      </c>
      <c r="C118" s="2929" t="s">
        <v>27</v>
      </c>
    </row>
    <row r="119" spans="1:3" ht="14.25" thickBot="1">
      <c r="A119" s="2947" t="s">
        <v>3097</v>
      </c>
      <c r="B119" s="2947">
        <f>SUM(B30:B118)</f>
        <v>60882.78</v>
      </c>
      <c r="C119" s="2929"/>
    </row>
    <row r="120" spans="1:3" ht="15" thickBot="1">
      <c r="A120" s="2947" t="s">
        <v>3098</v>
      </c>
      <c r="B120" s="2951">
        <f>B119+B28</f>
        <v>76816.58</v>
      </c>
      <c r="C120" s="2929"/>
    </row>
  </sheetData>
  <mergeCells count="5">
    <mergeCell ref="E2:E3"/>
    <mergeCell ref="F2:F3"/>
    <mergeCell ref="G2:I2"/>
    <mergeCell ref="E12:G12"/>
    <mergeCell ref="I12:K12"/>
  </mergeCells>
  <phoneticPr fontId="142"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topLeftCell="A4" workbookViewId="0">
      <selection activeCell="I16" sqref="I16"/>
    </sheetView>
  </sheetViews>
  <sheetFormatPr defaultColWidth="21.875" defaultRowHeight="13.5"/>
  <cols>
    <col min="1" max="3" width="12.625" customWidth="1"/>
    <col min="4" max="4" width="12.625" style="2956" customWidth="1"/>
    <col min="5" max="5" width="6.5" customWidth="1"/>
    <col min="6" max="10" width="12.625" customWidth="1"/>
    <col min="11" max="11" width="11.625" customWidth="1"/>
  </cols>
  <sheetData>
    <row r="1" spans="1:11" ht="20.25">
      <c r="A1" s="2955"/>
      <c r="B1" s="3446" t="s">
        <v>3121</v>
      </c>
      <c r="C1" s="3446"/>
    </row>
    <row r="2" spans="1:11" ht="14.25">
      <c r="A2" s="2955"/>
      <c r="B2" s="3447" t="s">
        <v>3122</v>
      </c>
      <c r="C2" s="3447"/>
    </row>
    <row r="3" spans="1:11" ht="14.25">
      <c r="A3" s="2957"/>
      <c r="B3" s="3448" t="s">
        <v>3123</v>
      </c>
      <c r="C3" s="3449" t="s">
        <v>3028</v>
      </c>
      <c r="D3" s="3450" t="s">
        <v>3124</v>
      </c>
    </row>
    <row r="4" spans="1:11" ht="14.25">
      <c r="A4" s="2957"/>
      <c r="B4" s="3448"/>
      <c r="C4" s="3449"/>
      <c r="D4" s="3450"/>
      <c r="F4" s="3435" t="s">
        <v>557</v>
      </c>
      <c r="G4" s="3437" t="s">
        <v>3048</v>
      </c>
      <c r="H4" s="3439" t="s">
        <v>1111</v>
      </c>
      <c r="I4" s="3440"/>
      <c r="J4" s="3441"/>
    </row>
    <row r="5" spans="1:11" ht="14.25">
      <c r="A5" s="2958" t="s">
        <v>3125</v>
      </c>
      <c r="B5" s="3448"/>
      <c r="C5" s="3449"/>
      <c r="D5" s="3450"/>
      <c r="F5" s="3436"/>
      <c r="G5" s="3438"/>
      <c r="H5" s="2930" t="s">
        <v>3050</v>
      </c>
      <c r="I5" s="2930" t="s">
        <v>603</v>
      </c>
      <c r="J5" s="2930" t="s">
        <v>3036</v>
      </c>
    </row>
    <row r="6" spans="1:11" ht="14.25">
      <c r="A6" s="2959"/>
      <c r="B6" s="2960" t="s">
        <v>3051</v>
      </c>
      <c r="C6" s="2961"/>
      <c r="D6" s="2962"/>
      <c r="F6" s="2931" t="s">
        <v>3219</v>
      </c>
      <c r="G6" s="2932">
        <f>ROUND(J6/$G$12*$G$10,2)</f>
        <v>837.69</v>
      </c>
      <c r="H6" s="2933">
        <v>0</v>
      </c>
      <c r="I6" s="3005">
        <f>C13+C19+C29</f>
        <v>11913.25</v>
      </c>
      <c r="J6" s="2937">
        <f>H6+I6</f>
        <v>11913.25</v>
      </c>
      <c r="K6" s="3104">
        <f>J6-面积A!I4</f>
        <v>506.38999999999942</v>
      </c>
    </row>
    <row r="7" spans="1:11" ht="14.25">
      <c r="A7" s="2959">
        <v>-4</v>
      </c>
      <c r="B7" s="2960" t="s">
        <v>3126</v>
      </c>
      <c r="C7" s="2961">
        <v>600.96</v>
      </c>
      <c r="D7" s="2962" t="s">
        <v>3127</v>
      </c>
      <c r="F7" s="2935" t="s">
        <v>3220</v>
      </c>
      <c r="G7" s="2932">
        <f t="shared" ref="G7" si="0">ROUND(J7/$G$12*$G$10,2)</f>
        <v>3417.72</v>
      </c>
      <c r="H7" s="3006">
        <f>C46+C50+C52+C54+C56+C58+C60+C62+C64+C66+C68+C70+C72+C74+C77+C79+C81+C83+C85+C87+C89+C91+C93+C95+C97+C99+C101+C103+C105+C106+C108+C109+C111+C112</f>
        <v>48605.16</v>
      </c>
      <c r="I7" s="2940"/>
      <c r="J7" s="2937">
        <f t="shared" ref="J7:J9" si="1">H7+I7</f>
        <v>48605.16</v>
      </c>
      <c r="K7" s="2954">
        <f>J7-面积A!I8</f>
        <v>-9981.6500000000015</v>
      </c>
    </row>
    <row r="8" spans="1:11" ht="14.25">
      <c r="A8" s="2959"/>
      <c r="B8" s="2960" t="s">
        <v>3128</v>
      </c>
      <c r="C8" s="2961">
        <v>11.72</v>
      </c>
      <c r="D8" s="2962" t="s">
        <v>3129</v>
      </c>
      <c r="F8" s="2936" t="s">
        <v>183</v>
      </c>
      <c r="G8" s="2932">
        <f>4629.46-G6-G7</f>
        <v>374.05000000000018</v>
      </c>
      <c r="H8" s="3006">
        <f>C40+C41+C42+C43+C44+C48</f>
        <v>2344.15</v>
      </c>
      <c r="I8" s="2976">
        <f>C28+C30</f>
        <v>2975.3</v>
      </c>
      <c r="J8" s="2937">
        <f t="shared" si="1"/>
        <v>5319.4500000000007</v>
      </c>
      <c r="K8" s="2954">
        <f>J8-面积A!I7-面积A!I5</f>
        <v>103.38000000000011</v>
      </c>
    </row>
    <row r="9" spans="1:11" ht="14.25">
      <c r="A9" s="2959"/>
      <c r="B9" s="2960" t="s">
        <v>3130</v>
      </c>
      <c r="C9" s="2961">
        <v>142.79</v>
      </c>
      <c r="D9" s="2962" t="s">
        <v>3129</v>
      </c>
      <c r="F9" s="2935" t="s">
        <v>3226</v>
      </c>
      <c r="G9" s="2932">
        <v>0</v>
      </c>
      <c r="H9" s="2930">
        <v>0</v>
      </c>
      <c r="I9" s="3006">
        <f>C7+C8+C9+C10+C11+C14+C15+C16+C17+C20+C21+C22+C24+C25+C26+C31+C34+C36+C37</f>
        <v>1343.33</v>
      </c>
      <c r="J9" s="2937">
        <f t="shared" si="1"/>
        <v>1343.33</v>
      </c>
    </row>
    <row r="10" spans="1:11" ht="14.25">
      <c r="A10" s="2959"/>
      <c r="B10" s="2960" t="s">
        <v>3131</v>
      </c>
      <c r="C10" s="2961">
        <v>8.14</v>
      </c>
      <c r="D10" s="2962" t="s">
        <v>3129</v>
      </c>
      <c r="F10" s="2930" t="s">
        <v>3036</v>
      </c>
      <c r="G10" s="2932">
        <v>4629.46</v>
      </c>
      <c r="H10" s="2937">
        <f>SUM(H6:H9)</f>
        <v>50949.310000000005</v>
      </c>
      <c r="I10" s="2937">
        <f>SUM(I6:I9)</f>
        <v>16231.88</v>
      </c>
      <c r="J10" s="2937">
        <f>H10+I10</f>
        <v>67181.19</v>
      </c>
    </row>
    <row r="11" spans="1:11" ht="14.25">
      <c r="A11" s="2959"/>
      <c r="B11" s="2960" t="s">
        <v>3132</v>
      </c>
      <c r="C11" s="2961">
        <v>9.64</v>
      </c>
      <c r="D11" s="2962" t="s">
        <v>3129</v>
      </c>
      <c r="F11" s="3011"/>
      <c r="G11" s="3012"/>
      <c r="H11" s="3013"/>
      <c r="I11" s="3013"/>
      <c r="J11" s="3013"/>
    </row>
    <row r="12" spans="1:11" ht="14.25">
      <c r="A12" s="2959"/>
      <c r="B12" s="2960" t="s">
        <v>3054</v>
      </c>
      <c r="C12" s="2961"/>
      <c r="D12" s="2962"/>
      <c r="F12" s="3011" t="s">
        <v>3227</v>
      </c>
      <c r="G12" s="3012">
        <f>J6+J7+J8</f>
        <v>65837.86</v>
      </c>
      <c r="H12" s="3013" t="s">
        <v>3228</v>
      </c>
      <c r="I12" s="3013">
        <f>ROUND(H10/G10,2)</f>
        <v>11.01</v>
      </c>
      <c r="J12" s="3013"/>
    </row>
    <row r="13" spans="1:11" s="2964" customFormat="1" ht="14.25">
      <c r="A13" s="2963">
        <v>-3</v>
      </c>
      <c r="B13" s="2960" t="s">
        <v>3133</v>
      </c>
      <c r="C13" s="2961">
        <v>8069.05</v>
      </c>
      <c r="D13" s="2962" t="s">
        <v>3134</v>
      </c>
      <c r="F13"/>
      <c r="G13"/>
      <c r="H13"/>
      <c r="I13"/>
      <c r="J13"/>
    </row>
    <row r="14" spans="1:11" ht="14.25">
      <c r="A14" s="2959"/>
      <c r="B14" s="2960" t="s">
        <v>3135</v>
      </c>
      <c r="C14" s="2961">
        <v>57.14</v>
      </c>
      <c r="D14" s="2962" t="s">
        <v>3129</v>
      </c>
      <c r="F14" s="3009"/>
      <c r="G14" s="3009"/>
      <c r="H14" s="3009" t="s">
        <v>3225</v>
      </c>
      <c r="I14" s="2964"/>
      <c r="J14" s="2964"/>
    </row>
    <row r="15" spans="1:11" ht="14.25">
      <c r="A15" s="2959"/>
      <c r="B15" s="2960" t="s">
        <v>3136</v>
      </c>
      <c r="C15" s="2961">
        <v>78.2</v>
      </c>
      <c r="D15" s="2962" t="s">
        <v>3129</v>
      </c>
      <c r="F15" s="3010" t="s">
        <v>3221</v>
      </c>
      <c r="G15" s="3008" t="s">
        <v>3222</v>
      </c>
      <c r="H15" s="2961">
        <f>C28+C30</f>
        <v>2975.3</v>
      </c>
      <c r="I15" s="2965"/>
      <c r="J15" s="2966"/>
    </row>
    <row r="16" spans="1:11" ht="14.25">
      <c r="A16" s="2959"/>
      <c r="B16" s="2960" t="s">
        <v>3137</v>
      </c>
      <c r="C16" s="2961">
        <v>11.43</v>
      </c>
      <c r="D16" s="2962" t="s">
        <v>3129</v>
      </c>
      <c r="F16" s="2912"/>
      <c r="G16" s="3008" t="s">
        <v>3223</v>
      </c>
      <c r="H16" s="2961">
        <f>C40+C41+C42+C43+C44</f>
        <v>919.47</v>
      </c>
      <c r="I16" s="3007"/>
      <c r="J16" s="2966"/>
    </row>
    <row r="17" spans="1:11" ht="14.25">
      <c r="A17" s="2959"/>
      <c r="B17" s="2960" t="s">
        <v>3138</v>
      </c>
      <c r="C17" s="2961">
        <v>8.14</v>
      </c>
      <c r="D17" s="2962" t="s">
        <v>3129</v>
      </c>
      <c r="F17" s="2912"/>
      <c r="G17" s="3008" t="s">
        <v>3224</v>
      </c>
      <c r="H17" s="2961">
        <f>C48</f>
        <v>1424.68</v>
      </c>
      <c r="I17" s="3007"/>
      <c r="J17" s="2966"/>
    </row>
    <row r="18" spans="1:11" ht="14.25">
      <c r="A18" s="2959"/>
      <c r="B18" s="2960" t="s">
        <v>3056</v>
      </c>
      <c r="C18" s="2961"/>
      <c r="D18" s="2962"/>
      <c r="F18" s="2912"/>
      <c r="G18" s="3008"/>
      <c r="H18" s="2961">
        <f>H15+H16+H17</f>
        <v>5319.4500000000007</v>
      </c>
      <c r="I18" s="3007"/>
      <c r="J18" s="2966"/>
    </row>
    <row r="19" spans="1:11" ht="14.25">
      <c r="A19" s="2959">
        <v>-2</v>
      </c>
      <c r="B19" s="2960" t="s">
        <v>3139</v>
      </c>
      <c r="C19" s="2961">
        <v>2611.44</v>
      </c>
      <c r="D19" s="2962" t="s">
        <v>3134</v>
      </c>
    </row>
    <row r="20" spans="1:11" ht="14.25">
      <c r="A20" s="2959"/>
      <c r="B20" s="2960" t="s">
        <v>3140</v>
      </c>
      <c r="C20" s="2961">
        <v>51.63</v>
      </c>
      <c r="D20" s="2962" t="s">
        <v>3129</v>
      </c>
      <c r="I20" s="3010" t="s">
        <v>3314</v>
      </c>
      <c r="J20" s="3010" t="s">
        <v>3315</v>
      </c>
      <c r="K20" s="3010" t="s">
        <v>3316</v>
      </c>
    </row>
    <row r="21" spans="1:11" ht="14.25">
      <c r="A21" s="2959"/>
      <c r="B21" s="2960" t="s">
        <v>3141</v>
      </c>
      <c r="C21" s="2961">
        <v>31.9</v>
      </c>
      <c r="D21" s="2962" t="s">
        <v>3129</v>
      </c>
      <c r="F21" s="3443" t="s">
        <v>3313</v>
      </c>
      <c r="G21" s="3008" t="s">
        <v>3222</v>
      </c>
      <c r="H21" s="3094">
        <f>H15+面积A!M15</f>
        <v>5895.4000000000005</v>
      </c>
      <c r="I21" s="2912">
        <v>0.5</v>
      </c>
      <c r="J21" s="2912">
        <f>ROUND(I21*J22,2)</f>
        <v>10</v>
      </c>
      <c r="K21" s="2912">
        <f>ROUND(J21*365*H21/10000,0)</f>
        <v>2152</v>
      </c>
    </row>
    <row r="22" spans="1:11" ht="14.25">
      <c r="A22" s="2959"/>
      <c r="B22" s="2960" t="s">
        <v>3142</v>
      </c>
      <c r="C22" s="2961">
        <v>42.82</v>
      </c>
      <c r="D22" s="2962" t="s">
        <v>3129</v>
      </c>
      <c r="F22" s="3444"/>
      <c r="G22" s="3008" t="s">
        <v>3223</v>
      </c>
      <c r="H22" s="3094">
        <f>H16+面积A!M16</f>
        <v>1790.76</v>
      </c>
      <c r="I22" s="2912">
        <v>1</v>
      </c>
      <c r="J22" s="2912">
        <v>20</v>
      </c>
      <c r="K22" s="2912">
        <f t="shared" ref="K22" si="2">ROUND(J22*365*H22/10000,0)</f>
        <v>1307</v>
      </c>
    </row>
    <row r="23" spans="1:11" ht="14.25">
      <c r="A23" s="2959"/>
      <c r="B23" s="2960" t="s">
        <v>3143</v>
      </c>
      <c r="C23" s="2961"/>
      <c r="D23" s="2962"/>
      <c r="F23" s="3445"/>
      <c r="G23" s="3008" t="s">
        <v>3224</v>
      </c>
      <c r="H23" s="3094">
        <f>H17+面积A!M17</f>
        <v>2849.36</v>
      </c>
      <c r="I23" s="2912">
        <v>0.5</v>
      </c>
      <c r="J23" s="2912">
        <f>ROUND(J22*I23,2)</f>
        <v>10</v>
      </c>
      <c r="K23" s="2912">
        <f>ROUND(J23*365*H23/10000,0)</f>
        <v>1040</v>
      </c>
    </row>
    <row r="24" spans="1:11">
      <c r="A24" s="2960" t="s">
        <v>3144</v>
      </c>
      <c r="B24" s="2960" t="s">
        <v>3145</v>
      </c>
      <c r="C24" s="2961">
        <v>49.56</v>
      </c>
      <c r="D24" s="2962" t="s">
        <v>3129</v>
      </c>
      <c r="F24" s="3010" t="s">
        <v>3305</v>
      </c>
      <c r="G24" s="2912"/>
      <c r="H24" s="3094">
        <f>SUM(H21:H23)</f>
        <v>10535.52</v>
      </c>
      <c r="I24" s="2912"/>
      <c r="J24" s="2912">
        <f>ROUND(K24/365/H24*10000,0)</f>
        <v>12</v>
      </c>
      <c r="K24" s="2912">
        <f>SUM(K21:K23)</f>
        <v>4499</v>
      </c>
    </row>
    <row r="25" spans="1:11" ht="14.25">
      <c r="A25" s="2959"/>
      <c r="B25" s="2960" t="s">
        <v>3146</v>
      </c>
      <c r="C25" s="2961">
        <v>34.5</v>
      </c>
      <c r="D25" s="2962" t="s">
        <v>3129</v>
      </c>
    </row>
    <row r="26" spans="1:11" ht="14.25">
      <c r="A26" s="2959"/>
      <c r="B26" s="2960" t="s">
        <v>3147</v>
      </c>
      <c r="C26" s="2961">
        <v>29.61</v>
      </c>
      <c r="D26" s="2962" t="s">
        <v>3129</v>
      </c>
      <c r="K26">
        <f>K24*0.9</f>
        <v>4049.1</v>
      </c>
    </row>
    <row r="27" spans="1:11" ht="14.25">
      <c r="A27" s="2959"/>
      <c r="B27" s="2960" t="s">
        <v>3061</v>
      </c>
      <c r="C27" s="2961"/>
      <c r="D27" s="2962"/>
    </row>
    <row r="28" spans="1:11" ht="14.25">
      <c r="A28" s="2959">
        <v>-1</v>
      </c>
      <c r="B28" s="2960" t="s">
        <v>3148</v>
      </c>
      <c r="C28" s="2961">
        <v>1401.24</v>
      </c>
      <c r="D28" s="2962" t="s">
        <v>3149</v>
      </c>
    </row>
    <row r="29" spans="1:11" ht="14.25">
      <c r="A29" s="2959"/>
      <c r="B29" s="2960" t="s">
        <v>3150</v>
      </c>
      <c r="C29" s="2961">
        <v>1232.76</v>
      </c>
      <c r="D29" s="2962" t="s">
        <v>3134</v>
      </c>
    </row>
    <row r="30" spans="1:11" ht="14.25">
      <c r="A30" s="2959"/>
      <c r="B30" s="2960" t="s">
        <v>3151</v>
      </c>
      <c r="C30" s="2961">
        <v>1574.06</v>
      </c>
      <c r="D30" s="2962" t="s">
        <v>3149</v>
      </c>
      <c r="F30" s="2954"/>
    </row>
    <row r="31" spans="1:11" ht="14.25">
      <c r="A31" s="2959"/>
      <c r="B31" s="2960" t="s">
        <v>3152</v>
      </c>
      <c r="C31" s="2961">
        <v>8.14</v>
      </c>
      <c r="D31" s="2962" t="s">
        <v>3129</v>
      </c>
      <c r="G31" s="2954"/>
    </row>
    <row r="32" spans="1:11" ht="14.25">
      <c r="A32" s="2959"/>
      <c r="B32" s="2960" t="s">
        <v>3153</v>
      </c>
      <c r="C32" s="2961"/>
      <c r="D32" s="2962"/>
    </row>
    <row r="33" spans="1:10" s="2971" customFormat="1" ht="14.25">
      <c r="A33" s="2967"/>
      <c r="B33" s="2968" t="s">
        <v>3154</v>
      </c>
      <c r="C33" s="2969">
        <v>624.46</v>
      </c>
      <c r="D33" s="2970" t="s">
        <v>3155</v>
      </c>
      <c r="F33"/>
      <c r="G33"/>
      <c r="H33"/>
      <c r="I33"/>
      <c r="J33"/>
    </row>
    <row r="34" spans="1:10" ht="14.25">
      <c r="A34" s="2959"/>
      <c r="B34" s="2960" t="s">
        <v>3156</v>
      </c>
      <c r="C34" s="2961">
        <v>48.55</v>
      </c>
      <c r="D34" s="2962" t="s">
        <v>3129</v>
      </c>
      <c r="F34" s="2971"/>
      <c r="G34" s="2971"/>
      <c r="H34" s="2971"/>
      <c r="I34" s="2971"/>
      <c r="J34" s="2971"/>
    </row>
    <row r="35" spans="1:10" s="2971" customFormat="1" ht="14.25">
      <c r="A35" s="2967"/>
      <c r="B35" s="2968" t="s">
        <v>3157</v>
      </c>
      <c r="C35" s="2969">
        <v>30.86</v>
      </c>
      <c r="D35" s="2970" t="s">
        <v>3158</v>
      </c>
      <c r="F35"/>
      <c r="G35"/>
      <c r="H35"/>
      <c r="I35"/>
      <c r="J35"/>
    </row>
    <row r="36" spans="1:10" ht="14.25">
      <c r="A36" s="2959"/>
      <c r="B36" s="2960" t="s">
        <v>3159</v>
      </c>
      <c r="C36" s="2961">
        <v>60.38</v>
      </c>
      <c r="D36" s="2962" t="s">
        <v>3129</v>
      </c>
      <c r="F36" s="2971"/>
      <c r="G36" s="2971"/>
      <c r="H36" s="2971"/>
      <c r="I36" s="2971"/>
      <c r="J36" s="2971"/>
    </row>
    <row r="37" spans="1:10" ht="14.25">
      <c r="A37" s="2959"/>
      <c r="B37" s="2960" t="s">
        <v>3160</v>
      </c>
      <c r="C37" s="2961">
        <v>58.08</v>
      </c>
      <c r="D37" s="2962" t="s">
        <v>3129</v>
      </c>
    </row>
    <row r="38" spans="1:10" ht="14.25">
      <c r="A38" s="2959"/>
      <c r="B38" s="2972" t="s">
        <v>3161</v>
      </c>
      <c r="C38" s="2973">
        <f>SUM(C6:C37)</f>
        <v>16887.2</v>
      </c>
      <c r="D38" s="2962"/>
    </row>
    <row r="39" spans="1:10" ht="14.25">
      <c r="A39" s="2959"/>
      <c r="B39" s="2960" t="s">
        <v>3064</v>
      </c>
      <c r="C39" s="2961"/>
      <c r="D39" s="2962"/>
    </row>
    <row r="40" spans="1:10" ht="14.25">
      <c r="A40" s="2959">
        <v>1</v>
      </c>
      <c r="B40" s="2960" t="s">
        <v>3162</v>
      </c>
      <c r="C40" s="2961">
        <v>256.49</v>
      </c>
      <c r="D40" s="2962" t="s">
        <v>3163</v>
      </c>
      <c r="F40" s="3077"/>
      <c r="G40" s="3078"/>
    </row>
    <row r="41" spans="1:10" ht="14.25">
      <c r="A41" s="2959"/>
      <c r="B41" s="2960" t="s">
        <v>3164</v>
      </c>
      <c r="C41" s="2961">
        <v>166.91</v>
      </c>
      <c r="D41" s="2962" t="s">
        <v>3163</v>
      </c>
      <c r="F41" s="3079"/>
      <c r="G41" s="3080"/>
    </row>
    <row r="42" spans="1:10" ht="14.25">
      <c r="A42" s="2959"/>
      <c r="B42" s="2960" t="s">
        <v>3165</v>
      </c>
      <c r="C42" s="2961">
        <v>53.12</v>
      </c>
      <c r="D42" s="2962" t="s">
        <v>3163</v>
      </c>
      <c r="F42" s="3077"/>
      <c r="G42" s="3078"/>
    </row>
    <row r="43" spans="1:10" ht="14.25">
      <c r="A43" s="2959"/>
      <c r="B43" s="2960" t="s">
        <v>3166</v>
      </c>
      <c r="C43" s="2961">
        <v>285.64999999999998</v>
      </c>
      <c r="D43" s="2962" t="s">
        <v>3163</v>
      </c>
      <c r="F43" s="3077"/>
      <c r="G43" s="3078"/>
    </row>
    <row r="44" spans="1:10" ht="14.25">
      <c r="A44" s="2959"/>
      <c r="B44" s="2960" t="s">
        <v>3167</v>
      </c>
      <c r="C44" s="2961">
        <v>157.30000000000001</v>
      </c>
      <c r="D44" s="2962" t="s">
        <v>3163</v>
      </c>
    </row>
    <row r="45" spans="1:10" ht="14.25">
      <c r="A45" s="2959"/>
      <c r="B45" s="2960" t="s">
        <v>3065</v>
      </c>
      <c r="C45" s="2961"/>
      <c r="D45" s="2962"/>
    </row>
    <row r="46" spans="1:10" ht="14.25">
      <c r="A46" s="2959">
        <v>2</v>
      </c>
      <c r="B46" s="2960" t="s">
        <v>3168</v>
      </c>
      <c r="C46" s="2961">
        <v>1241.3599999999999</v>
      </c>
      <c r="D46" s="2962" t="s">
        <v>3169</v>
      </c>
    </row>
    <row r="47" spans="1:10" ht="14.25">
      <c r="A47" s="2959"/>
      <c r="B47" s="2960" t="s">
        <v>3066</v>
      </c>
      <c r="C47" s="2961"/>
      <c r="D47" s="2962"/>
    </row>
    <row r="48" spans="1:10" ht="14.25">
      <c r="A48" s="2959">
        <v>3</v>
      </c>
      <c r="B48" s="2960" t="s">
        <v>3170</v>
      </c>
      <c r="C48" s="2961">
        <v>1424.68</v>
      </c>
      <c r="D48" s="2962" t="s">
        <v>3163</v>
      </c>
    </row>
    <row r="49" spans="1:4" ht="14.25">
      <c r="A49" s="2959"/>
      <c r="B49" s="2960" t="s">
        <v>3067</v>
      </c>
      <c r="C49" s="2961"/>
      <c r="D49" s="2962"/>
    </row>
    <row r="50" spans="1:4" ht="14.25">
      <c r="A50" s="2959">
        <v>4</v>
      </c>
      <c r="B50" s="2960" t="s">
        <v>3171</v>
      </c>
      <c r="C50" s="2961">
        <v>1490.04</v>
      </c>
      <c r="D50" s="2962" t="s">
        <v>3169</v>
      </c>
    </row>
    <row r="51" spans="1:4" ht="14.25">
      <c r="A51" s="2959"/>
      <c r="B51" s="2960" t="s">
        <v>3068</v>
      </c>
      <c r="C51" s="2961"/>
      <c r="D51" s="2962"/>
    </row>
    <row r="52" spans="1:4" ht="14.25">
      <c r="A52" s="2959">
        <v>5</v>
      </c>
      <c r="B52" s="2960" t="s">
        <v>3172</v>
      </c>
      <c r="C52" s="2961">
        <v>1720.67</v>
      </c>
      <c r="D52" s="2962" t="s">
        <v>3169</v>
      </c>
    </row>
    <row r="53" spans="1:4" ht="14.25">
      <c r="A53" s="2959"/>
      <c r="B53" s="2960" t="s">
        <v>3069</v>
      </c>
      <c r="C53" s="2961"/>
      <c r="D53" s="2962"/>
    </row>
    <row r="54" spans="1:4" ht="14.25">
      <c r="A54" s="2959">
        <v>6</v>
      </c>
      <c r="B54" s="2960" t="s">
        <v>3173</v>
      </c>
      <c r="C54" s="2961">
        <v>1566.61</v>
      </c>
      <c r="D54" s="2962" t="s">
        <v>3169</v>
      </c>
    </row>
    <row r="55" spans="1:4" ht="14.25">
      <c r="A55" s="2959"/>
      <c r="B55" s="2960" t="s">
        <v>3070</v>
      </c>
      <c r="C55" s="2961"/>
      <c r="D55" s="2962"/>
    </row>
    <row r="56" spans="1:4" ht="14.25">
      <c r="A56" s="2959">
        <v>7</v>
      </c>
      <c r="B56" s="2960" t="s">
        <v>3174</v>
      </c>
      <c r="C56" s="2961">
        <v>1706.06</v>
      </c>
      <c r="D56" s="2962" t="s">
        <v>3169</v>
      </c>
    </row>
    <row r="57" spans="1:4" ht="14.25">
      <c r="A57" s="2959"/>
      <c r="B57" s="2960" t="s">
        <v>3071</v>
      </c>
      <c r="C57" s="2961"/>
      <c r="D57" s="2962"/>
    </row>
    <row r="58" spans="1:4" ht="14.25">
      <c r="A58" s="2959">
        <v>8</v>
      </c>
      <c r="B58" s="2960" t="s">
        <v>3175</v>
      </c>
      <c r="C58" s="2961">
        <v>1731.23</v>
      </c>
      <c r="D58" s="2962" t="s">
        <v>3169</v>
      </c>
    </row>
    <row r="59" spans="1:4" ht="14.25">
      <c r="A59" s="2959"/>
      <c r="B59" s="2960" t="s">
        <v>3072</v>
      </c>
      <c r="C59" s="2961"/>
      <c r="D59" s="2962"/>
    </row>
    <row r="60" spans="1:4" ht="14.25">
      <c r="A60" s="2959">
        <v>9</v>
      </c>
      <c r="B60" s="2960" t="s">
        <v>3176</v>
      </c>
      <c r="C60" s="2961">
        <v>1704.82</v>
      </c>
      <c r="D60" s="2962" t="s">
        <v>3169</v>
      </c>
    </row>
    <row r="61" spans="1:4" ht="14.25">
      <c r="A61" s="2959"/>
      <c r="B61" s="2960" t="s">
        <v>3073</v>
      </c>
      <c r="C61" s="2961"/>
      <c r="D61" s="2962"/>
    </row>
    <row r="62" spans="1:4" ht="14.25">
      <c r="A62" s="2959">
        <v>10</v>
      </c>
      <c r="B62" s="2960" t="s">
        <v>3177</v>
      </c>
      <c r="C62" s="2961">
        <v>1730.37</v>
      </c>
      <c r="D62" s="2962" t="s">
        <v>3169</v>
      </c>
    </row>
    <row r="63" spans="1:4" ht="14.25">
      <c r="A63" s="2959"/>
      <c r="B63" s="2960" t="s">
        <v>3074</v>
      </c>
      <c r="C63" s="2961"/>
      <c r="D63" s="2962"/>
    </row>
    <row r="64" spans="1:4" ht="14.25">
      <c r="A64" s="2959">
        <v>11</v>
      </c>
      <c r="B64" s="2960" t="s">
        <v>3178</v>
      </c>
      <c r="C64" s="2961">
        <v>1703.49</v>
      </c>
      <c r="D64" s="2962" t="s">
        <v>3169</v>
      </c>
    </row>
    <row r="65" spans="1:10" ht="14.25">
      <c r="A65" s="2959"/>
      <c r="B65" s="2960" t="s">
        <v>3075</v>
      </c>
      <c r="C65" s="2961"/>
      <c r="D65" s="2962"/>
    </row>
    <row r="66" spans="1:10" ht="14.25">
      <c r="A66" s="2959">
        <v>12</v>
      </c>
      <c r="B66" s="2960" t="s">
        <v>3179</v>
      </c>
      <c r="C66" s="2961">
        <v>1730.37</v>
      </c>
      <c r="D66" s="2962" t="s">
        <v>3169</v>
      </c>
    </row>
    <row r="67" spans="1:10" ht="14.25">
      <c r="A67" s="2959"/>
      <c r="B67" s="2960" t="s">
        <v>3076</v>
      </c>
      <c r="C67" s="2961"/>
      <c r="D67" s="2962"/>
    </row>
    <row r="68" spans="1:10" ht="14.25">
      <c r="A68" s="2959">
        <v>13</v>
      </c>
      <c r="B68" s="2960" t="s">
        <v>3180</v>
      </c>
      <c r="C68" s="2961">
        <v>1703.01</v>
      </c>
      <c r="D68" s="2962" t="s">
        <v>3169</v>
      </c>
    </row>
    <row r="69" spans="1:10" ht="14.25">
      <c r="A69" s="2959"/>
      <c r="B69" s="2960" t="s">
        <v>3077</v>
      </c>
      <c r="C69" s="2961"/>
      <c r="D69" s="2962"/>
    </row>
    <row r="70" spans="1:10" ht="14.25">
      <c r="A70" s="2959">
        <v>14</v>
      </c>
      <c r="B70" s="2960" t="s">
        <v>3181</v>
      </c>
      <c r="C70" s="2961">
        <v>1730.37</v>
      </c>
      <c r="D70" s="2962" t="s">
        <v>3169</v>
      </c>
    </row>
    <row r="71" spans="1:10" ht="14.25">
      <c r="A71" s="2959"/>
      <c r="B71" s="2960" t="s">
        <v>3078</v>
      </c>
      <c r="C71" s="2961"/>
      <c r="D71" s="2962"/>
    </row>
    <row r="72" spans="1:10" ht="14.25">
      <c r="A72" s="2959">
        <v>15</v>
      </c>
      <c r="B72" s="2960" t="s">
        <v>3182</v>
      </c>
      <c r="C72" s="2961">
        <v>1703.19</v>
      </c>
      <c r="D72" s="2962" t="s">
        <v>3169</v>
      </c>
    </row>
    <row r="73" spans="1:10" ht="14.25">
      <c r="A73" s="2959"/>
      <c r="B73" s="2960" t="s">
        <v>3079</v>
      </c>
      <c r="C73" s="2961"/>
      <c r="D73" s="2962"/>
    </row>
    <row r="74" spans="1:10" ht="14.25">
      <c r="A74" s="2959">
        <v>16</v>
      </c>
      <c r="B74" s="2960" t="s">
        <v>3183</v>
      </c>
      <c r="C74" s="2961">
        <v>213.71</v>
      </c>
      <c r="D74" s="2962" t="s">
        <v>3169</v>
      </c>
    </row>
    <row r="75" spans="1:10" s="2971" customFormat="1" ht="14.25">
      <c r="A75" s="2967"/>
      <c r="B75" s="2968" t="s">
        <v>3184</v>
      </c>
      <c r="C75" s="2969">
        <v>102.42</v>
      </c>
      <c r="D75" s="2970" t="s">
        <v>3158</v>
      </c>
      <c r="F75"/>
      <c r="G75"/>
      <c r="H75"/>
      <c r="I75"/>
      <c r="J75"/>
    </row>
    <row r="76" spans="1:10" ht="14.25">
      <c r="A76" s="2959"/>
      <c r="B76" s="2960" t="s">
        <v>3080</v>
      </c>
      <c r="C76" s="2961"/>
      <c r="D76" s="2962"/>
      <c r="F76" s="2971"/>
      <c r="G76" s="2971"/>
      <c r="H76" s="2971"/>
      <c r="I76" s="2971"/>
      <c r="J76" s="2971"/>
    </row>
    <row r="77" spans="1:10" ht="14.25">
      <c r="A77" s="2959">
        <v>17</v>
      </c>
      <c r="B77" s="2960" t="s">
        <v>3185</v>
      </c>
      <c r="C77" s="2961">
        <v>1703.02</v>
      </c>
      <c r="D77" s="2962" t="s">
        <v>3169</v>
      </c>
    </row>
    <row r="78" spans="1:10" ht="14.25">
      <c r="A78" s="2959"/>
      <c r="B78" s="2960" t="s">
        <v>3081</v>
      </c>
      <c r="C78" s="2961"/>
      <c r="D78" s="2962"/>
    </row>
    <row r="79" spans="1:10" ht="14.25">
      <c r="A79" s="2959">
        <v>18</v>
      </c>
      <c r="B79" s="2960" t="s">
        <v>3186</v>
      </c>
      <c r="C79" s="2961">
        <v>1730.37</v>
      </c>
      <c r="D79" s="2962" t="s">
        <v>3169</v>
      </c>
    </row>
    <row r="80" spans="1:10" ht="14.25">
      <c r="A80" s="2959"/>
      <c r="B80" s="2960" t="s">
        <v>3082</v>
      </c>
      <c r="C80" s="2961"/>
      <c r="D80" s="2962"/>
    </row>
    <row r="81" spans="1:4" ht="14.25">
      <c r="A81" s="2959">
        <v>19</v>
      </c>
      <c r="B81" s="2960" t="s">
        <v>3187</v>
      </c>
      <c r="C81" s="2961">
        <v>1703.02</v>
      </c>
      <c r="D81" s="2962" t="s">
        <v>3169</v>
      </c>
    </row>
    <row r="82" spans="1:4" ht="14.25">
      <c r="A82" s="2959"/>
      <c r="B82" s="2960" t="s">
        <v>3083</v>
      </c>
      <c r="C82" s="2961"/>
      <c r="D82" s="2962"/>
    </row>
    <row r="83" spans="1:4" ht="14.25">
      <c r="A83" s="2959">
        <v>20</v>
      </c>
      <c r="B83" s="2960" t="s">
        <v>3188</v>
      </c>
      <c r="C83" s="2961">
        <v>1730.37</v>
      </c>
      <c r="D83" s="2962" t="s">
        <v>3169</v>
      </c>
    </row>
    <row r="84" spans="1:4" ht="14.25">
      <c r="A84" s="2959"/>
      <c r="B84" s="2960" t="s">
        <v>3084</v>
      </c>
      <c r="C84" s="2961"/>
      <c r="D84" s="2962"/>
    </row>
    <row r="85" spans="1:4" ht="14.25">
      <c r="A85" s="2959">
        <v>21</v>
      </c>
      <c r="B85" s="2960" t="s">
        <v>3189</v>
      </c>
      <c r="C85" s="2961">
        <v>1684.98</v>
      </c>
      <c r="D85" s="2962" t="s">
        <v>3169</v>
      </c>
    </row>
    <row r="86" spans="1:4" ht="14.25">
      <c r="A86" s="2959"/>
      <c r="B86" s="2960" t="s">
        <v>3085</v>
      </c>
      <c r="C86" s="2961"/>
      <c r="D86" s="2962"/>
    </row>
    <row r="87" spans="1:4" ht="14.25">
      <c r="A87" s="2959">
        <v>22</v>
      </c>
      <c r="B87" s="2960" t="s">
        <v>3190</v>
      </c>
      <c r="C87" s="2961">
        <v>1707.59</v>
      </c>
      <c r="D87" s="2962" t="s">
        <v>3169</v>
      </c>
    </row>
    <row r="88" spans="1:4" ht="14.25">
      <c r="A88" s="2959"/>
      <c r="B88" s="2960" t="s">
        <v>3086</v>
      </c>
      <c r="C88" s="2961"/>
      <c r="D88" s="2962"/>
    </row>
    <row r="89" spans="1:4" ht="14.25">
      <c r="A89" s="2959">
        <v>23</v>
      </c>
      <c r="B89" s="2960" t="s">
        <v>3191</v>
      </c>
      <c r="C89" s="2961">
        <v>1684.98</v>
      </c>
      <c r="D89" s="2962" t="s">
        <v>3169</v>
      </c>
    </row>
    <row r="90" spans="1:4" ht="14.25">
      <c r="A90" s="2959"/>
      <c r="B90" s="2960" t="s">
        <v>3087</v>
      </c>
      <c r="C90" s="2961"/>
      <c r="D90" s="2962"/>
    </row>
    <row r="91" spans="1:4" ht="14.25">
      <c r="A91" s="2959">
        <v>24</v>
      </c>
      <c r="B91" s="2960" t="s">
        <v>3192</v>
      </c>
      <c r="C91" s="2961">
        <v>1707.59</v>
      </c>
      <c r="D91" s="2962" t="s">
        <v>3169</v>
      </c>
    </row>
    <row r="92" spans="1:4" ht="14.25">
      <c r="A92" s="2959"/>
      <c r="B92" s="2960" t="s">
        <v>3088</v>
      </c>
      <c r="C92" s="2961"/>
      <c r="D92" s="2962"/>
    </row>
    <row r="93" spans="1:4" ht="14.25">
      <c r="A93" s="2959">
        <v>25</v>
      </c>
      <c r="B93" s="2960" t="s">
        <v>3193</v>
      </c>
      <c r="C93" s="2961">
        <v>1684.98</v>
      </c>
      <c r="D93" s="2962" t="s">
        <v>3169</v>
      </c>
    </row>
    <row r="94" spans="1:4" ht="14.25">
      <c r="A94" s="2959"/>
      <c r="B94" s="2960" t="s">
        <v>3089</v>
      </c>
      <c r="C94" s="2961"/>
      <c r="D94" s="2962"/>
    </row>
    <row r="95" spans="1:4" ht="14.25">
      <c r="A95" s="2959">
        <v>26</v>
      </c>
      <c r="B95" s="2960" t="s">
        <v>3194</v>
      </c>
      <c r="C95" s="2961">
        <v>1026.42</v>
      </c>
      <c r="D95" s="2962" t="s">
        <v>3169</v>
      </c>
    </row>
    <row r="96" spans="1:4" ht="14.25">
      <c r="A96" s="2959"/>
      <c r="B96" s="2960" t="s">
        <v>3090</v>
      </c>
      <c r="C96" s="2961"/>
      <c r="D96" s="2962"/>
    </row>
    <row r="97" spans="1:4" ht="14.25">
      <c r="A97" s="2959">
        <v>27</v>
      </c>
      <c r="B97" s="2960" t="s">
        <v>3195</v>
      </c>
      <c r="C97" s="2961">
        <v>1684.23</v>
      </c>
      <c r="D97" s="2962" t="s">
        <v>3169</v>
      </c>
    </row>
    <row r="98" spans="1:4" ht="14.25">
      <c r="A98" s="2959"/>
      <c r="B98" s="2960" t="s">
        <v>3091</v>
      </c>
      <c r="C98" s="2961"/>
      <c r="D98" s="2962"/>
    </row>
    <row r="99" spans="1:4" ht="14.25">
      <c r="A99" s="2959">
        <v>28</v>
      </c>
      <c r="B99" s="2960" t="s">
        <v>3196</v>
      </c>
      <c r="C99" s="2961">
        <v>1688.75</v>
      </c>
      <c r="D99" s="2962" t="s">
        <v>3169</v>
      </c>
    </row>
    <row r="100" spans="1:4" ht="14.25">
      <c r="A100" s="2959"/>
      <c r="B100" s="2960" t="s">
        <v>3092</v>
      </c>
      <c r="C100" s="2961"/>
      <c r="D100" s="2962"/>
    </row>
    <row r="101" spans="1:4" ht="14.25">
      <c r="A101" s="2959">
        <v>29</v>
      </c>
      <c r="B101" s="2960" t="s">
        <v>3197</v>
      </c>
      <c r="C101" s="2961">
        <v>1518.44</v>
      </c>
      <c r="D101" s="2962" t="s">
        <v>3169</v>
      </c>
    </row>
    <row r="102" spans="1:4" ht="14.25">
      <c r="A102" s="2959"/>
      <c r="B102" s="2960" t="s">
        <v>3093</v>
      </c>
      <c r="C102" s="2961"/>
      <c r="D102" s="2962"/>
    </row>
    <row r="103" spans="1:4" ht="14.25">
      <c r="A103" s="2959">
        <v>30</v>
      </c>
      <c r="B103" s="2960" t="s">
        <v>3198</v>
      </c>
      <c r="C103" s="2961">
        <v>1426.95</v>
      </c>
      <c r="D103" s="2962" t="s">
        <v>3169</v>
      </c>
    </row>
    <row r="104" spans="1:4" ht="14.25">
      <c r="A104" s="2959"/>
      <c r="B104" s="2960" t="s">
        <v>3094</v>
      </c>
      <c r="C104" s="2961"/>
      <c r="D104" s="2962"/>
    </row>
    <row r="105" spans="1:4" ht="14.25">
      <c r="A105" s="2959">
        <v>31</v>
      </c>
      <c r="B105" s="2960" t="s">
        <v>3199</v>
      </c>
      <c r="C105" s="2961">
        <v>1271.6199999999999</v>
      </c>
      <c r="D105" s="2962" t="s">
        <v>3169</v>
      </c>
    </row>
    <row r="106" spans="1:4" ht="14.25">
      <c r="A106" s="2959">
        <v>31</v>
      </c>
      <c r="B106" s="2960" t="s">
        <v>3200</v>
      </c>
      <c r="C106" s="2961">
        <v>124.4</v>
      </c>
      <c r="D106" s="2962" t="s">
        <v>3169</v>
      </c>
    </row>
    <row r="107" spans="1:4" ht="14.25">
      <c r="A107" s="2959"/>
      <c r="B107" s="2960" t="s">
        <v>3095</v>
      </c>
      <c r="C107" s="2961"/>
      <c r="D107" s="2962"/>
    </row>
    <row r="108" spans="1:4" ht="14.25">
      <c r="A108" s="2959">
        <v>32</v>
      </c>
      <c r="B108" s="2960" t="s">
        <v>3201</v>
      </c>
      <c r="C108" s="2961">
        <v>1271.6199999999999</v>
      </c>
      <c r="D108" s="2962" t="s">
        <v>3169</v>
      </c>
    </row>
    <row r="109" spans="1:4" ht="14.25">
      <c r="A109" s="2959">
        <v>32</v>
      </c>
      <c r="B109" s="2960" t="s">
        <v>3202</v>
      </c>
      <c r="C109" s="2961">
        <v>124.4</v>
      </c>
      <c r="D109" s="2962" t="s">
        <v>3169</v>
      </c>
    </row>
    <row r="110" spans="1:4" ht="14.25">
      <c r="A110" s="2959"/>
      <c r="B110" s="2960" t="s">
        <v>3096</v>
      </c>
      <c r="C110" s="2961"/>
      <c r="D110" s="2962"/>
    </row>
    <row r="111" spans="1:4" ht="14.25">
      <c r="A111" s="2959">
        <v>33</v>
      </c>
      <c r="B111" s="2960" t="s">
        <v>3203</v>
      </c>
      <c r="C111" s="2961">
        <v>1426.03</v>
      </c>
      <c r="D111" s="2962" t="s">
        <v>3169</v>
      </c>
    </row>
    <row r="112" spans="1:4" ht="14.25">
      <c r="A112" s="2959">
        <v>33</v>
      </c>
      <c r="B112" s="2960" t="s">
        <v>3204</v>
      </c>
      <c r="C112" s="2961">
        <v>30.1</v>
      </c>
      <c r="D112" s="2962" t="s">
        <v>3169</v>
      </c>
    </row>
    <row r="113" spans="1:10" ht="14.25">
      <c r="A113" s="2959"/>
      <c r="B113" s="2972" t="s">
        <v>3205</v>
      </c>
      <c r="C113" s="2973">
        <f>SUM(C40:C112)</f>
        <v>51051.729999999996</v>
      </c>
      <c r="D113" s="2962"/>
    </row>
    <row r="114" spans="1:10" ht="14.25">
      <c r="A114" s="2959"/>
      <c r="B114" s="2974" t="s">
        <v>3206</v>
      </c>
      <c r="C114" s="2975">
        <f>C38+C113</f>
        <v>67938.929999999993</v>
      </c>
      <c r="D114" s="2962"/>
    </row>
    <row r="116" spans="1:10">
      <c r="B116" s="2940" t="s">
        <v>3207</v>
      </c>
      <c r="C116" s="2976">
        <f>C113-C48-C40-C41-C42-C43-C44-C75</f>
        <v>48605.159999999989</v>
      </c>
    </row>
    <row r="117" spans="1:10">
      <c r="B117" s="2940" t="s">
        <v>3208</v>
      </c>
      <c r="C117" s="2976">
        <f>C40+C41+C42+C43+C44+C48</f>
        <v>2344.15</v>
      </c>
    </row>
    <row r="118" spans="1:10" s="2971" customFormat="1" ht="14.25">
      <c r="B118" s="2977" t="s">
        <v>3209</v>
      </c>
      <c r="C118" s="2978">
        <f>C75</f>
        <v>102.42</v>
      </c>
      <c r="D118" s="2979"/>
      <c r="F118"/>
      <c r="G118"/>
      <c r="H118"/>
      <c r="I118"/>
      <c r="J118"/>
    </row>
    <row r="119" spans="1:10" ht="14.25">
      <c r="B119" s="2980" t="s">
        <v>3210</v>
      </c>
      <c r="C119" s="2981">
        <f>C28+C30</f>
        <v>2975.3</v>
      </c>
      <c r="D119" s="2982"/>
      <c r="F119" s="2971"/>
      <c r="G119" s="2971"/>
      <c r="H119" s="2971"/>
      <c r="I119" s="2971"/>
      <c r="J119" s="2971"/>
    </row>
    <row r="120" spans="1:10" ht="14.25">
      <c r="B120" s="2980" t="s">
        <v>3211</v>
      </c>
      <c r="C120" s="2981">
        <f>C13+C19+C29</f>
        <v>11913.25</v>
      </c>
      <c r="D120" s="2982"/>
    </row>
    <row r="121" spans="1:10" ht="14.25">
      <c r="B121" s="2980" t="s">
        <v>3212</v>
      </c>
      <c r="C121" s="2981">
        <f>C7</f>
        <v>600.96</v>
      </c>
      <c r="D121" s="2982"/>
    </row>
    <row r="122" spans="1:10" ht="14.25">
      <c r="B122" s="2980" t="s">
        <v>3213</v>
      </c>
      <c r="C122" s="2981">
        <f>C8+C9+C10+C11+C14+C15+C16+C17+C20+C21+C22+C24+C25+C26+C31+C34+C36+C37</f>
        <v>742.36999999999989</v>
      </c>
      <c r="D122" s="2982"/>
    </row>
    <row r="123" spans="1:10" s="2971" customFormat="1" ht="14.25">
      <c r="B123" s="2977" t="s">
        <v>3214</v>
      </c>
      <c r="C123" s="2978">
        <f>C35</f>
        <v>30.86</v>
      </c>
      <c r="D123" s="2983"/>
      <c r="F123"/>
      <c r="G123"/>
      <c r="H123"/>
      <c r="I123"/>
      <c r="J123"/>
    </row>
    <row r="124" spans="1:10" s="2971" customFormat="1" ht="14.25">
      <c r="B124" s="2977" t="s">
        <v>3215</v>
      </c>
      <c r="C124" s="2978">
        <f>C33</f>
        <v>624.46</v>
      </c>
      <c r="D124" s="2983"/>
    </row>
    <row r="125" spans="1:10" ht="14.25">
      <c r="B125" s="2984" t="s">
        <v>3036</v>
      </c>
      <c r="C125" s="2976">
        <f>SUM(C116:C124)</f>
        <v>67938.930000000008</v>
      </c>
      <c r="D125" s="2982"/>
      <c r="F125" s="2971"/>
      <c r="G125" s="2971"/>
      <c r="H125" s="2971"/>
      <c r="I125" s="2971"/>
      <c r="J125" s="2971"/>
    </row>
    <row r="126" spans="1:10" ht="14.25">
      <c r="B126" s="2985" t="s">
        <v>3216</v>
      </c>
      <c r="C126" s="2954">
        <f>C125-C118-C123-C124</f>
        <v>67181.19</v>
      </c>
    </row>
    <row r="129" spans="2:6">
      <c r="F129" s="2954"/>
    </row>
    <row r="131" spans="2:6" ht="57">
      <c r="B131" s="2986" t="s">
        <v>3217</v>
      </c>
      <c r="C131" s="2987" t="s">
        <v>3218</v>
      </c>
    </row>
    <row r="132" spans="2:6">
      <c r="B132" s="2986"/>
      <c r="C132" s="2988">
        <f>C116+C117+C119+C121</f>
        <v>54525.569999999992</v>
      </c>
    </row>
    <row r="135" spans="2:6">
      <c r="F135" s="2954"/>
    </row>
  </sheetData>
  <mergeCells count="9">
    <mergeCell ref="F21:F23"/>
    <mergeCell ref="G4:G5"/>
    <mergeCell ref="H4:J4"/>
    <mergeCell ref="B1:C1"/>
    <mergeCell ref="B2:C2"/>
    <mergeCell ref="B3:B5"/>
    <mergeCell ref="C3:C5"/>
    <mergeCell ref="D3:D5"/>
    <mergeCell ref="F4:F5"/>
  </mergeCells>
  <phoneticPr fontId="142"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election activeCell="H24" sqref="H24"/>
    </sheetView>
  </sheetViews>
  <sheetFormatPr defaultRowHeight="13.5"/>
  <cols>
    <col min="1" max="12" width="10.625" customWidth="1"/>
    <col min="257" max="268" width="10.625" customWidth="1"/>
    <col min="513" max="524" width="10.625" customWidth="1"/>
    <col min="769" max="780" width="10.625" customWidth="1"/>
    <col min="1025" max="1036" width="10.625" customWidth="1"/>
    <col min="1281" max="1292" width="10.625" customWidth="1"/>
    <col min="1537" max="1548" width="10.625" customWidth="1"/>
    <col min="1793" max="1804" width="10.625" customWidth="1"/>
    <col min="2049" max="2060" width="10.625" customWidth="1"/>
    <col min="2305" max="2316" width="10.625" customWidth="1"/>
    <col min="2561" max="2572" width="10.625" customWidth="1"/>
    <col min="2817" max="2828" width="10.625" customWidth="1"/>
    <col min="3073" max="3084" width="10.625" customWidth="1"/>
    <col min="3329" max="3340" width="10.625" customWidth="1"/>
    <col min="3585" max="3596" width="10.625" customWidth="1"/>
    <col min="3841" max="3852" width="10.625" customWidth="1"/>
    <col min="4097" max="4108" width="10.625" customWidth="1"/>
    <col min="4353" max="4364" width="10.625" customWidth="1"/>
    <col min="4609" max="4620" width="10.625" customWidth="1"/>
    <col min="4865" max="4876" width="10.625" customWidth="1"/>
    <col min="5121" max="5132" width="10.625" customWidth="1"/>
    <col min="5377" max="5388" width="10.625" customWidth="1"/>
    <col min="5633" max="5644" width="10.625" customWidth="1"/>
    <col min="5889" max="5900" width="10.625" customWidth="1"/>
    <col min="6145" max="6156" width="10.625" customWidth="1"/>
    <col min="6401" max="6412" width="10.625" customWidth="1"/>
    <col min="6657" max="6668" width="10.625" customWidth="1"/>
    <col min="6913" max="6924" width="10.625" customWidth="1"/>
    <col min="7169" max="7180" width="10.625" customWidth="1"/>
    <col min="7425" max="7436" width="10.625" customWidth="1"/>
    <col min="7681" max="7692" width="10.625" customWidth="1"/>
    <col min="7937" max="7948" width="10.625" customWidth="1"/>
    <col min="8193" max="8204" width="10.625" customWidth="1"/>
    <col min="8449" max="8460" width="10.625" customWidth="1"/>
    <col min="8705" max="8716" width="10.625" customWidth="1"/>
    <col min="8961" max="8972" width="10.625" customWidth="1"/>
    <col min="9217" max="9228" width="10.625" customWidth="1"/>
    <col min="9473" max="9484" width="10.625" customWidth="1"/>
    <col min="9729" max="9740" width="10.625" customWidth="1"/>
    <col min="9985" max="9996" width="10.625" customWidth="1"/>
    <col min="10241" max="10252" width="10.625" customWidth="1"/>
    <col min="10497" max="10508" width="10.625" customWidth="1"/>
    <col min="10753" max="10764" width="10.625" customWidth="1"/>
    <col min="11009" max="11020" width="10.625" customWidth="1"/>
    <col min="11265" max="11276" width="10.625" customWidth="1"/>
    <col min="11521" max="11532" width="10.625" customWidth="1"/>
    <col min="11777" max="11788" width="10.625" customWidth="1"/>
    <col min="12033" max="12044" width="10.625" customWidth="1"/>
    <col min="12289" max="12300" width="10.625" customWidth="1"/>
    <col min="12545" max="12556" width="10.625" customWidth="1"/>
    <col min="12801" max="12812" width="10.625" customWidth="1"/>
    <col min="13057" max="13068" width="10.625" customWidth="1"/>
    <col min="13313" max="13324" width="10.625" customWidth="1"/>
    <col min="13569" max="13580" width="10.625" customWidth="1"/>
    <col min="13825" max="13836" width="10.625" customWidth="1"/>
    <col min="14081" max="14092" width="10.625" customWidth="1"/>
    <col min="14337" max="14348" width="10.625" customWidth="1"/>
    <col min="14593" max="14604" width="10.625" customWidth="1"/>
    <col min="14849" max="14860" width="10.625" customWidth="1"/>
    <col min="15105" max="15116" width="10.625" customWidth="1"/>
    <col min="15361" max="15372" width="10.625" customWidth="1"/>
    <col min="15617" max="15628" width="10.625" customWidth="1"/>
    <col min="15873" max="15884" width="10.625" customWidth="1"/>
    <col min="16129" max="16140" width="10.625" customWidth="1"/>
  </cols>
  <sheetData>
    <row r="1" spans="1:12" ht="36" customHeight="1">
      <c r="A1" s="3451" t="s">
        <v>3019</v>
      </c>
      <c r="B1" s="3452"/>
      <c r="C1" s="3452"/>
      <c r="D1" s="3452"/>
      <c r="E1" s="3452"/>
      <c r="F1" s="3452"/>
      <c r="G1" s="3452"/>
    </row>
    <row r="2" spans="1:12" ht="14.25">
      <c r="A2" s="2906" t="s">
        <v>3020</v>
      </c>
      <c r="B2" s="2906" t="s">
        <v>3021</v>
      </c>
      <c r="C2" s="2907" t="s">
        <v>3022</v>
      </c>
      <c r="D2" s="2907" t="s">
        <v>3023</v>
      </c>
      <c r="E2" s="2907" t="s">
        <v>3024</v>
      </c>
      <c r="F2" s="2907" t="s">
        <v>3025</v>
      </c>
      <c r="G2" s="2907" t="s">
        <v>3026</v>
      </c>
      <c r="I2" s="3453" t="s">
        <v>3027</v>
      </c>
      <c r="J2" s="3454"/>
      <c r="K2" s="2908" t="s">
        <v>3028</v>
      </c>
      <c r="L2" s="2908" t="s">
        <v>3029</v>
      </c>
    </row>
    <row r="3" spans="1:12" ht="14.25">
      <c r="A3" s="2909">
        <f>[1]面积!E14</f>
        <v>201</v>
      </c>
      <c r="B3" s="2910">
        <f>[1]面积!F14</f>
        <v>1241.3599999999999</v>
      </c>
      <c r="C3" s="2910"/>
      <c r="D3" s="2911"/>
      <c r="E3" s="2910"/>
      <c r="F3" s="2910"/>
      <c r="G3" s="2910">
        <f>ROUND(F3*B3/10000,0)</f>
        <v>0</v>
      </c>
      <c r="I3" s="2912" t="s">
        <v>3030</v>
      </c>
      <c r="J3" s="2912" t="s">
        <v>3031</v>
      </c>
      <c r="K3" s="2912">
        <f>SUM(G2:G6)</f>
        <v>0</v>
      </c>
      <c r="L3" s="2912">
        <v>0.95</v>
      </c>
    </row>
    <row r="4" spans="1:12" ht="14.25">
      <c r="A4" s="2909">
        <f>[1]面积!E15</f>
        <v>401</v>
      </c>
      <c r="B4" s="2910">
        <f>[1]面积!F15</f>
        <v>1490.04</v>
      </c>
      <c r="C4" s="2910"/>
      <c r="D4" s="2911"/>
      <c r="E4" s="2910"/>
      <c r="F4" s="2910"/>
      <c r="G4" s="2910">
        <f t="shared" ref="G4:G55" si="0">ROUND(F4*B4/10000,0)</f>
        <v>0</v>
      </c>
      <c r="I4" s="2912" t="s">
        <v>3032</v>
      </c>
      <c r="J4" s="2912" t="s">
        <v>3033</v>
      </c>
      <c r="K4" s="2912">
        <f>SUM(G7:G12)</f>
        <v>0</v>
      </c>
      <c r="L4" s="2912">
        <v>1</v>
      </c>
    </row>
    <row r="5" spans="1:12" ht="14.25">
      <c r="A5" s="2909">
        <f>[1]面积!E16</f>
        <v>403</v>
      </c>
      <c r="B5" s="2910">
        <f>[1]面积!F16</f>
        <v>713.79</v>
      </c>
      <c r="C5" s="2910"/>
      <c r="D5" s="2911"/>
      <c r="E5" s="2910"/>
      <c r="F5" s="2910"/>
      <c r="G5" s="2910">
        <f t="shared" si="0"/>
        <v>0</v>
      </c>
      <c r="I5" s="2912" t="s">
        <v>3034</v>
      </c>
      <c r="J5" s="2912" t="s">
        <v>3035</v>
      </c>
      <c r="K5" s="2912">
        <f>SUM(G13:G19)</f>
        <v>0</v>
      </c>
      <c r="L5" s="2912">
        <v>1.05</v>
      </c>
    </row>
    <row r="6" spans="1:12" ht="14.25">
      <c r="A6" s="2909">
        <f>[1]面积!E17</f>
        <v>501</v>
      </c>
      <c r="B6" s="2910">
        <f>[1]面积!F17</f>
        <v>1720.67</v>
      </c>
      <c r="C6" s="2910"/>
      <c r="D6" s="2911"/>
      <c r="E6" s="2910"/>
      <c r="F6" s="2910"/>
      <c r="G6" s="2910">
        <f t="shared" si="0"/>
        <v>0</v>
      </c>
      <c r="I6" s="2912" t="s">
        <v>3036</v>
      </c>
      <c r="J6" s="2912"/>
      <c r="K6" s="2912">
        <f>SUM(K3:K5)</f>
        <v>0</v>
      </c>
      <c r="L6" s="2912"/>
    </row>
    <row r="7" spans="1:12" ht="14.25">
      <c r="A7" s="2909">
        <f>[1]面积!E18</f>
        <v>503</v>
      </c>
      <c r="B7" s="2910">
        <f>[1]面积!F18</f>
        <v>784.25</v>
      </c>
      <c r="C7" s="2910"/>
      <c r="D7" s="2911"/>
      <c r="E7" s="2910"/>
      <c r="F7" s="2910"/>
      <c r="G7" s="2910">
        <f t="shared" si="0"/>
        <v>0</v>
      </c>
      <c r="I7" s="2913"/>
      <c r="J7" s="2913"/>
      <c r="K7" s="2913"/>
      <c r="L7" s="2913"/>
    </row>
    <row r="8" spans="1:12" ht="14.25">
      <c r="A8" s="2909">
        <f>[1]面积!E19</f>
        <v>601</v>
      </c>
      <c r="B8" s="2910">
        <f>[1]面积!F19</f>
        <v>1509.02</v>
      </c>
      <c r="C8" s="2910"/>
      <c r="D8" s="2911"/>
      <c r="E8" s="2910"/>
      <c r="F8" s="2910"/>
      <c r="G8" s="2910">
        <f t="shared" si="0"/>
        <v>0</v>
      </c>
      <c r="I8" s="2913"/>
      <c r="J8" s="2913"/>
      <c r="K8" s="2913"/>
      <c r="L8" s="2913"/>
    </row>
    <row r="9" spans="1:12" ht="14.25">
      <c r="A9" s="2909">
        <f>[1]面积!E20</f>
        <v>701</v>
      </c>
      <c r="B9" s="2910">
        <f>[1]面积!F20</f>
        <v>1706.47</v>
      </c>
      <c r="C9" s="2910"/>
      <c r="D9" s="2911"/>
      <c r="E9" s="2910"/>
      <c r="F9" s="2910"/>
      <c r="G9" s="2910">
        <f t="shared" si="0"/>
        <v>0</v>
      </c>
      <c r="I9" s="3455" t="s">
        <v>3037</v>
      </c>
      <c r="J9" s="3455"/>
      <c r="K9" s="2914" t="s">
        <v>3038</v>
      </c>
      <c r="L9" s="2915"/>
    </row>
    <row r="10" spans="1:12" ht="14.25">
      <c r="A10" s="2909">
        <f>[1]面积!E21</f>
        <v>703</v>
      </c>
      <c r="B10" s="2910">
        <f>[1]面积!F21</f>
        <v>444.47</v>
      </c>
      <c r="C10" s="2910"/>
      <c r="D10" s="2911"/>
      <c r="E10" s="2910"/>
      <c r="F10" s="2910"/>
      <c r="G10" s="2910">
        <f t="shared" si="0"/>
        <v>0</v>
      </c>
      <c r="I10" s="2916" t="s">
        <v>3039</v>
      </c>
      <c r="J10" s="2916">
        <v>104</v>
      </c>
      <c r="K10" s="2912">
        <v>1.04</v>
      </c>
      <c r="L10" s="2913"/>
    </row>
    <row r="11" spans="1:12" ht="14.25">
      <c r="A11" s="2909">
        <f>[1]面积!E22</f>
        <v>801</v>
      </c>
      <c r="B11" s="2910">
        <f>[1]面积!F22</f>
        <v>1731.32</v>
      </c>
      <c r="C11" s="2910"/>
      <c r="D11" s="2911"/>
      <c r="E11" s="2910"/>
      <c r="F11" s="2910"/>
      <c r="G11" s="2910">
        <f t="shared" si="0"/>
        <v>0</v>
      </c>
      <c r="I11" s="2916" t="s">
        <v>3040</v>
      </c>
      <c r="J11" s="2916">
        <v>103</v>
      </c>
      <c r="K11" s="2912">
        <v>1.03</v>
      </c>
      <c r="L11" s="2913"/>
    </row>
    <row r="12" spans="1:12" ht="14.25">
      <c r="A12" s="2909">
        <f>[1]面积!E23</f>
        <v>803</v>
      </c>
      <c r="B12" s="2910">
        <f>[1]面积!F23</f>
        <v>148.13999999999999</v>
      </c>
      <c r="C12" s="2910"/>
      <c r="D12" s="2911"/>
      <c r="E12" s="2910"/>
      <c r="F12" s="2910"/>
      <c r="G12" s="2910">
        <f t="shared" si="0"/>
        <v>0</v>
      </c>
      <c r="I12" s="2916" t="s">
        <v>3041</v>
      </c>
      <c r="J12" s="2916">
        <v>102</v>
      </c>
      <c r="K12" s="2912">
        <v>1.02</v>
      </c>
      <c r="L12" s="2913"/>
    </row>
    <row r="13" spans="1:12" ht="14.25">
      <c r="A13" s="2909">
        <f>[1]面积!E24</f>
        <v>901</v>
      </c>
      <c r="B13" s="2910">
        <f>[1]面积!F24</f>
        <v>1704.96</v>
      </c>
      <c r="C13" s="2910"/>
      <c r="D13" s="2911"/>
      <c r="E13" s="2910"/>
      <c r="F13" s="2910"/>
      <c r="G13" s="2910">
        <f t="shared" si="0"/>
        <v>0</v>
      </c>
      <c r="I13" s="2917" t="s">
        <v>3042</v>
      </c>
      <c r="J13" s="2917">
        <v>101</v>
      </c>
      <c r="K13" s="2912">
        <v>1.01</v>
      </c>
      <c r="L13" s="2913"/>
    </row>
    <row r="14" spans="1:12" ht="14.25">
      <c r="A14" s="2909">
        <f>[1]面积!E25</f>
        <v>903</v>
      </c>
      <c r="B14" s="2910">
        <f>[1]面积!F25</f>
        <v>446.92</v>
      </c>
      <c r="C14" s="2910"/>
      <c r="D14" s="2911"/>
      <c r="E14" s="2910"/>
      <c r="F14" s="2910"/>
      <c r="G14" s="2910">
        <f t="shared" si="0"/>
        <v>0</v>
      </c>
      <c r="I14" s="2917" t="s">
        <v>3043</v>
      </c>
      <c r="J14" s="2917">
        <v>100</v>
      </c>
      <c r="K14" s="2912">
        <v>1</v>
      </c>
      <c r="L14" s="2913"/>
    </row>
    <row r="15" spans="1:12" ht="14.25">
      <c r="A15" s="2909">
        <f>[1]面积!E26</f>
        <v>1001</v>
      </c>
      <c r="B15" s="2910">
        <f>[1]面积!F26</f>
        <v>1730.45</v>
      </c>
      <c r="C15" s="2910"/>
      <c r="D15" s="2911"/>
      <c r="E15" s="2910"/>
      <c r="F15" s="2910"/>
      <c r="G15" s="2910">
        <f t="shared" si="0"/>
        <v>0</v>
      </c>
      <c r="I15" s="2917" t="s">
        <v>3044</v>
      </c>
      <c r="J15" s="2917">
        <v>99</v>
      </c>
      <c r="K15" s="2912">
        <v>0.99</v>
      </c>
      <c r="L15" s="2913"/>
    </row>
    <row r="16" spans="1:12" ht="14.25">
      <c r="A16" s="2909">
        <f>[1]面积!E27</f>
        <v>1003</v>
      </c>
      <c r="B16" s="2910">
        <f>[1]面积!F27</f>
        <v>149.74</v>
      </c>
      <c r="C16" s="2910"/>
      <c r="D16" s="2911"/>
      <c r="E16" s="2910"/>
      <c r="F16" s="2910"/>
      <c r="G16" s="2910">
        <f t="shared" si="0"/>
        <v>0</v>
      </c>
      <c r="I16" s="2917" t="s">
        <v>3045</v>
      </c>
      <c r="J16" s="2917">
        <v>98</v>
      </c>
      <c r="K16" s="2912">
        <v>0.98</v>
      </c>
      <c r="L16" s="2913"/>
    </row>
    <row r="17" spans="1:7" ht="14.25">
      <c r="A17" s="2909">
        <f>[1]面积!E28</f>
        <v>1101</v>
      </c>
      <c r="B17" s="2910">
        <f>[1]面积!F28</f>
        <v>1703.47</v>
      </c>
      <c r="C17" s="2910"/>
      <c r="D17" s="2911"/>
      <c r="E17" s="2910"/>
      <c r="F17" s="2910"/>
      <c r="G17" s="2910">
        <f t="shared" si="0"/>
        <v>0</v>
      </c>
    </row>
    <row r="18" spans="1:7" ht="14.25">
      <c r="A18" s="2909">
        <f>[1]面积!E29</f>
        <v>1103</v>
      </c>
      <c r="B18" s="2910">
        <f>[1]面积!F29</f>
        <v>450.72</v>
      </c>
      <c r="C18" s="2910"/>
      <c r="D18" s="2911"/>
      <c r="E18" s="2910"/>
      <c r="F18" s="2910"/>
      <c r="G18" s="2910">
        <f t="shared" si="0"/>
        <v>0</v>
      </c>
    </row>
    <row r="19" spans="1:7" ht="14.25">
      <c r="A19" s="2909">
        <f>[1]面积!E30</f>
        <v>1201</v>
      </c>
      <c r="B19" s="2910">
        <f>[1]面积!F30</f>
        <v>1730.45</v>
      </c>
      <c r="C19" s="2910"/>
      <c r="D19" s="2911"/>
      <c r="E19" s="2910"/>
      <c r="F19" s="2910"/>
      <c r="G19" s="2910">
        <f t="shared" si="0"/>
        <v>0</v>
      </c>
    </row>
    <row r="20" spans="1:7" ht="14.25">
      <c r="A20" s="2909">
        <f>[1]面积!E31</f>
        <v>1203</v>
      </c>
      <c r="B20" s="2910">
        <f>[1]面积!F31</f>
        <v>149.74</v>
      </c>
      <c r="C20" s="2910"/>
      <c r="D20" s="2911"/>
      <c r="E20" s="2910"/>
      <c r="F20" s="2910"/>
      <c r="G20" s="2910">
        <f t="shared" si="0"/>
        <v>0</v>
      </c>
    </row>
    <row r="21" spans="1:7" ht="14.25">
      <c r="A21" s="2909">
        <f>[1]面积!E32</f>
        <v>1301</v>
      </c>
      <c r="B21" s="2910">
        <f>[1]面积!F32</f>
        <v>1703.01</v>
      </c>
      <c r="C21" s="2910"/>
      <c r="D21" s="2911"/>
      <c r="E21" s="2910"/>
      <c r="F21" s="2910"/>
      <c r="G21" s="2910">
        <f t="shared" si="0"/>
        <v>0</v>
      </c>
    </row>
    <row r="22" spans="1:7" ht="14.25">
      <c r="A22" s="2909">
        <f>[1]面积!E33</f>
        <v>1303</v>
      </c>
      <c r="B22" s="2910">
        <f>[1]面积!F33</f>
        <v>451.98</v>
      </c>
      <c r="C22" s="2910"/>
      <c r="D22" s="2911"/>
      <c r="E22" s="2910"/>
      <c r="F22" s="2910"/>
      <c r="G22" s="2910">
        <f t="shared" si="0"/>
        <v>0</v>
      </c>
    </row>
    <row r="23" spans="1:7" ht="14.25">
      <c r="A23" s="2918">
        <f>[1]面积!E34</f>
        <v>1401</v>
      </c>
      <c r="B23" s="2910">
        <f>[1]面积!F34</f>
        <v>1730.45</v>
      </c>
      <c r="C23" s="2910"/>
      <c r="D23" s="2911"/>
      <c r="E23" s="2919"/>
      <c r="F23" s="2910"/>
      <c r="G23" s="2910">
        <f t="shared" si="0"/>
        <v>0</v>
      </c>
    </row>
    <row r="24" spans="1:7" ht="14.25">
      <c r="A24" s="2909">
        <f>[1]面积!E35</f>
        <v>1403</v>
      </c>
      <c r="B24" s="2910">
        <f>[1]面积!F35</f>
        <v>149.74</v>
      </c>
      <c r="C24" s="2910"/>
      <c r="D24" s="2911"/>
      <c r="E24" s="2919"/>
      <c r="F24" s="2910"/>
      <c r="G24" s="2910">
        <f t="shared" si="0"/>
        <v>0</v>
      </c>
    </row>
    <row r="25" spans="1:7" ht="14.25">
      <c r="A25" s="2909">
        <f>[1]面积!E36</f>
        <v>1501</v>
      </c>
      <c r="B25" s="2910">
        <f>[1]面积!F36</f>
        <v>1703.18</v>
      </c>
      <c r="C25" s="2910"/>
      <c r="D25" s="2911"/>
      <c r="E25" s="2919"/>
      <c r="F25" s="2910"/>
      <c r="G25" s="2910">
        <f t="shared" si="0"/>
        <v>0</v>
      </c>
    </row>
    <row r="26" spans="1:7" ht="14.25">
      <c r="A26" s="2909">
        <f>[1]面积!E37</f>
        <v>1503</v>
      </c>
      <c r="B26" s="2910">
        <f>[1]面积!F37</f>
        <v>451.34</v>
      </c>
      <c r="C26" s="2910"/>
      <c r="D26" s="2911"/>
      <c r="E26" s="2919"/>
      <c r="F26" s="2910"/>
      <c r="G26" s="2910">
        <f t="shared" si="0"/>
        <v>0</v>
      </c>
    </row>
    <row r="27" spans="1:7" ht="14.25">
      <c r="A27" s="2909">
        <f>[1]面积!E38</f>
        <v>1601</v>
      </c>
      <c r="B27" s="2910">
        <f>[1]面积!F38</f>
        <v>260.95</v>
      </c>
      <c r="C27" s="2910"/>
      <c r="D27" s="2911"/>
      <c r="E27" s="2919"/>
      <c r="F27" s="2910"/>
      <c r="G27" s="2910">
        <f t="shared" si="0"/>
        <v>0</v>
      </c>
    </row>
    <row r="28" spans="1:7" ht="14.25">
      <c r="A28" s="2909">
        <f>[1]面积!E39</f>
        <v>1602</v>
      </c>
      <c r="B28" s="2910">
        <f>[1]面积!F39</f>
        <v>573.46</v>
      </c>
      <c r="C28" s="2910"/>
      <c r="D28" s="2911"/>
      <c r="E28" s="2919"/>
      <c r="F28" s="2910"/>
      <c r="G28" s="2910">
        <f t="shared" si="0"/>
        <v>0</v>
      </c>
    </row>
    <row r="29" spans="1:7" ht="14.25">
      <c r="A29" s="2909">
        <f>[1]面积!E40</f>
        <v>1701</v>
      </c>
      <c r="B29" s="2910">
        <f>[1]面积!F40</f>
        <v>1703</v>
      </c>
      <c r="C29" s="2910"/>
      <c r="D29" s="2911"/>
      <c r="E29" s="2919"/>
      <c r="F29" s="2910"/>
      <c r="G29" s="2910">
        <f t="shared" si="0"/>
        <v>0</v>
      </c>
    </row>
    <row r="30" spans="1:7" ht="14.25">
      <c r="A30" s="2909">
        <f>[1]面积!E41</f>
        <v>1703</v>
      </c>
      <c r="B30" s="2910">
        <f>[1]面积!F41</f>
        <v>451.99</v>
      </c>
      <c r="C30" s="2910"/>
      <c r="D30" s="2911"/>
      <c r="E30" s="2919"/>
      <c r="F30" s="2910"/>
      <c r="G30" s="2910">
        <f t="shared" si="0"/>
        <v>0</v>
      </c>
    </row>
    <row r="31" spans="1:7" ht="14.25">
      <c r="A31" s="2909">
        <f>[1]面积!E42</f>
        <v>1801</v>
      </c>
      <c r="B31" s="2910">
        <f>[1]面积!F42</f>
        <v>1730.45</v>
      </c>
      <c r="C31" s="2910"/>
      <c r="D31" s="2911"/>
      <c r="E31" s="2919"/>
      <c r="F31" s="2910"/>
      <c r="G31" s="2910">
        <f t="shared" si="0"/>
        <v>0</v>
      </c>
    </row>
    <row r="32" spans="1:7" ht="14.25">
      <c r="A32" s="2909">
        <f>[1]面积!E43</f>
        <v>1803</v>
      </c>
      <c r="B32" s="2910">
        <f>[1]面积!F43</f>
        <v>149.74</v>
      </c>
      <c r="C32" s="2910"/>
      <c r="D32" s="2911"/>
      <c r="E32" s="2919"/>
      <c r="F32" s="2910"/>
      <c r="G32" s="2910">
        <f t="shared" si="0"/>
        <v>0</v>
      </c>
    </row>
    <row r="33" spans="1:7" ht="14.25">
      <c r="A33" s="2909">
        <f>[1]面积!E44</f>
        <v>1901</v>
      </c>
      <c r="B33" s="2910">
        <f>[1]面积!F44</f>
        <v>1703</v>
      </c>
      <c r="C33" s="2910"/>
      <c r="D33" s="2911"/>
      <c r="E33" s="2919"/>
      <c r="F33" s="2910"/>
      <c r="G33" s="2910">
        <f t="shared" si="0"/>
        <v>0</v>
      </c>
    </row>
    <row r="34" spans="1:7" ht="14.25">
      <c r="A34" s="2909">
        <f>[1]面积!E45</f>
        <v>1903</v>
      </c>
      <c r="B34" s="2910">
        <f>[1]面积!F45</f>
        <v>451.99</v>
      </c>
      <c r="C34" s="2910"/>
      <c r="D34" s="2911"/>
      <c r="E34" s="2919"/>
      <c r="F34" s="2910"/>
      <c r="G34" s="2910">
        <f t="shared" si="0"/>
        <v>0</v>
      </c>
    </row>
    <row r="35" spans="1:7" ht="14.25">
      <c r="A35" s="2909">
        <f>[1]面积!E46</f>
        <v>2001</v>
      </c>
      <c r="B35" s="2910">
        <f>[1]面积!F46</f>
        <v>1730.45</v>
      </c>
      <c r="C35" s="2910"/>
      <c r="D35" s="2911"/>
      <c r="E35" s="2919"/>
      <c r="F35" s="2910"/>
      <c r="G35" s="2910">
        <f t="shared" si="0"/>
        <v>0</v>
      </c>
    </row>
    <row r="36" spans="1:7" ht="14.25">
      <c r="A36" s="2909">
        <f>[1]面积!E47</f>
        <v>2003</v>
      </c>
      <c r="B36" s="2910">
        <f>[1]面积!F47</f>
        <v>149.74</v>
      </c>
      <c r="C36" s="2910"/>
      <c r="D36" s="2911"/>
      <c r="E36" s="2919"/>
      <c r="F36" s="2910"/>
      <c r="G36" s="2910">
        <f t="shared" si="0"/>
        <v>0</v>
      </c>
    </row>
    <row r="37" spans="1:7" ht="14.25">
      <c r="A37" s="2909">
        <f>[1]面积!E48</f>
        <v>2101</v>
      </c>
      <c r="B37" s="2910">
        <f>[1]面积!F48</f>
        <v>1684.98</v>
      </c>
      <c r="C37" s="2910"/>
      <c r="D37" s="2911"/>
      <c r="E37" s="2919"/>
      <c r="F37" s="2910"/>
      <c r="G37" s="2910">
        <f t="shared" si="0"/>
        <v>0</v>
      </c>
    </row>
    <row r="38" spans="1:7" ht="14.25">
      <c r="A38" s="2909">
        <f>[1]面积!E49</f>
        <v>2103</v>
      </c>
      <c r="B38" s="2910">
        <f>[1]面积!F49</f>
        <v>552.46</v>
      </c>
      <c r="C38" s="2910"/>
      <c r="D38" s="2911"/>
      <c r="E38" s="2919"/>
      <c r="F38" s="2910"/>
      <c r="G38" s="2910">
        <f t="shared" si="0"/>
        <v>0</v>
      </c>
    </row>
    <row r="39" spans="1:7" ht="14.25">
      <c r="A39" s="2909">
        <f>[1]面积!E50</f>
        <v>2201</v>
      </c>
      <c r="B39" s="2910">
        <f>[1]面积!F50</f>
        <v>1707.59</v>
      </c>
      <c r="C39" s="2910"/>
      <c r="D39" s="2911"/>
      <c r="E39" s="2919"/>
      <c r="F39" s="2910"/>
      <c r="G39" s="2910">
        <f t="shared" si="0"/>
        <v>0</v>
      </c>
    </row>
    <row r="40" spans="1:7" ht="14.25">
      <c r="A40" s="2909">
        <f>[1]面积!E51</f>
        <v>2203</v>
      </c>
      <c r="B40" s="2910">
        <f>[1]面积!F51</f>
        <v>246.41</v>
      </c>
      <c r="C40" s="2910"/>
      <c r="D40" s="2911"/>
      <c r="E40" s="2919"/>
      <c r="F40" s="2910"/>
      <c r="G40" s="2910">
        <f t="shared" si="0"/>
        <v>0</v>
      </c>
    </row>
    <row r="41" spans="1:7" ht="14.25">
      <c r="A41" s="2909">
        <f>[1]面积!E52</f>
        <v>2301</v>
      </c>
      <c r="B41" s="2910">
        <f>[1]面积!F52</f>
        <v>1684.98</v>
      </c>
      <c r="C41" s="2910"/>
      <c r="D41" s="2911"/>
      <c r="E41" s="2919"/>
      <c r="F41" s="2910"/>
      <c r="G41" s="2910">
        <f t="shared" si="0"/>
        <v>0</v>
      </c>
    </row>
    <row r="42" spans="1:7" ht="14.25">
      <c r="A42" s="2909">
        <f>[1]面积!E53</f>
        <v>2303</v>
      </c>
      <c r="B42" s="2910">
        <f>[1]面积!F53</f>
        <v>552.46</v>
      </c>
      <c r="C42" s="2910"/>
      <c r="D42" s="2911"/>
      <c r="E42" s="2919"/>
      <c r="F42" s="2910"/>
      <c r="G42" s="2910">
        <f t="shared" si="0"/>
        <v>0</v>
      </c>
    </row>
    <row r="43" spans="1:7" ht="14.25">
      <c r="A43" s="2918">
        <f>[1]面积!E54</f>
        <v>2401</v>
      </c>
      <c r="B43" s="2910">
        <f>[1]面积!F54</f>
        <v>1707.59</v>
      </c>
      <c r="C43" s="2910"/>
      <c r="D43" s="2911"/>
      <c r="E43" s="2906"/>
      <c r="F43" s="2910"/>
      <c r="G43" s="2910">
        <f t="shared" si="0"/>
        <v>0</v>
      </c>
    </row>
    <row r="44" spans="1:7" ht="14.25">
      <c r="A44" s="2909">
        <f>[1]面积!E55</f>
        <v>2403</v>
      </c>
      <c r="B44" s="2910">
        <f>[1]面积!F55</f>
        <v>246.41</v>
      </c>
      <c r="C44" s="2910"/>
      <c r="D44" s="2911"/>
      <c r="E44" s="2906"/>
      <c r="F44" s="2910"/>
      <c r="G44" s="2910">
        <f t="shared" si="0"/>
        <v>0</v>
      </c>
    </row>
    <row r="45" spans="1:7" ht="14.25">
      <c r="A45" s="2909">
        <f>[1]面积!E56</f>
        <v>2501</v>
      </c>
      <c r="B45" s="2910">
        <f>[1]面积!F56</f>
        <v>1684.98</v>
      </c>
      <c r="C45" s="2910"/>
      <c r="D45" s="2911"/>
      <c r="E45" s="2906"/>
      <c r="F45" s="2910"/>
      <c r="G45" s="2910">
        <f t="shared" si="0"/>
        <v>0</v>
      </c>
    </row>
    <row r="46" spans="1:7" ht="14.25">
      <c r="A46" s="2909">
        <f>[1]面积!E57</f>
        <v>2503</v>
      </c>
      <c r="B46" s="2910">
        <f>[1]面积!F57</f>
        <v>552.46</v>
      </c>
      <c r="C46" s="2910"/>
      <c r="D46" s="2911"/>
      <c r="E46" s="2906"/>
      <c r="F46" s="2910"/>
      <c r="G46" s="2910">
        <f t="shared" si="0"/>
        <v>0</v>
      </c>
    </row>
    <row r="47" spans="1:7" ht="14.25">
      <c r="A47" s="2909">
        <f>[1]面积!E58</f>
        <v>2601</v>
      </c>
      <c r="B47" s="2910">
        <f>[1]面积!F58</f>
        <v>1026.42</v>
      </c>
      <c r="C47" s="2910"/>
      <c r="D47" s="2911"/>
      <c r="E47" s="2906"/>
      <c r="F47" s="2910"/>
      <c r="G47" s="2910">
        <f t="shared" si="0"/>
        <v>0</v>
      </c>
    </row>
    <row r="48" spans="1:7" ht="14.25">
      <c r="A48" s="2909">
        <f>[1]面积!E59</f>
        <v>2701</v>
      </c>
      <c r="B48" s="2910">
        <f>[1]面积!F59</f>
        <v>1678.85</v>
      </c>
      <c r="C48" s="2910"/>
      <c r="D48" s="2911"/>
      <c r="E48" s="2906"/>
      <c r="F48" s="2910"/>
      <c r="G48" s="2910">
        <f t="shared" si="0"/>
        <v>0</v>
      </c>
    </row>
    <row r="49" spans="1:7" ht="14.25">
      <c r="A49" s="2909">
        <f>[1]面积!E60</f>
        <v>2801</v>
      </c>
      <c r="B49" s="2910">
        <f>[1]面积!F60</f>
        <v>1687.61</v>
      </c>
      <c r="C49" s="2910"/>
      <c r="D49" s="2911"/>
      <c r="E49" s="2906"/>
      <c r="F49" s="2910"/>
      <c r="G49" s="2910">
        <f t="shared" si="0"/>
        <v>0</v>
      </c>
    </row>
    <row r="50" spans="1:7" ht="14.25">
      <c r="A50" s="2909">
        <f>[1]面积!E61</f>
        <v>2901</v>
      </c>
      <c r="B50" s="2910">
        <f>[1]面积!F61</f>
        <v>1709.76</v>
      </c>
      <c r="C50" s="2910"/>
      <c r="D50" s="2911"/>
      <c r="E50" s="2906"/>
      <c r="F50" s="2910"/>
      <c r="G50" s="2910">
        <f t="shared" si="0"/>
        <v>0</v>
      </c>
    </row>
    <row r="51" spans="1:7" ht="14.25">
      <c r="A51" s="2909">
        <f>[1]面积!E62</f>
        <v>3001</v>
      </c>
      <c r="B51" s="2910">
        <f>[1]面积!F62</f>
        <v>1718.42</v>
      </c>
      <c r="C51" s="2910"/>
      <c r="D51" s="2911"/>
      <c r="E51" s="2906"/>
      <c r="F51" s="2910"/>
      <c r="G51" s="2910">
        <f t="shared" si="0"/>
        <v>0</v>
      </c>
    </row>
    <row r="52" spans="1:7" ht="14.25">
      <c r="A52" s="2909">
        <f>[1]面积!E63</f>
        <v>3101</v>
      </c>
      <c r="B52" s="2910">
        <f>[1]面积!F63</f>
        <v>1764.2</v>
      </c>
      <c r="C52" s="2910"/>
      <c r="D52" s="2911"/>
      <c r="E52" s="2906"/>
      <c r="F52" s="2910"/>
      <c r="G52" s="2910">
        <f t="shared" si="0"/>
        <v>0</v>
      </c>
    </row>
    <row r="53" spans="1:7" ht="14.25">
      <c r="A53" s="2909">
        <f>[1]面积!E64</f>
        <v>3201</v>
      </c>
      <c r="B53" s="2910">
        <f>[1]面积!F64</f>
        <v>1764.2</v>
      </c>
      <c r="C53" s="2910"/>
      <c r="D53" s="2911"/>
      <c r="E53" s="2906"/>
      <c r="F53" s="2910"/>
      <c r="G53" s="2910">
        <f t="shared" si="0"/>
        <v>0</v>
      </c>
    </row>
    <row r="54" spans="1:7" ht="14.25">
      <c r="A54" s="2909">
        <f>[1]面积!E65</f>
        <v>3301</v>
      </c>
      <c r="B54" s="2910">
        <f>[1]面积!F65</f>
        <v>1718.51</v>
      </c>
      <c r="C54" s="2910"/>
      <c r="D54" s="2911"/>
      <c r="E54" s="2906"/>
      <c r="F54" s="2910"/>
      <c r="G54" s="2910">
        <f t="shared" si="0"/>
        <v>0</v>
      </c>
    </row>
    <row r="55" spans="1:7" ht="14.25">
      <c r="A55" s="2909">
        <f>[1]面积!E66</f>
        <v>3303</v>
      </c>
      <c r="B55" s="2910">
        <f>[1]面积!F66</f>
        <v>248.07</v>
      </c>
      <c r="C55" s="2920"/>
      <c r="D55" s="2921"/>
      <c r="E55" s="2906"/>
      <c r="F55" s="2922"/>
      <c r="G55" s="2922">
        <f t="shared" si="0"/>
        <v>0</v>
      </c>
    </row>
    <row r="56" spans="1:7" ht="14.25">
      <c r="A56" s="2909" t="str">
        <f>[1]面积!E67</f>
        <v>合计</v>
      </c>
      <c r="B56" s="2910">
        <f>SUM(B3:B55)</f>
        <v>58586.810000000005</v>
      </c>
      <c r="C56" s="2923" t="s">
        <v>2</v>
      </c>
      <c r="D56" s="2923" t="s">
        <v>2</v>
      </c>
      <c r="E56" s="2923" t="s">
        <v>2</v>
      </c>
      <c r="F56" s="2923" t="s">
        <v>2</v>
      </c>
      <c r="G56" s="2910">
        <f>SUM(G3:G55)</f>
        <v>0</v>
      </c>
    </row>
    <row r="57" spans="1:7" ht="14.25">
      <c r="A57" s="2924"/>
      <c r="D57" s="2925">
        <f>G56/B56*10000</f>
        <v>0</v>
      </c>
    </row>
  </sheetData>
  <mergeCells count="3">
    <mergeCell ref="A1:G1"/>
    <mergeCell ref="I2:J2"/>
    <mergeCell ref="I9:J9"/>
  </mergeCells>
  <phoneticPr fontId="142"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F30" sqref="F30"/>
    </sheetView>
  </sheetViews>
  <sheetFormatPr defaultRowHeight="13.5"/>
  <cols>
    <col min="1" max="10" width="10.625" customWidth="1"/>
    <col min="257" max="266" width="10.625" customWidth="1"/>
    <col min="513" max="522" width="10.625" customWidth="1"/>
    <col min="769" max="778" width="10.625" customWidth="1"/>
    <col min="1025" max="1034" width="10.625" customWidth="1"/>
    <col min="1281" max="1290" width="10.625" customWidth="1"/>
    <col min="1537" max="1546" width="10.625" customWidth="1"/>
    <col min="1793" max="1802" width="10.625" customWidth="1"/>
    <col min="2049" max="2058" width="10.625" customWidth="1"/>
    <col min="2305" max="2314" width="10.625" customWidth="1"/>
    <col min="2561" max="2570" width="10.625" customWidth="1"/>
    <col min="2817" max="2826" width="10.625" customWidth="1"/>
    <col min="3073" max="3082" width="10.625" customWidth="1"/>
    <col min="3329" max="3338" width="10.625" customWidth="1"/>
    <col min="3585" max="3594" width="10.625" customWidth="1"/>
    <col min="3841" max="3850" width="10.625" customWidth="1"/>
    <col min="4097" max="4106" width="10.625" customWidth="1"/>
    <col min="4353" max="4362" width="10.625" customWidth="1"/>
    <col min="4609" max="4618" width="10.625" customWidth="1"/>
    <col min="4865" max="4874" width="10.625" customWidth="1"/>
    <col min="5121" max="5130" width="10.625" customWidth="1"/>
    <col min="5377" max="5386" width="10.625" customWidth="1"/>
    <col min="5633" max="5642" width="10.625" customWidth="1"/>
    <col min="5889" max="5898" width="10.625" customWidth="1"/>
    <col min="6145" max="6154" width="10.625" customWidth="1"/>
    <col min="6401" max="6410" width="10.625" customWidth="1"/>
    <col min="6657" max="6666" width="10.625" customWidth="1"/>
    <col min="6913" max="6922" width="10.625" customWidth="1"/>
    <col min="7169" max="7178" width="10.625" customWidth="1"/>
    <col min="7425" max="7434" width="10.625" customWidth="1"/>
    <col min="7681" max="7690" width="10.625" customWidth="1"/>
    <col min="7937" max="7946" width="10.625" customWidth="1"/>
    <col min="8193" max="8202" width="10.625" customWidth="1"/>
    <col min="8449" max="8458" width="10.625" customWidth="1"/>
    <col min="8705" max="8714" width="10.625" customWidth="1"/>
    <col min="8961" max="8970" width="10.625" customWidth="1"/>
    <col min="9217" max="9226" width="10.625" customWidth="1"/>
    <col min="9473" max="9482" width="10.625" customWidth="1"/>
    <col min="9729" max="9738" width="10.625" customWidth="1"/>
    <col min="9985" max="9994" width="10.625" customWidth="1"/>
    <col min="10241" max="10250" width="10.625" customWidth="1"/>
    <col min="10497" max="10506" width="10.625" customWidth="1"/>
    <col min="10753" max="10762" width="10.625" customWidth="1"/>
    <col min="11009" max="11018" width="10.625" customWidth="1"/>
    <col min="11265" max="11274" width="10.625" customWidth="1"/>
    <col min="11521" max="11530" width="10.625" customWidth="1"/>
    <col min="11777" max="11786" width="10.625" customWidth="1"/>
    <col min="12033" max="12042" width="10.625" customWidth="1"/>
    <col min="12289" max="12298" width="10.625" customWidth="1"/>
    <col min="12545" max="12554" width="10.625" customWidth="1"/>
    <col min="12801" max="12810" width="10.625" customWidth="1"/>
    <col min="13057" max="13066" width="10.625" customWidth="1"/>
    <col min="13313" max="13322" width="10.625" customWidth="1"/>
    <col min="13569" max="13578" width="10.625" customWidth="1"/>
    <col min="13825" max="13834" width="10.625" customWidth="1"/>
    <col min="14081" max="14090" width="10.625" customWidth="1"/>
    <col min="14337" max="14346" width="10.625" customWidth="1"/>
    <col min="14593" max="14602" width="10.625" customWidth="1"/>
    <col min="14849" max="14858" width="10.625" customWidth="1"/>
    <col min="15105" max="15114" width="10.625" customWidth="1"/>
    <col min="15361" max="15370" width="10.625" customWidth="1"/>
    <col min="15617" max="15626" width="10.625" customWidth="1"/>
    <col min="15873" max="15882" width="10.625" customWidth="1"/>
    <col min="16129" max="16138" width="10.625" customWidth="1"/>
  </cols>
  <sheetData>
    <row r="1" spans="1:12" ht="14.25">
      <c r="A1" s="3456" t="s">
        <v>3102</v>
      </c>
      <c r="B1" s="3456"/>
      <c r="C1" s="3456"/>
      <c r="D1" s="3456"/>
      <c r="E1" s="3456"/>
      <c r="F1" s="3456"/>
      <c r="G1" s="3456"/>
      <c r="I1" s="3455" t="s">
        <v>3037</v>
      </c>
      <c r="J1" s="3455"/>
      <c r="K1" s="2953" t="s">
        <v>3103</v>
      </c>
      <c r="L1" s="2915"/>
    </row>
    <row r="2" spans="1:12" ht="14.25">
      <c r="A2" s="2906" t="s">
        <v>3104</v>
      </c>
      <c r="B2" s="2906" t="s">
        <v>3105</v>
      </c>
      <c r="C2" s="2907" t="s">
        <v>3106</v>
      </c>
      <c r="D2" s="2906" t="s">
        <v>3107</v>
      </c>
      <c r="E2" s="2907" t="s">
        <v>3108</v>
      </c>
      <c r="F2" s="2907" t="s">
        <v>3109</v>
      </c>
      <c r="G2" s="2907" t="s">
        <v>3110</v>
      </c>
      <c r="I2" s="2916" t="s">
        <v>3111</v>
      </c>
      <c r="J2" s="2916">
        <v>102</v>
      </c>
      <c r="K2" s="2912">
        <v>1.02</v>
      </c>
    </row>
    <row r="3" spans="1:12" ht="14.25">
      <c r="A3" s="2909">
        <f>[1]面积!I14</f>
        <v>101</v>
      </c>
      <c r="B3" s="2910">
        <f>[1]面积!J14</f>
        <v>399</v>
      </c>
      <c r="C3" s="2910"/>
      <c r="D3" s="2911"/>
      <c r="E3" s="2910"/>
      <c r="F3" s="2911">
        <f>ROUND(D3*E3*C3,0)</f>
        <v>0</v>
      </c>
      <c r="G3" s="2910">
        <f>ROUND(F3*B3/10000,0)</f>
        <v>0</v>
      </c>
      <c r="I3" s="2917" t="s">
        <v>3112</v>
      </c>
      <c r="J3" s="2917">
        <v>101</v>
      </c>
      <c r="K3" s="2912">
        <v>1.01</v>
      </c>
    </row>
    <row r="4" spans="1:12" ht="14.25">
      <c r="A4" s="2909">
        <f>[1]面积!I15</f>
        <v>107</v>
      </c>
      <c r="B4" s="2910">
        <f>[1]面积!J15</f>
        <v>157.30000000000001</v>
      </c>
      <c r="C4" s="2910"/>
      <c r="D4" s="2911"/>
      <c r="E4" s="2910"/>
      <c r="F4" s="2911">
        <f t="shared" ref="F4:F10" si="0">ROUND(D4*E4*C4,0)</f>
        <v>0</v>
      </c>
      <c r="G4" s="2910">
        <f t="shared" ref="G4:G10" si="1">ROUND(F4*B4/10000,0)</f>
        <v>0</v>
      </c>
      <c r="I4" s="2916" t="s">
        <v>3113</v>
      </c>
      <c r="J4" s="2916">
        <v>100</v>
      </c>
      <c r="K4" s="2912">
        <v>1</v>
      </c>
    </row>
    <row r="5" spans="1:12" ht="14.25">
      <c r="A5" s="2909">
        <f>[1]面积!I16</f>
        <v>108</v>
      </c>
      <c r="B5" s="2910">
        <f>[1]面积!J16</f>
        <v>314.99</v>
      </c>
      <c r="C5" s="2910"/>
      <c r="D5" s="2911"/>
      <c r="E5" s="2910"/>
      <c r="F5" s="2911">
        <f t="shared" si="0"/>
        <v>0</v>
      </c>
      <c r="G5" s="2910">
        <f t="shared" si="1"/>
        <v>0</v>
      </c>
      <c r="I5" s="2916" t="s">
        <v>3114</v>
      </c>
      <c r="J5" s="2916">
        <v>99</v>
      </c>
      <c r="K5" s="2912">
        <v>0.99</v>
      </c>
    </row>
    <row r="6" spans="1:12" ht="14.25">
      <c r="A6" s="2918">
        <f>[1]面积!I17</f>
        <v>301</v>
      </c>
      <c r="B6" s="2910">
        <f>[1]面积!J17</f>
        <v>1424.68</v>
      </c>
      <c r="C6" s="2910"/>
      <c r="D6" s="2911"/>
      <c r="E6" s="2910"/>
      <c r="F6" s="2911">
        <f t="shared" si="0"/>
        <v>0</v>
      </c>
      <c r="G6" s="2910">
        <f t="shared" si="1"/>
        <v>0</v>
      </c>
      <c r="I6" s="2917" t="s">
        <v>3115</v>
      </c>
      <c r="J6" s="2917">
        <v>98</v>
      </c>
      <c r="K6" s="2912">
        <v>0.98</v>
      </c>
    </row>
    <row r="7" spans="1:12" ht="14.25">
      <c r="A7" s="2909">
        <f>[1]面积!I18</f>
        <v>-101</v>
      </c>
      <c r="B7" s="2910">
        <f>[1]面积!J18</f>
        <v>907.62</v>
      </c>
      <c r="C7" s="2910"/>
      <c r="D7" s="2911"/>
      <c r="E7" s="2910"/>
      <c r="F7" s="2911">
        <f t="shared" si="0"/>
        <v>0</v>
      </c>
      <c r="G7" s="2910">
        <f t="shared" si="1"/>
        <v>0</v>
      </c>
      <c r="I7" s="2917" t="s">
        <v>3116</v>
      </c>
      <c r="J7" s="2917">
        <v>97</v>
      </c>
      <c r="K7" s="2944">
        <v>0.97</v>
      </c>
    </row>
    <row r="8" spans="1:12" ht="14.25">
      <c r="A8" s="2909">
        <f>[1]面积!I19</f>
        <v>-102</v>
      </c>
      <c r="B8" s="2910">
        <f>[1]面积!J19</f>
        <v>57.51</v>
      </c>
      <c r="C8" s="2910"/>
      <c r="D8" s="2911"/>
      <c r="E8" s="2910"/>
      <c r="F8" s="2911">
        <f t="shared" si="0"/>
        <v>0</v>
      </c>
      <c r="G8" s="2910">
        <f t="shared" si="1"/>
        <v>0</v>
      </c>
    </row>
    <row r="9" spans="1:12" ht="14.25">
      <c r="A9" s="2909">
        <f>[1]面积!I20</f>
        <v>-104</v>
      </c>
      <c r="B9" s="2910">
        <f>[1]面积!J20</f>
        <v>1854.19</v>
      </c>
      <c r="C9" s="2910"/>
      <c r="D9" s="2911"/>
      <c r="E9" s="2910"/>
      <c r="F9" s="2911">
        <f t="shared" si="0"/>
        <v>0</v>
      </c>
      <c r="G9" s="2910">
        <f t="shared" si="1"/>
        <v>0</v>
      </c>
    </row>
    <row r="10" spans="1:12" ht="14.25">
      <c r="A10" s="2909">
        <f>[1]面积!I21</f>
        <v>-105</v>
      </c>
      <c r="B10" s="2910">
        <f>[1]面积!J21</f>
        <v>100.78</v>
      </c>
      <c r="C10" s="2910"/>
      <c r="D10" s="2911"/>
      <c r="E10" s="2910"/>
      <c r="F10" s="2911">
        <f t="shared" si="0"/>
        <v>0</v>
      </c>
      <c r="G10" s="2910">
        <f t="shared" si="1"/>
        <v>0</v>
      </c>
    </row>
    <row r="11" spans="1:12" ht="14.25">
      <c r="A11" s="2909" t="str">
        <f>[1]面积!I22</f>
        <v>合计</v>
      </c>
      <c r="B11" s="2912">
        <f>SUM(B3:B10)</f>
        <v>5216.0700000000006</v>
      </c>
      <c r="C11" s="2923" t="s">
        <v>2</v>
      </c>
      <c r="D11" s="2923" t="s">
        <v>3117</v>
      </c>
      <c r="E11" s="2923" t="s">
        <v>3117</v>
      </c>
      <c r="F11" s="2923" t="s">
        <v>2</v>
      </c>
      <c r="G11" s="2910">
        <f>SUM(G3:G10)</f>
        <v>0</v>
      </c>
    </row>
    <row r="12" spans="1:12" ht="14.25">
      <c r="D12" s="2925">
        <f>G11/B11*10000</f>
        <v>0</v>
      </c>
    </row>
  </sheetData>
  <mergeCells count="2">
    <mergeCell ref="A1:G1"/>
    <mergeCell ref="I1:J1"/>
  </mergeCells>
  <phoneticPr fontId="142"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130902</v>
      </c>
      <c r="C2" s="2" t="s">
        <v>133</v>
      </c>
      <c r="D2" s="242"/>
      <c r="E2" s="242"/>
      <c r="F2" s="242"/>
      <c r="G2" s="242"/>
    </row>
    <row r="3" spans="1:7" s="243" customFormat="1" ht="18" customHeight="1" thickBot="1">
      <c r="A3" s="246" t="s">
        <v>85</v>
      </c>
      <c r="B3" s="247">
        <f ca="1">ROUND(B2*10000/'数据-汇总表'!E3,0)</f>
        <v>9091</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160</v>
      </c>
      <c r="F9" s="264"/>
      <c r="G9" s="269"/>
    </row>
    <row r="10" spans="1:7" s="257" customFormat="1" ht="13.5" customHeight="1">
      <c r="A10" s="952" t="s">
        <v>801</v>
      </c>
      <c r="B10" s="267" t="s">
        <v>94</v>
      </c>
      <c r="C10" s="268">
        <f>ROUND(D10*E10/10000,0)</f>
        <v>2880</v>
      </c>
      <c r="D10" s="1034">
        <f>'数据-汇总表'!E6</f>
        <v>143997.77000000002</v>
      </c>
      <c r="E10" s="268">
        <f>'数据-取费表'!B28</f>
        <v>200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2880</v>
      </c>
      <c r="D19" s="1038">
        <f>'数据-汇总表'!E3</f>
        <v>143997.77000000002</v>
      </c>
      <c r="E19" s="254">
        <f>'数据-取费表'!B31</f>
        <v>200</v>
      </c>
      <c r="F19" s="274"/>
      <c r="G19" s="1" t="s">
        <v>1074</v>
      </c>
    </row>
    <row r="20" spans="1:7" s="257" customFormat="1" ht="13.5" customHeight="1">
      <c r="A20" s="950" t="s">
        <v>1057</v>
      </c>
      <c r="B20" s="253" t="s">
        <v>104</v>
      </c>
      <c r="C20" s="275">
        <f>ROUND((C5+C19)*F20,0)</f>
        <v>705</v>
      </c>
      <c r="D20" s="275"/>
      <c r="E20" s="275"/>
      <c r="F20" s="276">
        <f>'数据-取费表'!B37</f>
        <v>0.03</v>
      </c>
      <c r="G20" s="1291"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6">
        <f ca="1">ROUND(SUM(C23:C25),0)</f>
        <v>3560</v>
      </c>
      <c r="D22" s="278">
        <f ca="1">C26</f>
        <v>1.4E-3</v>
      </c>
      <c r="E22" s="279" t="s">
        <v>126</v>
      </c>
      <c r="F22" s="280">
        <f ca="1">'数据-取费表'!B40</f>
        <v>4.7500000000000001E-2</v>
      </c>
      <c r="G22" s="1291" t="str">
        <f>IF('数据-取费表'!B22&lt;=1,"单利计息","复利计息")</f>
        <v>复利计息</v>
      </c>
    </row>
    <row r="23" spans="1:7" s="257" customFormat="1" ht="13.5" customHeight="1">
      <c r="A23" s="953" t="s">
        <v>794</v>
      </c>
      <c r="B23" s="258" t="s">
        <v>1061</v>
      </c>
      <c r="C23" s="1357">
        <f ca="1">ROUND(IF('数据-取费表'!B22&lt;=1,C5*F22*'数据-取费表'!B23,C5*(POWER((1+F22),'数据-取费表'!B23)-1)),0)</f>
        <v>3079</v>
      </c>
      <c r="D23" s="281"/>
      <c r="E23" s="281"/>
      <c r="F23" s="282"/>
      <c r="G23" s="283" t="s">
        <v>108</v>
      </c>
    </row>
    <row r="24" spans="1:7" s="257" customFormat="1" ht="13.5" customHeight="1">
      <c r="A24" s="953" t="s">
        <v>792</v>
      </c>
      <c r="B24" s="258" t="s">
        <v>1056</v>
      </c>
      <c r="C24" s="1357">
        <f ca="1">ROUND(IF('数据-取费表'!B22&lt;=1,C19*F22*('数据-取费表'!B19/2+'数据-取费表'!B21),C19*(POWER((1+F22),('数据-取费表'!B19/2+'数据-取费表'!B21))-1)),0)</f>
        <v>430</v>
      </c>
      <c r="D24" s="281"/>
      <c r="E24" s="281"/>
      <c r="F24" s="282"/>
      <c r="G24" s="283" t="s">
        <v>109</v>
      </c>
    </row>
    <row r="25" spans="1:7" s="257" customFormat="1" ht="24">
      <c r="A25" s="953" t="s">
        <v>793</v>
      </c>
      <c r="B25" s="258" t="s">
        <v>1058</v>
      </c>
      <c r="C25" s="1357">
        <f ca="1">ROUND(IF('数据-取费表'!B22&lt;=1,C20*F22*'数据-取费表'!B23/2,C20*(POWER((1+F22),'数据-取费表'!B23/2)-1)),0)</f>
        <v>51</v>
      </c>
      <c r="D25" s="281"/>
      <c r="E25" s="284"/>
      <c r="F25" s="282"/>
      <c r="G25" s="285" t="s">
        <v>110</v>
      </c>
    </row>
    <row r="26" spans="1:7" s="257" customFormat="1">
      <c r="A26" s="953" t="s">
        <v>795</v>
      </c>
      <c r="B26" s="258" t="s">
        <v>1060</v>
      </c>
      <c r="C26" s="281">
        <f ca="1">ROUND(IF('数据-取费表'!B22&lt;=1,F21*F22*'数据-取费表'!B23/2,F21*(POWER((1+F22),'数据-取费表'!B23/2)-1)),4)</f>
        <v>1.4E-3</v>
      </c>
      <c r="D26" s="281"/>
      <c r="E26" s="284"/>
      <c r="F26" s="282"/>
      <c r="G26" s="286"/>
    </row>
    <row r="27" spans="1:7" s="257" customFormat="1" ht="24.75">
      <c r="A27" s="950" t="s">
        <v>787</v>
      </c>
      <c r="B27" s="287" t="s">
        <v>112</v>
      </c>
      <c r="C27" s="288">
        <f>C28</f>
        <v>4597</v>
      </c>
      <c r="D27" s="278">
        <f>C29</f>
        <v>3.8E-3</v>
      </c>
      <c r="E27" s="279" t="s">
        <v>126</v>
      </c>
      <c r="F27" s="289">
        <f>'数据-取费表'!Q16</f>
        <v>0.19</v>
      </c>
      <c r="G27" s="290" t="s">
        <v>1069</v>
      </c>
    </row>
    <row r="28" spans="1:7" s="257" customFormat="1" ht="13.5" customHeight="1">
      <c r="A28" s="953" t="s">
        <v>794</v>
      </c>
      <c r="B28" s="291" t="s">
        <v>1062</v>
      </c>
      <c r="C28" s="292">
        <f>ROUND((C5+C19+C20)*F27*'数据-取费表'!B21/'数据-取费表'!B20,0)</f>
        <v>4597</v>
      </c>
      <c r="D28" s="278"/>
      <c r="E28" s="279"/>
      <c r="F28" s="289"/>
      <c r="G28" s="290"/>
    </row>
    <row r="29" spans="1:7" s="257" customFormat="1" ht="13.5" customHeight="1">
      <c r="A29" s="953" t="s">
        <v>792</v>
      </c>
      <c r="B29" s="291" t="s">
        <v>1063</v>
      </c>
      <c r="C29" s="281">
        <f>ROUND(C21*F27*'数据-取费表'!B21/'数据-取费表'!B20,4)</f>
        <v>3.8E-3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35109</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73807</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66598</v>
      </c>
      <c r="D34" s="260"/>
      <c r="E34" s="263"/>
      <c r="F34" s="300">
        <f>IF('数据-取费表'!B24=0,1,'数据-取费表'!N16)</f>
        <v>1</v>
      </c>
      <c r="G34" s="262" t="s">
        <v>116</v>
      </c>
    </row>
    <row r="35" spans="1:7" ht="13.5" customHeight="1">
      <c r="A35" s="953" t="s">
        <v>796</v>
      </c>
      <c r="B35" s="258" t="s">
        <v>60</v>
      </c>
      <c r="C35" s="263">
        <f>ROUND(C34*F35,0)</f>
        <v>3330</v>
      </c>
      <c r="D35" s="263"/>
      <c r="E35" s="263"/>
      <c r="F35" s="302">
        <f>'数据-取费表'!B33</f>
        <v>0.05</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2880</v>
      </c>
      <c r="D37" s="260">
        <f>'数据-汇总表'!E3</f>
        <v>143997.77000000002</v>
      </c>
      <c r="E37" s="292">
        <f>'数据-取费表'!B35</f>
        <v>200</v>
      </c>
      <c r="F37" s="302"/>
      <c r="G37" s="304" t="s">
        <v>119</v>
      </c>
    </row>
    <row r="38" spans="1:7" ht="13.5" customHeight="1">
      <c r="A38" s="953" t="s">
        <v>799</v>
      </c>
      <c r="B38" s="258" t="s">
        <v>63</v>
      </c>
      <c r="C38" s="263">
        <f>ROUND(C34*F38,0)</f>
        <v>999</v>
      </c>
      <c r="D38" s="263"/>
      <c r="E38" s="263"/>
      <c r="F38" s="302">
        <f>'数据-取费表'!B36</f>
        <v>1.4999999999999999E-2</v>
      </c>
      <c r="G38" s="262" t="s">
        <v>117</v>
      </c>
    </row>
    <row r="39" spans="1:7" s="257" customFormat="1" ht="13.5" customHeight="1">
      <c r="A39" s="950" t="s">
        <v>783</v>
      </c>
      <c r="B39" s="253" t="s">
        <v>104</v>
      </c>
      <c r="C39" s="275">
        <f>ROUND(C33*F20,0)</f>
        <v>2214</v>
      </c>
      <c r="D39" s="275"/>
      <c r="E39" s="275"/>
      <c r="F39" s="276"/>
      <c r="G39" s="1291"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5481</v>
      </c>
      <c r="D41" s="278">
        <f ca="1">C44</f>
        <v>1.4E-3</v>
      </c>
      <c r="E41" s="279" t="s">
        <v>129</v>
      </c>
      <c r="F41" s="280"/>
      <c r="G41" s="1291" t="str">
        <f>IF('数据-取费表'!B22&lt;=1,"单利计息","复利计息")</f>
        <v>复利计息</v>
      </c>
    </row>
    <row r="42" spans="1:7" ht="13.5" customHeight="1">
      <c r="A42" s="953" t="s">
        <v>794</v>
      </c>
      <c r="B42" s="258" t="s">
        <v>1061</v>
      </c>
      <c r="C42" s="281">
        <f ca="1">ROUND(IF('数据-取费表'!B22&lt;=1,C33*F22*'数据-取费表'!B21/2,C33*(POWER((1+F22),'数据-取费表'!B21/2)-1)),0)</f>
        <v>5321</v>
      </c>
      <c r="D42" s="281"/>
      <c r="E42" s="281"/>
      <c r="F42" s="282"/>
      <c r="G42" s="3348" t="s">
        <v>121</v>
      </c>
    </row>
    <row r="43" spans="1:7" ht="13.5" customHeight="1">
      <c r="A43" s="953" t="s">
        <v>792</v>
      </c>
      <c r="B43" s="258" t="s">
        <v>1064</v>
      </c>
      <c r="C43" s="281">
        <f ca="1">ROUND(IF('数据-取费表'!B22&lt;=1,C39*F22*'数据-取费表'!B21/2,C39*(POWER((1+F22),'数据-取费表'!B21/2)-1)),0)</f>
        <v>160</v>
      </c>
      <c r="D43" s="281"/>
      <c r="E43" s="281"/>
      <c r="F43" s="282"/>
      <c r="G43" s="3349"/>
    </row>
    <row r="44" spans="1:7" ht="13.5" customHeight="1">
      <c r="A44" s="953" t="s">
        <v>793</v>
      </c>
      <c r="B44" s="258" t="s">
        <v>1066</v>
      </c>
      <c r="C44" s="281">
        <f ca="1">ROUND(IF('数据-取费表'!B22&lt;=1,C40*F22*'数据-取费表'!B21/2,C40*(POWER((1+F22),'数据-取费表'!B21/2)-1)),4)</f>
        <v>1.4E-3</v>
      </c>
      <c r="D44" s="281"/>
      <c r="E44" s="281"/>
      <c r="F44" s="282"/>
      <c r="G44" s="3350"/>
    </row>
    <row r="45" spans="1:7" s="257" customFormat="1" ht="13.5" customHeight="1">
      <c r="A45" s="950" t="s">
        <v>786</v>
      </c>
      <c r="B45" s="287" t="s">
        <v>112</v>
      </c>
      <c r="C45" s="288">
        <f>C46</f>
        <v>14444</v>
      </c>
      <c r="D45" s="278">
        <f>C47</f>
        <v>3.8E-3</v>
      </c>
      <c r="E45" s="279" t="s">
        <v>129</v>
      </c>
      <c r="F45" s="289"/>
      <c r="G45" s="290" t="s">
        <v>1072</v>
      </c>
    </row>
    <row r="46" spans="1:7" s="257" customFormat="1" ht="13.5" customHeight="1">
      <c r="A46" s="953" t="s">
        <v>794</v>
      </c>
      <c r="B46" s="291" t="s">
        <v>1065</v>
      </c>
      <c r="C46" s="292">
        <f>ROUND((C33+C39)*F27,0)</f>
        <v>14444</v>
      </c>
      <c r="D46" s="306"/>
      <c r="E46" s="279"/>
      <c r="F46" s="289"/>
      <c r="G46" s="290"/>
    </row>
    <row r="47" spans="1:7" s="257" customFormat="1" ht="13.5" customHeight="1">
      <c r="A47" s="953" t="s">
        <v>792</v>
      </c>
      <c r="B47" s="291" t="s">
        <v>1067</v>
      </c>
      <c r="C47" s="281">
        <f>ROUND(C40*F27,4)</f>
        <v>3.8E-3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104123</v>
      </c>
      <c r="D49" s="275"/>
      <c r="E49" s="275"/>
      <c r="F49" s="307"/>
      <c r="G49" s="277" t="s">
        <v>1073</v>
      </c>
    </row>
    <row r="50" spans="1:7" s="301" customFormat="1" ht="24">
      <c r="A50" s="950" t="s">
        <v>789</v>
      </c>
      <c r="B50" s="253" t="s">
        <v>124</v>
      </c>
      <c r="C50" s="275"/>
      <c r="D50" s="275"/>
      <c r="E50" s="275"/>
      <c r="F50" s="307">
        <f>IF('数据-取费表'!B24=0,'数据-取费表'!N16,1)</f>
        <v>0.92</v>
      </c>
      <c r="G50" s="290" t="s">
        <v>125</v>
      </c>
    </row>
    <row r="51" spans="1:7" ht="16.5" customHeight="1">
      <c r="A51" s="950" t="s">
        <v>790</v>
      </c>
      <c r="B51" s="253" t="s">
        <v>132</v>
      </c>
      <c r="C51" s="275">
        <f ca="1">ROUND(C49*F50,0)</f>
        <v>95793</v>
      </c>
      <c r="D51" s="275"/>
      <c r="E51" s="275"/>
      <c r="F51" s="307"/>
      <c r="G51" s="277" t="s">
        <v>64</v>
      </c>
    </row>
    <row r="52" spans="1:7" s="251" customFormat="1" ht="16.5" thickBot="1">
      <c r="A52" s="308" t="s">
        <v>65</v>
      </c>
      <c r="B52" s="309"/>
      <c r="C52" s="310">
        <f ca="1">C31+C51</f>
        <v>130902</v>
      </c>
      <c r="D52" s="309"/>
      <c r="E52" s="309"/>
      <c r="F52" s="309"/>
      <c r="G52" s="311"/>
    </row>
    <row r="55" spans="1:7" ht="15">
      <c r="B55" s="313" t="s">
        <v>66</v>
      </c>
      <c r="C55" s="314"/>
    </row>
    <row r="56" spans="1:7">
      <c r="B56" s="316" t="s">
        <v>67</v>
      </c>
      <c r="C56" s="317">
        <f ca="1">ROUND(C51/C52,3)</f>
        <v>0.73199999999999998</v>
      </c>
    </row>
    <row r="57" spans="1:7">
      <c r="B57" s="316" t="s">
        <v>68</v>
      </c>
      <c r="C57" s="318">
        <f ca="1">1-C56</f>
        <v>0.26800000000000002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457" t="s">
        <v>156</v>
      </c>
      <c r="B1" s="3457"/>
      <c r="C1" s="3457"/>
      <c r="D1" s="3457"/>
      <c r="E1" s="3457"/>
      <c r="F1" s="345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458" t="s">
        <v>169</v>
      </c>
      <c r="B2" s="3458"/>
      <c r="C2" s="3458"/>
      <c r="D2" s="3458"/>
      <c r="E2" s="3458"/>
      <c r="F2" s="345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45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46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457" t="s">
        <v>871</v>
      </c>
      <c r="B1" s="3457"/>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6"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43395</v>
      </c>
      <c r="D1" s="1702" t="s">
        <v>1301</v>
      </c>
      <c r="E1" s="1697">
        <f>'数据-取费表'!B22</f>
        <v>3</v>
      </c>
      <c r="F1" s="1702" t="s">
        <v>1302</v>
      </c>
      <c r="G1" s="1698">
        <f ca="1">INDIRECT("d"&amp;$K$1)/100</f>
        <v>4.7500000000000001E-2</v>
      </c>
      <c r="H1" s="1702" t="s">
        <v>1332</v>
      </c>
      <c r="I1" s="1698">
        <f ca="1">F4/100</f>
        <v>1.4999999999999999E-2</v>
      </c>
      <c r="J1" s="1703">
        <f>IF(C1&gt;C13,0,MATCH(C1,C$13:C$100,-1))+IF(SUMIF(C13:C100,C1,D13:D100)=0,13,12)</f>
        <v>13</v>
      </c>
      <c r="K1" s="1703">
        <f ca="1">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2"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145</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比较法-办公</vt:lpstr>
      <vt:lpstr>收益法 (办公)</vt:lpstr>
      <vt:lpstr>成本法 (元)</vt:lpstr>
      <vt:lpstr>假设开发法</vt:lpstr>
      <vt:lpstr>比较法-商业</vt:lpstr>
      <vt:lpstr>结果表（商业）</vt:lpstr>
      <vt:lpstr>成本法（商业）</vt:lpstr>
      <vt:lpstr>基准地价修正 (商业)</vt:lpstr>
      <vt:lpstr>收益法 (商业)</vt:lpstr>
      <vt:lpstr>结果表（地下车库）</vt:lpstr>
      <vt:lpstr>基准地价（汇总）</vt:lpstr>
      <vt:lpstr>成本法（车库）</vt:lpstr>
      <vt:lpstr>基准地价修正（车库）</vt:lpstr>
      <vt:lpstr>收益法（地下车库）</vt:lpstr>
      <vt:lpstr>收益法 (元)</vt:lpstr>
      <vt:lpstr>收益法（汇总）</vt:lpstr>
      <vt:lpstr>酒店收入计算</vt:lpstr>
      <vt:lpstr>比较法-住宅</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租赁情况</vt:lpstr>
      <vt:lpstr>面积A</vt:lpstr>
      <vt:lpstr>面积B</vt:lpstr>
      <vt:lpstr>办公结果</vt:lpstr>
      <vt:lpstr>商业结果</vt:lpstr>
      <vt:lpstr>成本法（废）</vt:lpstr>
      <vt:lpstr>区片价</vt:lpstr>
      <vt:lpstr>因素修正幅度</vt:lpstr>
      <vt:lpstr>存贷款利率</vt:lpstr>
      <vt:lpstr>区片价（范围）</vt:lpstr>
      <vt:lpstr>'比较法-办公'!Print_Area</vt:lpstr>
      <vt:lpstr>'成本法（车库）'!Print_Area</vt:lpstr>
      <vt:lpstr>'成本法（商业）'!Print_Area</vt:lpstr>
      <vt:lpstr>估价对象房地状况!Print_Area</vt:lpstr>
      <vt:lpstr>估价师及机构信息!Print_Area</vt:lpstr>
      <vt:lpstr>'基准地价修正 (商业)'!Print_Area</vt:lpstr>
      <vt:lpstr>'基准地价修正（车库）'!Print_Area</vt:lpstr>
      <vt:lpstr>'收益法 (办公)'!Print_Area</vt:lpstr>
      <vt:lpstr>'收益法 (商业)'!Print_Area</vt:lpstr>
      <vt:lpstr>'收益法 (元)'!Print_Area</vt:lpstr>
      <vt:lpstr>'收益法（地下车库）'!Print_Area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 (商业)'!季度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2018-10-25T06:13:16Z</dcterms:modified>
</cp:coreProperties>
</file>