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D:\桌面\2023-1-0328宏业路\"/>
    </mc:Choice>
  </mc:AlternateContent>
  <xr:revisionPtr revIDLastSave="0" documentId="13_ncr:1_{1884EEFD-6CAE-4F0A-BDCB-55914B54F46A}" xr6:coauthVersionLast="47" xr6:coauthVersionMax="47" xr10:uidLastSave="{00000000-0000-0000-0000-000000000000}"/>
  <bookViews>
    <workbookView xWindow="-120" yWindow="-120" windowWidth="19440" windowHeight="1500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0" r:id="rId20"/>
    <sheet name="收益法 (元)" sheetId="67" r:id="rId21"/>
    <sheet name="成本法" sheetId="68" state="hidden" r:id="rId22"/>
    <sheet name="比较法-办公 (租金)" sheetId="81" r:id="rId23"/>
    <sheet name="租金" sheetId="82" r:id="rId24"/>
    <sheet name="成本法 (元)" sheetId="69" r:id="rId25"/>
    <sheet name="基准地价修正" sheetId="43"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8" hidden="1">'比较法-办公'!$A$1:$L$50</definedName>
    <definedName name="_xlnm._FilterDatabase" localSheetId="22"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2">'比较法-办公 (租金)'!$A$1:$K$55,'比较法-办公 (租金)'!$A$58:$M$132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'数据-汇总表'!$A$1:$I$32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(租金)'!$B$119:$M$119</definedName>
    <definedName name="办公层高">'比较法-办公'!$B$119:$M$119</definedName>
    <definedName name="办公朝向" localSheetId="22">'比较法-办公 (租金)'!$B$91:$M$91</definedName>
    <definedName name="办公朝向">'比较法-办公'!$B$91:$M$91</definedName>
    <definedName name="办公道路级别" localSheetId="22">'比较法-办公 (租金)'!$B$87:$M$87</definedName>
    <definedName name="办公道路级别">'比较法-办公'!$B$87:$M$87</definedName>
    <definedName name="办公公共部分装修" localSheetId="22">'比较法-办公 (租金)'!$B$108:$M$108</definedName>
    <definedName name="办公公共部分装修">'比较法-办公'!$B$108:$M$108</definedName>
    <definedName name="办公基础设施水平" localSheetId="22">'比较法-办公 (租金)'!$B$117:$M$117</definedName>
    <definedName name="办公基础设施水平">'比较法-办公'!$B$117:$M$117</definedName>
    <definedName name="办公集聚程度">定义!$M$1:$M$6</definedName>
    <definedName name="办公建筑结构" localSheetId="22">'比较法-办公 (租金)'!$B$106:$M$106</definedName>
    <definedName name="办公建筑结构">'比较法-办公'!$B$106:$M$106</definedName>
    <definedName name="办公建筑类型" localSheetId="22">'比较法-办公 (租金)'!$B$101:$M$101</definedName>
    <definedName name="办公建筑类型">'比较法-办公'!$B$101:$M$101</definedName>
    <definedName name="办公交易情况" localSheetId="22">'比较法-办公 (租金)'!$A$62:$M$62</definedName>
    <definedName name="办公交易情况">'比较法-办公'!$A$62:$M$62</definedName>
    <definedName name="办公楼层" localSheetId="22">'比较法-办公 (租金)'!$B$89:$M$89</definedName>
    <definedName name="办公楼层">'比较法-办公'!$B$89:$M$89</definedName>
    <definedName name="办公内部装修" localSheetId="22">'比较法-办公 (租金)'!$B$123:$M$123</definedName>
    <definedName name="办公内部装修">'比较法-办公'!$B$123:$M$123</definedName>
    <definedName name="办公物业管理" localSheetId="22">'比较法-办公 (租金)'!$B$115:$M$115</definedName>
    <definedName name="办公物业管理">'比较法-办公'!$B$115:$M$115</definedName>
    <definedName name="办公用途" localSheetId="2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2">'比较法-办公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C34" i="8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J10" i="81"/>
  <c r="H10" i="81"/>
  <c r="F10" i="81"/>
  <c r="Q9" i="81"/>
  <c r="Z9" i="81" s="1"/>
  <c r="J9" i="81"/>
  <c r="H9" i="81"/>
  <c r="F9" i="81"/>
  <c r="J8" i="81"/>
  <c r="H8" i="81"/>
  <c r="F8" i="81"/>
  <c r="C7" i="81"/>
  <c r="D3" i="81"/>
  <c r="D2" i="81"/>
  <c r="I37" i="34"/>
  <c r="G37" i="34"/>
  <c r="E37" i="34"/>
  <c r="C37" i="34"/>
  <c r="C34" i="34"/>
  <c r="I7" i="34"/>
  <c r="G7" i="34"/>
  <c r="E7" i="34"/>
  <c r="G62" i="43"/>
  <c r="G63" i="43"/>
  <c r="G64" i="43"/>
  <c r="G65" i="43"/>
  <c r="G66" i="43"/>
  <c r="G67" i="43"/>
  <c r="G68" i="43"/>
  <c r="G69" i="43"/>
  <c r="G61" i="43"/>
  <c r="D14" i="9"/>
  <c r="B14" i="74"/>
  <c r="Y6" i="1"/>
  <c r="N19" i="1"/>
  <c r="N18" i="1"/>
  <c r="F19" i="6"/>
  <c r="C59" i="81" l="1"/>
  <c r="D59" i="81" s="1"/>
  <c r="E59" i="81" s="1"/>
  <c r="F59" i="81" s="1"/>
  <c r="G59" i="81" s="1"/>
  <c r="H59" i="81" s="1"/>
  <c r="I59" i="81" s="1"/>
  <c r="J59" i="81" s="1"/>
  <c r="K59" i="81" s="1"/>
  <c r="L59" i="81" s="1"/>
  <c r="M59" i="81" s="1"/>
  <c r="N59" i="81" s="1"/>
  <c r="O59" i="81" s="1"/>
  <c r="I7" i="81"/>
  <c r="J7" i="81" s="1"/>
  <c r="G7" i="81"/>
  <c r="H7" i="81" s="1"/>
  <c r="E7" i="81"/>
  <c r="F7" i="81" s="1"/>
  <c r="AA8" i="81"/>
  <c r="S8" i="81"/>
  <c r="AB8" i="81"/>
  <c r="U8" i="81"/>
  <c r="AC8" i="81"/>
  <c r="W8" i="81"/>
  <c r="AA9" i="81"/>
  <c r="S9" i="81"/>
  <c r="AB9" i="81"/>
  <c r="U9" i="81"/>
  <c r="AC9" i="81"/>
  <c r="W9" i="81"/>
  <c r="AA10" i="81"/>
  <c r="S10" i="81"/>
  <c r="AB10" i="81"/>
  <c r="U10" i="81"/>
  <c r="AC10" i="81"/>
  <c r="W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J34" i="81"/>
  <c r="H34" i="81"/>
  <c r="F34"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D3" i="4"/>
  <c r="AA37" i="81" l="1"/>
  <c r="S37" i="81"/>
  <c r="AB37" i="81"/>
  <c r="U37" i="81"/>
  <c r="AC37" i="81"/>
  <c r="W37" i="81"/>
  <c r="AA34" i="81"/>
  <c r="S34" i="81"/>
  <c r="AB34" i="81"/>
  <c r="U34" i="81"/>
  <c r="AC34" i="81"/>
  <c r="W34" i="81"/>
  <c r="AA7" i="81"/>
  <c r="R49" i="81" s="1"/>
  <c r="S7" i="81"/>
  <c r="AB7" i="81"/>
  <c r="T49" i="81" s="1"/>
  <c r="G49" i="81" s="1"/>
  <c r="U7" i="81"/>
  <c r="AC7" i="81"/>
  <c r="V49" i="81" s="1"/>
  <c r="I49" i="81" s="1"/>
  <c r="W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53" i="81" l="1"/>
  <c r="J53" i="81" s="1"/>
  <c r="G54" i="81"/>
  <c r="H54" i="81" s="1"/>
  <c r="G53" i="81"/>
  <c r="H53" i="81" s="1"/>
  <c r="R50" i="81"/>
  <c r="E49" i="81"/>
  <c r="P28" i="79"/>
  <c r="B10" i="74"/>
  <c r="E54" i="81" l="1"/>
  <c r="F54" i="81" s="1"/>
  <c r="E53" i="81"/>
  <c r="F53" i="81" s="1"/>
  <c r="I54" i="81"/>
  <c r="J54" i="81" s="1"/>
  <c r="C50" i="81"/>
  <c r="C49"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B3" i="81" l="1"/>
  <c r="B2" i="8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N5" i="79"/>
  <c r="M5" i="79"/>
  <c r="P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D5" i="73"/>
  <c r="F37" i="67"/>
  <c r="F7" i="15"/>
  <c r="E7" i="76"/>
  <c r="F8" i="67"/>
  <c r="F43" i="15"/>
  <c r="B10" i="76"/>
  <c r="F37" i="15"/>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F40" i="67"/>
  <c r="F43" i="67"/>
  <c r="M26" i="67"/>
  <c r="AO13" i="1"/>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C76" i="67"/>
  <c r="M22" i="15"/>
  <c r="F38" i="15"/>
  <c r="M9" i="67"/>
  <c r="B13" i="76"/>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15"/>
  <c r="C17"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C6" i="69" s="1"/>
  <c r="C7" i="69" s="1"/>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D27" i="6" l="1"/>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H37" i="34"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U37" i="34" l="1"/>
  <c r="AB37" i="34"/>
  <c r="T49" i="34" s="1"/>
  <c r="C8" i="68"/>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22" i="12"/>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C49" i="34" l="1"/>
  <c r="C50" i="34"/>
  <c r="G53" i="34"/>
  <c r="H53" i="34" s="1"/>
  <c r="G54" i="34"/>
  <c r="H54" i="34" s="1"/>
  <c r="E54" i="34"/>
  <c r="F54" i="34" s="1"/>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C57" i="69"/>
  <c r="C56" i="69" s="1"/>
  <c r="D6" i="7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7"/>
  <c r="D2" i="34"/>
  <c r="D2" i="36"/>
  <c r="D2" i="35"/>
  <c r="L51" i="15"/>
  <c r="B3" i="69" l="1"/>
  <c r="D35" i="9"/>
  <c r="D34" i="9"/>
  <c r="D102" i="9"/>
  <c r="D21" i="9"/>
  <c r="Q75" i="67"/>
  <c r="Q62" i="67"/>
  <c r="B3" i="67"/>
  <c r="D20" i="9" s="1"/>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6" i="1"/>
  <c r="AO8" i="1"/>
  <c r="B3" i="34" l="1"/>
  <c r="C20" i="9" s="1"/>
  <c r="C103" i="9" s="1"/>
  <c r="C19" i="9"/>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2" i="9" l="1"/>
  <c r="C21" i="9"/>
  <c r="D22" i="9"/>
  <c r="G19" i="9"/>
  <c r="G21" i="9" s="1"/>
  <c r="E14" i="74"/>
  <c r="D14" i="74" s="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8" i="74" l="1"/>
  <c r="C35" i="9"/>
  <c r="C34" i="9"/>
  <c r="C42" i="40"/>
  <c r="C43" i="40"/>
  <c r="E47" i="40"/>
  <c r="F47" i="40" s="1"/>
  <c r="E46" i="40"/>
  <c r="F46" i="40" s="1"/>
  <c r="I47" i="40"/>
  <c r="J47" i="40" s="1"/>
  <c r="G14" i="74" l="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AB18" i="71"/>
  <c r="H112" i="9"/>
  <c r="D21" i="53" s="1"/>
  <c r="B39" i="72" s="1"/>
  <c r="C8" i="74"/>
  <c r="H111" i="9"/>
  <c r="D126" i="9" s="1"/>
  <c r="D19" i="53"/>
  <c r="B38" i="72" s="1"/>
  <c r="D20" i="53"/>
  <c r="B40" i="72"/>
  <c r="D127" i="9" l="1"/>
  <c r="D13" i="52" s="1"/>
  <c r="D12" i="52"/>
  <c r="B5" i="74"/>
  <c r="F14" i="74"/>
  <c r="D5" i="74" l="1"/>
  <c r="G118" i="9"/>
  <c r="G4" i="52" s="1"/>
  <c r="B52" i="72" s="1"/>
  <c r="F118" i="9"/>
  <c r="F119" i="9" s="1"/>
  <c r="F5" i="52" s="1"/>
  <c r="B53" i="72" s="1"/>
  <c r="F4" i="52"/>
  <c r="B51" i="72"/>
  <c r="I118" i="9"/>
  <c r="H118" i="9"/>
  <c r="H101" i="9"/>
  <c r="H107" i="9"/>
  <c r="M49" i="9"/>
  <c r="L68" i="9" l="1"/>
  <c r="M68" i="9" s="1"/>
  <c r="L65" i="9"/>
  <c r="M65" i="9" s="1"/>
  <c r="L66" i="9"/>
  <c r="M66" i="9" s="1"/>
  <c r="L64" i="9"/>
  <c r="M64" i="9" s="1"/>
  <c r="L63" i="9"/>
  <c r="M63" i="9" s="1"/>
  <c r="L67" i="9"/>
  <c r="M67" i="9" s="1"/>
  <c r="D122" i="9"/>
  <c r="D13" i="53"/>
  <c r="M48" i="9"/>
  <c r="D5" i="53"/>
  <c r="D45" i="9"/>
  <c r="H119" i="9"/>
  <c r="H5" i="52" s="1"/>
  <c r="C104" i="9"/>
  <c r="H4" i="52"/>
  <c r="C105" i="9"/>
  <c r="I4" i="52"/>
  <c r="H102" i="9"/>
  <c r="E118" i="9"/>
  <c r="E4" i="52" l="1"/>
  <c r="B48" i="72" s="1"/>
  <c r="D118" i="9"/>
  <c r="C5" i="74"/>
  <c r="D7" i="53"/>
  <c r="B21" i="72" s="1"/>
  <c r="H108" i="9"/>
  <c r="C78" i="9"/>
  <c r="C73" i="9" s="1"/>
  <c r="C93" i="9"/>
  <c r="C86" i="9" s="1"/>
  <c r="C85" i="9"/>
  <c r="C95" i="9" s="1"/>
  <c r="C64" i="9"/>
  <c r="C63" i="9" s="1"/>
  <c r="C67" i="9" s="1"/>
  <c r="C72" i="9"/>
  <c r="C79" i="9" s="1"/>
  <c r="D52" i="9"/>
  <c r="D53" i="9"/>
  <c r="D55" i="9"/>
  <c r="M53" i="9" s="1"/>
  <c r="B20" i="72"/>
  <c r="D6" i="53"/>
  <c r="B22" i="72" s="1"/>
  <c r="B30" i="72"/>
  <c r="D14" i="53"/>
  <c r="B32" i="72" s="1"/>
  <c r="D123" i="9"/>
  <c r="D9" i="52" s="1"/>
  <c r="D8" i="52"/>
  <c r="M69" i="9"/>
  <c r="N69" i="9" s="1"/>
  <c r="C80" i="9" l="1"/>
  <c r="D59" i="9"/>
  <c r="M55" i="9" s="1"/>
  <c r="C68" i="9"/>
  <c r="D54" i="9" s="1"/>
  <c r="C96" i="9"/>
  <c r="D15" i="53"/>
  <c r="B31" i="72" s="1"/>
  <c r="C6" i="74"/>
  <c r="D119" i="9"/>
  <c r="D5" i="52" s="1"/>
  <c r="B49" i="72" s="1"/>
  <c r="D4" i="52"/>
  <c r="B47" i="72" s="1"/>
  <c r="E96" i="9" l="1"/>
  <c r="E97" i="9" s="1"/>
  <c r="C97" i="9"/>
  <c r="D58" i="9" s="1"/>
  <c r="D56" i="9" s="1"/>
  <c r="M54" i="9" s="1"/>
  <c r="N57" i="9" s="1"/>
  <c r="E80" i="9"/>
  <c r="E81" i="9" s="1"/>
  <c r="C81" i="9"/>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337B721A-96F4-43FE-AEB0-D457B1FC2176}">
      <text>
        <r>
          <rPr>
            <b/>
            <sz val="9"/>
            <color indexed="81"/>
            <rFont val="宋体"/>
            <family val="3"/>
            <charset val="134"/>
          </rPr>
          <t>权重验证</t>
        </r>
        <r>
          <rPr>
            <sz val="9"/>
            <color indexed="81"/>
            <rFont val="宋体"/>
            <family val="3"/>
            <charset val="134"/>
          </rPr>
          <t xml:space="preserve">
</t>
        </r>
      </text>
    </comment>
    <comment ref="C59" authorId="1" shapeId="0" xr:uid="{3A0F6FA0-1C80-4048-A41F-6A35F480811E}">
      <text>
        <r>
          <rPr>
            <b/>
            <sz val="12"/>
            <color indexed="81"/>
            <rFont val="宋体"/>
            <family val="3"/>
            <charset val="134"/>
          </rPr>
          <t>价值时点所在月度</t>
        </r>
        <r>
          <rPr>
            <sz val="12"/>
            <color indexed="81"/>
            <rFont val="宋体"/>
            <family val="3"/>
            <charset val="134"/>
          </rPr>
          <t xml:space="preserve">
</t>
        </r>
      </text>
    </comment>
    <comment ref="B103" authorId="1" shapeId="0" xr:uid="{988C24DD-5772-4BA9-980D-19398EABF2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<sst xmlns="http://schemas.openxmlformats.org/spreadsheetml/2006/main" count="8199" uniqueCount="3428">
  <si>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</si>
  <si>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</si>
  <si>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</si>
  <si>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</si>
  <si>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</si>
  <si>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</si>
  <si>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</si>
  <si>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</si>
  <si>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</si>
  <si>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</si>
  <si>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</si>
  <si>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</si>
  <si>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</si>
  <si>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</si>
  <si>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</si>
  <si>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</si>
  <si>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</si>
  <si>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</si>
  <si>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</si>
  <si>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</si>
  <si>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</si>
  <si>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</si>
  <si>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</si>
  <si>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</si>
  <si>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</si>
  <si>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</si>
  <si>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</si>
  <si>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</si>
  <si>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</si>
  <si>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</si>
  <si>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</si>
  <si>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</si>
  <si>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</si>
  <si>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</si>
  <si>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</si>
  <si>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</si>
  <si>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</si>
  <si>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</si>
  <si>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</si>
  <si>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</si>
  <si>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</si>
  <si>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</si>
  <si>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</si>
  <si>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</si>
  <si>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</si>
  <si>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</si>
  <si>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</si>
  <si>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</si>
  <si>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</si>
  <si>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</si>
  <si>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</si>
  <si>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</si>
  <si>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</si>
  <si>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</si>
  <si>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</si>
  <si>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</si>
  <si>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</si>
  <si>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</si>
  <si>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</si>
  <si>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</si>
  <si>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</si>
  <si>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</si>
  <si>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</si>
  <si>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</si>
  <si>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</si>
  <si>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</si>
  <si>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</si>
  <si>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</si>
  <si>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</si>
  <si>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</si>
  <si>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</si>
  <si>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</si>
  <si>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</si>
  <si>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</si>
  <si>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</si>
  <si>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</si>
  <si>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</si>
  <si>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</si>
  <si>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</si>
  <si>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</si>
  <si>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</si>
  <si>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</si>
  <si>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</si>
  <si>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</si>
  <si>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</si>
  <si>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</si>
  <si>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</si>
  <si>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</si>
  <si>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</si>
  <si>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</si>
  <si>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</si>
  <si>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</si>
  <si>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</si>
  <si>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</si>
  <si>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</si>
  <si>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</si>
  <si>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</si>
  <si>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</si>
  <si>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</si>
  <si>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</si>
  <si>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</si>
  <si>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</si>
  <si>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</si>
  <si>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</si>
  <si>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</si>
  <si>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</si>
  <si>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</si>
  <si>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</si>
  <si>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</si>
  <si>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</si>
  <si>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</si>
  <si>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</si>
  <si>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</si>
  <si>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</si>
  <si>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</si>
  <si>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</si>
  <si>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</si>
  <si>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</si>
  <si>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</si>
  <si>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</si>
  <si>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</si>
  <si>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</si>
  <si>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</si>
  <si>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</si>
  <si>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</si>
  <si>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</si>
  <si>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</si>
  <si>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</si>
  <si>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</si>
  <si>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</si>
  <si>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</si>
  <si>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</si>
  <si>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</si>
  <si>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</si>
  <si>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</si>
  <si>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</si>
  <si>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</si>
  <si>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</si>
  <si>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</si>
  <si>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</si>
  <si>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</si>
  <si>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</si>
  <si>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</si>
  <si>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</si>
  <si>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</si>
  <si>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</si>
  <si>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</si>
  <si>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</si>
  <si>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</si>
  <si>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</si>
  <si>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</si>
  <si>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</si>
  <si>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</si>
  <si>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</si>
  <si>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</si>
  <si>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</si>
  <si>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</si>
  <si>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</si>
  <si>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</si>
  <si>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</si>
  <si>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</si>
  <si>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</si>
  <si>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</si>
  <si>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</si>
  <si>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</si>
  <si>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</si>
  <si>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</si>
  <si>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</si>
  <si>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</si>
  <si>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</si>
  <si>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</si>
  <si>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</si>
  <si>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</si>
  <si>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</si>
  <si>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</si>
  <si>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</si>
  <si>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</si>
  <si>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</si>
  <si>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</si>
  <si>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</si>
  <si>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</si>
  <si>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</si>
  <si>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</si>
  <si>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</si>
  <si>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</si>
  <si>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</si>
  <si>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</si>
  <si>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</si>
  <si>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</si>
  <si>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</si>
  <si>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</si>
  <si>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</si>
  <si>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</si>
  <si>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</si>
  <si>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</si>
  <si>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</si>
  <si>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</si>
  <si>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</si>
  <si>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</si>
  <si>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</si>
  <si>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</si>
  <si>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</si>
  <si>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</si>
  <si>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</si>
  <si>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</si>
  <si>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</si>
  <si>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</si>
  <si>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</si>
  <si>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</si>
  <si>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</si>
  <si>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</si>
  <si>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</si>
  <si>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</si>
  <si>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</si>
  <si>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</si>
  <si>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</si>
  <si>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</si>
  <si>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</si>
  <si>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</si>
  <si>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</si>
  <si>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</si>
  <si>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</si>
  <si>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</si>
  <si>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</si>
  <si>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</si>
  <si>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</si>
  <si>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</si>
  <si>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</si>
  <si>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</si>
  <si>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</si>
  <si>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</si>
  <si>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</si>
  <si>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</si>
  <si>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</si>
  <si>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</si>
  <si>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</si>
  <si>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</si>
  <si>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</si>
  <si>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</si>
  <si>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</si>
  <si>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</si>
  <si>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</si>
  <si>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</si>
  <si>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</si>
  <si>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</si>
  <si>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</si>
  <si>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</si>
  <si>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</si>
  <si>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</si>
  <si>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</si>
  <si>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</si>
  <si>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</si>
  <si>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</si>
  <si>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</si>
  <si>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</si>
  <si>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</si>
  <si>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</si>
  <si>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</si>
  <si>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</si>
  <si>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</si>
  <si>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</si>
  <si>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</si>
  <si>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</si>
  <si>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</si>
  <si>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</si>
  <si>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</si>
  <si>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</si>
  <si>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</si>
  <si>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</si>
  <si>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</si>
  <si>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</si>
  <si>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</si>
  <si>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</si>
  <si>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</si>
  <si>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</si>
  <si>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</si>
  <si>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</si>
  <si>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</si>
  <si>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</si>
  <si>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</si>
  <si>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</si>
  <si>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</si>
  <si>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</si>
  <si>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</si>
  <si>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</si>
  <si>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</si>
  <si>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</si>
  <si>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</si>
  <si>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</si>
  <si>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</si>
  <si>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</si>
  <si>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</si>
  <si>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</si>
  <si>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</si>
  <si>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</si>
  <si>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</si>
  <si>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</si>
  <si>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</si>
  <si>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</si>
  <si>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</si>
  <si>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</si>
  <si>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</si>
  <si>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</si>
  <si>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</si>
  <si>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</si>
  <si>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</si>
  <si>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</si>
  <si>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</si>
  <si>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</si>
  <si>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</si>
  <si>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</si>
  <si>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</si>
  <si>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</si>
  <si>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</si>
  <si>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</si>
  <si>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</si>
  <si>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</si>
  <si>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</si>
  <si>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</si>
  <si>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</si>
  <si>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</si>
  <si>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</si>
  <si>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</si>
  <si>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</si>
  <si>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</si>
  <si>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</si>
  <si>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</si>
  <si>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</si>
  <si>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</si>
  <si>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</si>
  <si>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</si>
  <si>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</si>
  <si>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</si>
  <si>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</si>
  <si>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</si>
  <si>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</si>
  <si>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</si>
  <si>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</si>
  <si>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</si>
  <si>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</si>
  <si>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</si>
  <si>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</si>
  <si>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</si>
  <si>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</si>
  <si>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</si>
  <si>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</si>
  <si>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</si>
  <si>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</si>
  <si>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</si>
  <si>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</si>
  <si>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</si>
  <si>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</si>
  <si>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</si>
  <si>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</si>
  <si>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</si>
  <si>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</si>
  <si>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</si>
  <si>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</si>
  <si>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</si>
  <si>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</si>
  <si>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</si>
  <si>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</si>
  <si>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</si>
  <si>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</si>
  <si>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</si>
  <si>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</si>
  <si>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</si>
  <si>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</si>
  <si>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</si>
  <si>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</si>
  <si>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</si>
  <si>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</si>
  <si>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</si>
  <si>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</si>
  <si>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</si>
  <si>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</si>
  <si>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</si>
  <si>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</si>
  <si>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</si>
  <si>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</si>
  <si>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</si>
  <si>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</si>
  <si>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</si>
  <si>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</si>
  <si>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</si>
  <si>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</si>
  <si>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</si>
  <si>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</si>
  <si>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</si>
  <si>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</si>
  <si>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</si>
  <si>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</si>
  <si>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</si>
  <si>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</si>
  <si>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</si>
  <si>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</si>
  <si>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</si>
  <si>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</si>
  <si>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</si>
  <si>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</si>
  <si>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</si>
  <si>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</si>
  <si>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</si>
  <si>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</si>
  <si>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</si>
  <si>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</si>
  <si>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</si>
  <si>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</si>
  <si>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</si>
  <si>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</si>
  <si>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</si>
  <si>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</si>
  <si>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</si>
  <si>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</si>
  <si>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</si>
  <si>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</si>
  <si>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</si>
  <si>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</si>
  <si>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</si>
  <si>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</si>
  <si>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</si>
  <si>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</si>
  <si>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</si>
  <si>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</si>
  <si>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</si>
  <si>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</si>
  <si>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</si>
  <si>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</si>
  <si>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</si>
  <si>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</si>
  <si>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</si>
  <si>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</si>
  <si>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</si>
  <si>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</si>
  <si>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</si>
  <si>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</si>
  <si>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</si>
  <si>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</si>
  <si>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</si>
  <si>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</si>
  <si>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</si>
  <si>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</si>
  <si>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</si>
  <si>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</si>
  <si>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</si>
  <si>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</si>
  <si>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</si>
  <si>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</si>
  <si>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</si>
  <si>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</si>
  <si>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</si>
  <si>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</si>
  <si>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</si>
  <si>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</si>
  <si>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</si>
  <si>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</si>
  <si>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</si>
  <si>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</si>
  <si>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</si>
  <si>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</si>
  <si>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</si>
  <si>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</si>
  <si>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</si>
  <si>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</si>
  <si>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</si>
  <si>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</si>
  <si>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</si>
  <si>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</si>
  <si>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</si>
  <si>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</si>
  <si>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</si>
  <si>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</si>
  <si>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</si>
  <si>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</si>
  <si>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</si>
  <si>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</si>
  <si>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</si>
  <si>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</si>
  <si>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</si>
  <si>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</si>
  <si>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</si>
  <si>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</si>
  <si>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</si>
  <si>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</si>
  <si>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</si>
  <si>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</si>
  <si>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</si>
  <si>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</si>
  <si>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</si>
  <si>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</si>
  <si>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</si>
  <si>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</si>
  <si>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</si>
  <si>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</si>
  <si>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</si>
  <si>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</si>
  <si>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</si>
  <si>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</si>
  <si>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</si>
  <si>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</si>
  <si>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</si>
  <si>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</si>
  <si>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</si>
  <si>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</si>
  <si>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</si>
  <si>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</si>
  <si>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</si>
  <si>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</si>
  <si>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</si>
  <si>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</si>
  <si>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</si>
  <si>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</si>
  <si>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</si>
  <si>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</si>
  <si>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</si>
  <si>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</si>
  <si>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</si>
  <si>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</si>
  <si>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</si>
  <si>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</si>
  <si>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</si>
  <si>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</si>
  <si>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</si>
  <si>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</si>
  <si>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</si>
  <si>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</si>
  <si>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</si>
  <si>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</si>
  <si>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</si>
  <si>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</si>
  <si>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</si>
  <si>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</si>
  <si>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</si>
  <si>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</si>
  <si>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</si>
  <si>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</si>
  <si>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</si>
  <si>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</si>
  <si>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</si>
  <si>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</si>
  <si>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</si>
  <si>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</si>
  <si>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</si>
  <si>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</si>
  <si>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</si>
  <si>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</si>
  <si>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</si>
  <si>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</si>
  <si>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</si>
  <si>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</si>
  <si>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</si>
  <si>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</si>
  <si>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</si>
  <si>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</si>
  <si>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</si>
  <si>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</si>
  <si>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</si>
  <si>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</si>
  <si>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</si>
  <si>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</si>
  <si>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</si>
  <si>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</si>
  <si>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</si>
  <si>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</si>
  <si>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</si>
  <si>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</si>
  <si>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</si>
  <si>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</si>
  <si>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</si>
  <si>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</si>
  <si>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</si>
  <si>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</si>
  <si>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</si>
  <si>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</si>
  <si>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</si>
  <si>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</si>
  <si>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</si>
  <si>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</si>
  <si>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</si>
  <si>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</si>
  <si>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</si>
  <si>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</si>
  <si>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</si>
  <si>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</si>
  <si>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</si>
  <si>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</si>
  <si>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</si>
  <si>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</si>
  <si>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</si>
  <si>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</si>
  <si>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</si>
  <si>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</si>
  <si>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</si>
  <si>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</si>
  <si>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</si>
  <si>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</si>
  <si>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</si>
  <si>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</si>
  <si>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</si>
  <si>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</si>
  <si>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</si>
  <si>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</si>
  <si>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</si>
  <si>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</si>
  <si>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</si>
  <si>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</si>
  <si>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</si>
  <si>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</si>
  <si>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</si>
  <si>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</si>
  <si>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</si>
  <si>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</si>
  <si>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</si>
  <si>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</si>
  <si>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</si>
  <si>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</si>
  <si>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</si>
  <si>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</si>
  <si>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</si>
  <si>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</si>
  <si>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</si>
  <si>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</si>
  <si>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</si>
  <si>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</si>
  <si>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</si>
  <si>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</si>
  <si>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</si>
  <si>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</si>
  <si>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</si>
  <si>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</si>
  <si>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</si>
  <si>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</si>
  <si>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</si>
  <si>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</si>
  <si>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</si>
  <si>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</si>
  <si>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</si>
  <si>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</si>
  <si>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</si>
  <si>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</si>
  <si>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</si>
  <si>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</si>
  <si>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</si>
  <si>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</si>
  <si>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</si>
  <si>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</si>
  <si>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</si>
  <si>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</si>
  <si>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</si>
  <si>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</si>
  <si>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</si>
  <si>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</si>
  <si>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</si>
  <si>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</si>
  <si>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</si>
  <si>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</si>
  <si>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</si>
  <si>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</si>
  <si>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</si>
  <si>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</si>
  <si>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</si>
  <si>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</si>
  <si>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</si>
  <si>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</si>
  <si>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</si>
  <si>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</si>
  <si>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</si>
  <si>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</si>
  <si>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</si>
  <si>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</si>
  <si>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</si>
  <si>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</si>
  <si>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</si>
  <si>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</si>
  <si>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</si>
  <si>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</si>
  <si>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</si>
  <si>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</si>
  <si>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</si>
  <si>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</si>
  <si>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</si>
  <si>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</si>
  <si>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</si>
  <si>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</si>
  <si>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</si>
  <si>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</si>
  <si>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</si>
  <si>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</si>
  <si>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</si>
  <si>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</si>
  <si>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</si>
  <si>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</si>
  <si>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</si>
  <si>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</si>
  <si>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</si>
  <si>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</si>
  <si>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</si>
  <si>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</si>
  <si>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</si>
  <si>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</si>
  <si>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</si>
  <si>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</si>
  <si>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</si>
  <si>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</si>
  <si>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</si>
  <si>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</si>
  <si>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</si>
  <si>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</si>
  <si>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</si>
  <si>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</si>
  <si>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</si>
  <si>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</si>
  <si>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</si>
  <si>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</si>
  <si>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</si>
  <si>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</si>
  <si>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</si>
  <si>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</si>
  <si>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</si>
  <si>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</si>
  <si>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</si>
  <si>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</si>
  <si>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</si>
  <si>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</si>
  <si>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</si>
  <si>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</si>
  <si>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</si>
  <si>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</si>
  <si>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</si>
  <si>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</si>
  <si>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</si>
  <si>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</si>
  <si>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</si>
  <si>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</si>
  <si>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</si>
  <si>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</si>
  <si>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</si>
  <si>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</si>
  <si>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</si>
  <si>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</si>
  <si>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</si>
  <si>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</si>
  <si>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</si>
  <si>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</si>
  <si>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</si>
  <si>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</si>
  <si>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</si>
  <si>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</si>
  <si>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</si>
  <si>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</si>
  <si>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</si>
  <si>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</si>
  <si>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</si>
  <si>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</si>
  <si>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</si>
  <si>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</si>
  <si>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</si>
  <si>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</si>
  <si>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</si>
  <si>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</si>
  <si>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</si>
  <si>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</si>
  <si>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</si>
  <si>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</si>
  <si>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</si>
  <si>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</si>
  <si>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</si>
  <si>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</si>
  <si>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</si>
  <si>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</si>
  <si>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</si>
  <si>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</si>
  <si>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</si>
  <si>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</si>
  <si>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</si>
  <si>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</si>
  <si>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</si>
  <si>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</si>
  <si>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</si>
  <si>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</si>
  <si>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</si>
  <si>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</si>
  <si>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</si>
  <si>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</si>
  <si>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</si>
  <si>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</si>
  <si>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</si>
  <si>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</si>
  <si>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</si>
  <si>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</si>
  <si>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</si>
  <si>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</si>
  <si>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</si>
  <si>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</si>
  <si>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</si>
  <si>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</si>
  <si>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</si>
  <si>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</si>
  <si>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</si>
  <si>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</si>
  <si>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</si>
  <si>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</si>
  <si>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</si>
  <si>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</si>
  <si>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</si>
  <si>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</si>
  <si>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</si>
  <si>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</si>
  <si>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</si>
  <si>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</si>
  <si>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</si>
  <si>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</si>
  <si>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</si>
  <si>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</si>
  <si>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</si>
  <si>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</si>
  <si>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</si>
  <si>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</si>
  <si>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</si>
  <si>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</si>
  <si>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</si>
  <si>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</si>
  <si>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</si>
  <si>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</si>
  <si>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</si>
  <si>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</si>
  <si>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</si>
  <si>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</si>
  <si>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</si>
  <si>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</si>
  <si>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</si>
  <si>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</si>
  <si>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</si>
  <si>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</si>
  <si>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</si>
  <si>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</si>
  <si>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</si>
  <si>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</si>
  <si>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</si>
  <si>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</si>
  <si>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</si>
  <si>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</si>
  <si>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</si>
  <si>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</si>
  <si>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</si>
  <si>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</si>
  <si>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</si>
  <si>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</si>
  <si>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</si>
  <si>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</si>
  <si>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</si>
  <si>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</si>
  <si>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</si>
  <si>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</si>
  <si>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</si>
  <si>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</si>
  <si>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</si>
  <si>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</si>
  <si>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</si>
  <si>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</si>
  <si>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</si>
  <si>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</si>
  <si>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</si>
  <si>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</si>
  <si>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</si>
  <si>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</si>
  <si>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</si>
  <si>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</si>
  <si>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</si>
  <si>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</si>
  <si>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</si>
  <si>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</si>
  <si>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</si>
  <si>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</si>
  <si>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</si>
  <si>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</si>
  <si>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</si>
  <si>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</si>
  <si>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</si>
  <si>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</si>
  <si>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</si>
  <si>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</si>
  <si>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</si>
  <si>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</si>
  <si>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</si>
  <si>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</si>
  <si>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</si>
  <si>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</si>
  <si>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</si>
  <si>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</si>
  <si>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</si>
  <si>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</si>
  <si>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</si>
  <si>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</si>
  <si>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</si>
  <si>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</si>
  <si>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</si>
  <si>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</si>
  <si>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</si>
  <si>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</si>
  <si>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</si>
  <si>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</si>
  <si>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</si>
  <si>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</si>
  <si>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</si>
  <si>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</si>
  <si>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</si>
  <si>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</si>
  <si>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</si>
  <si>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</si>
  <si>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</si>
  <si>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</si>
  <si>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</si>
  <si>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</si>
  <si>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</si>
  <si>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</si>
  <si>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</si>
  <si>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</si>
  <si>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</si>
  <si>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</si>
  <si>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</si>
  <si>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</si>
  <si>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</si>
  <si>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</si>
  <si>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</si>
  <si>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</si>
  <si>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</si>
  <si>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</si>
  <si>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</si>
  <si>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</si>
  <si>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</si>
  <si>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</si>
  <si>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</si>
  <si>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</si>
  <si>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</si>
  <si>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</si>
  <si>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</si>
  <si>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</si>
  <si>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</si>
  <si>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</si>
  <si>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</si>
  <si>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</si>
  <si>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</si>
  <si>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</si>
  <si>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</si>
  <si>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</si>
  <si>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</si>
  <si>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</si>
  <si>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</si>
  <si>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</si>
  <si>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</si>
  <si>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</si>
  <si>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</si>
  <si>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</si>
  <si>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</si>
  <si>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</si>
  <si>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</si>
  <si>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</si>
  <si>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</si>
  <si>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</si>
  <si>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</si>
  <si>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</si>
  <si>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</si>
  <si>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</si>
  <si>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</si>
  <si>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</si>
  <si>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</si>
  <si>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</si>
  <si>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</si>
  <si>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</si>
  <si>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</si>
  <si>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</si>
  <si>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</si>
  <si>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</si>
  <si>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</si>
  <si>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</si>
  <si>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</si>
  <si>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</si>
  <si>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</si>
  <si>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</si>
  <si>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</si>
  <si>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</si>
  <si>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</si>
  <si>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</si>
  <si>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</si>
  <si>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</si>
  <si>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</si>
  <si>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</si>
  <si>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</si>
  <si>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</si>
  <si>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</si>
  <si>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</si>
  <si>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</si>
  <si>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</si>
  <si>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</si>
  <si>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</si>
  <si>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</si>
  <si>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</si>
  <si>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</si>
  <si>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</si>
  <si>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</si>
  <si>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</si>
  <si>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</si>
  <si>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</si>
  <si>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</si>
  <si>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</si>
  <si>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</si>
  <si>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</si>
  <si>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</si>
  <si>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</si>
  <si>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</si>
  <si>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</si>
  <si>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</si>
  <si>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</si>
  <si>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</si>
  <si>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</si>
  <si>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</si>
  <si>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</si>
  <si>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</si>
  <si>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</si>
  <si>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</si>
  <si>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</si>
  <si>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</si>
  <si>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</si>
  <si>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</si>
  <si>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</si>
  <si>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</si>
  <si>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</si>
  <si>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</si>
  <si>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</si>
  <si>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</si>
  <si>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</si>
  <si>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</si>
  <si>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</si>
  <si>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</si>
  <si>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</si>
  <si>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</si>
  <si>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</si>
  <si>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</si>
  <si>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</si>
  <si>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</si>
  <si>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</si>
  <si>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</si>
  <si>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</si>
  <si>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</si>
  <si>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</si>
  <si>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</si>
  <si>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</si>
  <si>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</si>
  <si>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</si>
  <si>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</si>
  <si>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</si>
  <si>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</si>
  <si>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</si>
  <si>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</si>
  <si>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</si>
  <si>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</si>
  <si>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</si>
  <si>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</si>
  <si>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</si>
  <si>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</si>
  <si>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</si>
  <si>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</si>
  <si>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</si>
  <si>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</si>
  <si>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</si>
  <si>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</si>
  <si>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</si>
  <si>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</si>
  <si>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</si>
  <si>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</si>
  <si>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</si>
  <si>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</si>
  <si>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</si>
  <si>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</si>
  <si>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</si>
  <si>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</si>
  <si>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</si>
  <si>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</si>
  <si>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</si>
  <si>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</si>
  <si>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</si>
  <si>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</si>
  <si>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</si>
  <si>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</si>
  <si>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</si>
  <si>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</si>
  <si>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</si>
  <si>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</si>
  <si>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</si>
  <si>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</si>
  <si>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</si>
  <si>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</si>
  <si>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</si>
  <si>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</si>
  <si>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</si>
  <si>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</si>
  <si>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</si>
  <si>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</si>
  <si>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</si>
  <si>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</si>
  <si>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</si>
  <si>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</si>
  <si>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</si>
  <si>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</si>
  <si>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</si>
  <si>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</si>
  <si>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</si>
  <si>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</si>
  <si>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</si>
  <si>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</si>
  <si>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</si>
  <si>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</si>
  <si>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</si>
  <si>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</si>
  <si>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</si>
  <si>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</si>
  <si>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</si>
  <si>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</si>
  <si>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</si>
  <si>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</si>
  <si>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</si>
  <si>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</si>
  <si>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</si>
  <si>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</si>
  <si>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</si>
  <si>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</si>
  <si>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</si>
  <si>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</si>
  <si>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</si>
  <si>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</si>
  <si>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</si>
  <si>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</si>
  <si>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</si>
  <si>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</si>
  <si>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</si>
  <si>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</si>
  <si>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</si>
  <si>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</si>
  <si>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</si>
  <si>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</si>
  <si>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</si>
  <si>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</si>
  <si>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</si>
  <si>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</si>
  <si>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</si>
  <si>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</si>
  <si>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</si>
  <si>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</si>
  <si>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</si>
  <si>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</si>
  <si>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</si>
  <si>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</si>
  <si>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</si>
  <si>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</si>
  <si>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</si>
  <si>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</si>
  <si>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</si>
  <si>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</si>
  <si>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</si>
  <si>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</si>
  <si>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</si>
  <si>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</si>
  <si>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</si>
  <si>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</si>
  <si>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</si>
  <si>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</si>
  <si>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</si>
  <si>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</si>
  <si>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</si>
  <si>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</si>
  <si>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</si>
  <si>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</si>
  <si>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</si>
  <si>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</si>
  <si>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</si>
  <si>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</si>
  <si>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</si>
  <si>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</si>
  <si>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</si>
  <si>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</si>
  <si>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</si>
  <si>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</si>
  <si>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</si>
  <si>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</si>
  <si>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</si>
  <si>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</si>
  <si>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</si>
  <si>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</si>
  <si>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</si>
  <si>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</si>
  <si>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</si>
  <si>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</si>
  <si>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</si>
  <si>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</si>
  <si>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</si>
  <si>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</si>
  <si>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</si>
  <si>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</si>
  <si>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</si>
  <si>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</si>
  <si>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</si>
  <si>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</si>
  <si>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</si>
  <si>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</si>
  <si>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</si>
  <si>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</si>
  <si>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</si>
  <si>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</si>
  <si>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</si>
  <si>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</si>
  <si>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</si>
  <si>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</si>
  <si>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</si>
  <si>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</si>
  <si>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</si>
  <si>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</si>
  <si>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</si>
  <si>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</si>
  <si>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</si>
  <si>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</si>
  <si>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</si>
  <si>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</si>
  <si>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</si>
  <si>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</si>
  <si>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</si>
  <si>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</si>
  <si>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</si>
  <si>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</si>
  <si>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</si>
  <si>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</si>
  <si>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</si>
  <si>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</si>
  <si>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</si>
  <si>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</si>
  <si>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</si>
  <si>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</si>
  <si>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</si>
  <si>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</si>
  <si>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</si>
  <si>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</si>
  <si>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</si>
  <si>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</si>
  <si>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</si>
  <si>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</si>
  <si>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</si>
  <si>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</si>
  <si>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</si>
  <si>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</si>
  <si>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</si>
  <si>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</si>
  <si>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</si>
  <si>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</si>
  <si>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</si>
  <si>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</si>
  <si>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</si>
  <si>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</si>
  <si>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</si>
  <si>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</si>
  <si>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</si>
  <si>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</si>
  <si>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</si>
  <si>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</si>
  <si>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</si>
  <si>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</si>
  <si>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</si>
  <si>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</si>
  <si>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</si>
  <si>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</si>
  <si>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</si>
  <si>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</si>
  <si>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</si>
  <si>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</si>
  <si>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</si>
  <si>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</si>
  <si>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</si>
  <si>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</si>
  <si>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</si>
  <si>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</si>
  <si>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</si>
  <si>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</si>
  <si>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</si>
  <si>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</si>
  <si>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</si>
  <si>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</si>
  <si>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</si>
  <si>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</si>
  <si>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</si>
  <si>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</si>
  <si>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</si>
  <si>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</si>
  <si>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</si>
  <si>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</si>
  <si>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</si>
  <si>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</si>
  <si>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</si>
  <si>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</si>
  <si>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</si>
  <si>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</si>
  <si>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</si>
  <si>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</si>
  <si>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</si>
  <si>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</si>
  <si>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</si>
  <si>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</si>
  <si>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</si>
  <si>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</si>
  <si>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</si>
  <si>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</si>
  <si>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</si>
  <si>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</si>
  <si>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</si>
  <si>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</si>
  <si>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</si>
  <si>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</si>
  <si>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</si>
  <si>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</si>
  <si>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</si>
  <si>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</si>
  <si>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</si>
  <si>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</si>
  <si>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</si>
  <si>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</si>
  <si>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</si>
  <si>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</si>
  <si>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</si>
  <si>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</si>
  <si>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</si>
  <si>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</si>
  <si>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</si>
  <si>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</si>
  <si>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</si>
  <si>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</si>
  <si>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</si>
  <si>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</si>
  <si>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</si>
  <si>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</si>
  <si>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</si>
  <si>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</si>
  <si>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</si>
  <si>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</si>
  <si>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</si>
  <si>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</si>
  <si>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</si>
  <si>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</si>
  <si>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</si>
  <si>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</si>
  <si>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</si>
  <si>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</si>
  <si>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</si>
  <si>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</si>
  <si>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</si>
  <si>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</si>
  <si>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</si>
  <si>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</si>
  <si>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</si>
  <si>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</si>
  <si>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</si>
  <si>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</si>
  <si>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</si>
  <si>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</si>
  <si>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</si>
  <si>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</si>
  <si>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</si>
  <si>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</si>
  <si>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</si>
  <si>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</si>
  <si>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</si>
  <si>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</si>
  <si>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</si>
  <si>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</si>
  <si>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</si>
  <si>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</si>
  <si>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</si>
  <si>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</si>
  <si>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</si>
  <si>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</si>
  <si>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</si>
  <si>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</si>
  <si>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</si>
  <si>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</si>
  <si>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</si>
  <si>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</si>
  <si>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</si>
  <si>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</si>
  <si>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</si>
  <si>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</si>
  <si>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</si>
  <si>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</si>
  <si>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</si>
  <si>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</si>
  <si>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</si>
  <si>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</si>
  <si>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</si>
  <si>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</si>
  <si>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</si>
  <si>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</si>
  <si>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</si>
  <si>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</si>
  <si>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</si>
  <si>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</si>
  <si>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</si>
  <si>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</si>
  <si>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</si>
  <si>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</si>
  <si>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</si>
  <si>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</si>
  <si>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</si>
  <si>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</si>
  <si>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</si>
  <si>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</si>
  <si>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</si>
  <si>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</si>
  <si>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</si>
  <si>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</si>
  <si>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</si>
  <si>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</si>
  <si>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</si>
  <si>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</si>
  <si>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</si>
  <si>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</si>
  <si>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</si>
  <si>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</si>
  <si>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</si>
  <si>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</si>
  <si>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</si>
  <si>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</si>
  <si>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</si>
  <si>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</si>
  <si>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</si>
  <si>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</si>
  <si>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</si>
  <si>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</si>
  <si>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</si>
  <si>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</si>
  <si>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</si>
  <si>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</si>
  <si>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</si>
  <si>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</si>
  <si>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</si>
  <si>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</si>
  <si>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</si>
  <si>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</si>
  <si>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</si>
  <si>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</si>
  <si>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</si>
  <si>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</si>
  <si>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</si>
  <si>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</si>
  <si>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</si>
  <si>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</si>
  <si>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</si>
  <si>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</si>
  <si>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</si>
  <si>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</si>
  <si>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</si>
  <si>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</si>
  <si>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</si>
  <si>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</si>
  <si>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</si>
  <si>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</si>
  <si>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</si>
  <si>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</si>
  <si>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</si>
  <si>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</si>
  <si>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</si>
  <si>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</si>
  <si>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</si>
  <si>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</si>
  <si>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</si>
  <si>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</si>
  <si>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</si>
  <si>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</si>
  <si>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</si>
  <si>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</si>
  <si>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</si>
  <si>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</si>
  <si>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</si>
  <si>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</si>
  <si>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</si>
  <si>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</si>
  <si>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</si>
  <si>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</si>
  <si>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</si>
  <si>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</si>
  <si>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</si>
  <si>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</si>
  <si>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</si>
  <si>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</si>
  <si>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</si>
  <si>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</si>
  <si>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</si>
  <si>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</si>
  <si>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</si>
  <si>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</si>
  <si>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</si>
  <si>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</si>
  <si>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</si>
  <si>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</si>
  <si>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</si>
  <si>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</si>
  <si>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</si>
  <si>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</si>
  <si>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</si>
  <si>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</si>
  <si>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</si>
  <si>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</si>
  <si>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</si>
  <si>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</si>
  <si>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</si>
  <si>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</si>
  <si>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</si>
  <si>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</si>
  <si>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</si>
  <si>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</si>
  <si>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</si>
  <si>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</si>
  <si>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</si>
  <si>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</si>
  <si>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</si>
  <si>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</si>
  <si>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</si>
  <si>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</si>
  <si>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</si>
  <si>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</si>
  <si>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</si>
  <si>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</si>
  <si>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</si>
  <si>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</si>
  <si>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</si>
  <si>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</si>
  <si>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</si>
  <si>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</si>
  <si>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</si>
  <si>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</si>
  <si>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</si>
  <si>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</si>
  <si>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</si>
  <si>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</si>
  <si>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</si>
  <si>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</si>
  <si>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</si>
  <si>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</si>
  <si>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</si>
  <si>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</si>
  <si>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</si>
  <si>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</si>
  <si>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</si>
  <si>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</si>
  <si>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</si>
  <si>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</si>
  <si>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</si>
  <si>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</si>
  <si>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</si>
  <si>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</si>
  <si>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</si>
  <si>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</si>
  <si>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</si>
  <si>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</si>
  <si>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</si>
  <si>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</si>
  <si>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</si>
  <si>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</si>
  <si>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</si>
  <si>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</si>
  <si>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</si>
  <si>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</si>
  <si>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</si>
  <si>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</si>
  <si>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</si>
  <si>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</si>
  <si>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</si>
  <si>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</si>
  <si>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</si>
  <si>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</si>
  <si>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</si>
  <si>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</si>
  <si>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</si>
  <si>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</si>
  <si>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</si>
  <si>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</si>
  <si>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</si>
  <si>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</si>
  <si>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</si>
  <si>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</si>
  <si>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</si>
  <si>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</si>
  <si>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</si>
  <si>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</si>
  <si>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</si>
  <si>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</si>
  <si>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</si>
  <si>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</si>
  <si>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</si>
  <si>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</si>
  <si>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</si>
  <si>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</si>
  <si>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</si>
  <si>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</si>
  <si>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</si>
  <si>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</si>
  <si>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</si>
  <si>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</si>
  <si>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</si>
  <si>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</si>
  <si>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</si>
  <si>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</si>
  <si>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</si>
  <si>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</si>
  <si>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</si>
  <si>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</si>
  <si>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</si>
  <si>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</si>
  <si>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</si>
  <si>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</si>
  <si>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</si>
  <si>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</si>
  <si>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</si>
  <si>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</si>
  <si>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</si>
  <si>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</si>
  <si>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</si>
  <si>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</si>
  <si>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</si>
  <si>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</si>
  <si>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</si>
  <si>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</si>
  <si>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</si>
  <si>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</si>
  <si>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</si>
  <si>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</si>
  <si>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</si>
  <si>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</si>
  <si>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</si>
  <si>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</si>
  <si>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</si>
  <si>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</si>
  <si>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</si>
  <si>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</si>
  <si>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</si>
  <si>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</si>
  <si>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</si>
  <si>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</si>
  <si>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</si>
  <si>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</si>
  <si>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</si>
  <si>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</si>
  <si>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</si>
  <si>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</si>
  <si>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</si>
  <si>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</si>
  <si>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</si>
  <si>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</si>
  <si>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</si>
  <si>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</si>
  <si>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</si>
  <si>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</si>
  <si>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</si>
  <si>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</si>
  <si>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</si>
  <si>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</si>
  <si>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</si>
  <si>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</si>
  <si>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</si>
  <si>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</si>
  <si>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</si>
  <si>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</si>
  <si>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</si>
  <si>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</si>
  <si>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</si>
  <si>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</si>
  <si>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</si>
  <si>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</si>
  <si>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</si>
  <si>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</si>
  <si>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</si>
  <si>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</si>
  <si>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</si>
  <si>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</si>
  <si>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</si>
  <si>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</si>
  <si>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</si>
  <si>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</si>
  <si>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</si>
  <si>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</si>
  <si>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</si>
  <si>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</si>
  <si>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</si>
  <si>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</si>
  <si>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</si>
  <si>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</si>
  <si>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</si>
  <si>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</si>
  <si>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</si>
  <si>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</si>
  <si>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</si>
  <si>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</si>
  <si>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</si>
  <si>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</si>
  <si>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</si>
  <si>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</si>
  <si>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</si>
  <si>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</si>
  <si>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</si>
  <si>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</si>
  <si>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</si>
  <si>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</si>
  <si>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</si>
  <si>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</si>
  <si>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</si>
  <si>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</si>
  <si>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</si>
  <si>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</si>
  <si>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</si>
  <si>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</si>
  <si>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</si>
  <si>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</si>
  <si>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</si>
  <si>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</si>
  <si>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</si>
  <si>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</si>
  <si>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</si>
  <si>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</si>
  <si>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</si>
  <si>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</si>
  <si>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</si>
  <si>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</si>
  <si>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</si>
  <si>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</si>
  <si>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</si>
  <si>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</si>
  <si>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</si>
  <si>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</si>
  <si>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</si>
  <si>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</si>
  <si>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</si>
  <si>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</si>
  <si>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</si>
  <si>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</si>
  <si>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</si>
  <si>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</si>
  <si>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</si>
  <si>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</si>
  <si>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</si>
  <si>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</si>
  <si>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</si>
  <si>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</si>
  <si>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</si>
  <si>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</si>
  <si>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</si>
  <si>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</si>
  <si>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</si>
  <si>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</si>
  <si>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</si>
  <si>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</si>
  <si>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</si>
  <si>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</si>
  <si>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</si>
  <si>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</si>
  <si>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</si>
  <si>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</si>
  <si>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</si>
  <si>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</si>
  <si>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</si>
  <si>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</si>
  <si>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</si>
  <si>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</si>
  <si>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</si>
  <si>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</si>
  <si>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</si>
  <si>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</si>
  <si>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</si>
  <si>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</si>
  <si>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</si>
  <si>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</si>
  <si>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</si>
  <si>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</si>
  <si>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</si>
  <si>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</si>
  <si>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</si>
  <si>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</si>
  <si>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</si>
  <si>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</si>
  <si>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</si>
  <si>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</si>
  <si>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</si>
  <si>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</si>
  <si>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</si>
  <si>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</si>
  <si>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</si>
  <si>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</si>
  <si>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</si>
  <si>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</si>
  <si>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</si>
  <si>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</si>
  <si>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</si>
  <si>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</si>
  <si>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</si>
  <si>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</si>
  <si>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</si>
  <si>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</si>
  <si>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</si>
  <si>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</si>
  <si>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</si>
  <si>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</si>
  <si>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</si>
  <si>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</si>
  <si>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</si>
  <si>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</si>
  <si>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</si>
  <si>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</si>
  <si>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</si>
  <si>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</si>
  <si>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</si>
  <si>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</si>
  <si>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</si>
  <si>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</si>
  <si>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</si>
  <si>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</si>
  <si>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</si>
  <si>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</si>
  <si>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</si>
  <si>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</si>
  <si>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</si>
  <si>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</si>
  <si>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</si>
  <si>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</si>
  <si>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</si>
  <si>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</si>
  <si>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</si>
  <si>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</si>
  <si>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</si>
  <si>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</si>
  <si>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</si>
  <si>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</si>
  <si>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</si>
  <si>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</si>
  <si>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</si>
  <si>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</si>
  <si>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</si>
  <si>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</si>
  <si>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</si>
  <si>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</si>
  <si>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</si>
  <si>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</si>
  <si>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</si>
  <si>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</si>
  <si>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</si>
  <si>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</si>
  <si>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</si>
  <si>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</si>
  <si>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</si>
  <si>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</si>
  <si>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</si>
  <si>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</si>
  <si>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</si>
  <si>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</si>
  <si>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</si>
  <si>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</si>
  <si>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</si>
  <si>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</si>
  <si>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</si>
  <si>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</si>
  <si>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</si>
  <si>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</si>
  <si>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</si>
  <si>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</si>
  <si>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</si>
  <si>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</si>
  <si>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</si>
  <si>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</si>
  <si>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</si>
  <si>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</si>
  <si>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</si>
  <si>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</si>
  <si>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</si>
  <si>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</si>
  <si>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</si>
  <si>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</si>
  <si>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</si>
  <si>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</si>
  <si>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</si>
  <si>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</si>
  <si>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</si>
  <si>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</si>
  <si>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</si>
  <si>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</si>
  <si>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</si>
  <si>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</si>
  <si>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</si>
  <si>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</si>
  <si>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</si>
  <si>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</si>
  <si>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</si>
  <si>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</si>
  <si>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</si>
  <si>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</si>
  <si>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</si>
  <si>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</si>
  <si>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</si>
  <si>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</si>
  <si>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</si>
  <si>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</si>
  <si>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</si>
  <si>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</si>
  <si>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</si>
  <si>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</si>
  <si>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</si>
  <si>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</si>
  <si>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</si>
  <si>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</si>
  <si>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</si>
  <si>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</si>
  <si>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</si>
  <si>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</si>
  <si>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</si>
  <si>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</si>
  <si>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</si>
  <si>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</si>
  <si>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</si>
  <si>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</si>
  <si>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</si>
  <si>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</si>
  <si>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</si>
  <si>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</si>
  <si>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</si>
  <si>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</si>
  <si>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</si>
  <si>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</si>
  <si>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</si>
  <si>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</si>
  <si>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</si>
  <si>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</si>
  <si>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</si>
  <si>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</si>
  <si>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</si>
  <si>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</si>
  <si>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</si>
  <si>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</si>
  <si>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</si>
  <si>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</si>
  <si>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</si>
  <si>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</si>
  <si>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</si>
  <si>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</si>
  <si>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</si>
  <si>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</si>
  <si>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</si>
  <si>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</si>
  <si>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</si>
  <si>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</si>
  <si>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</si>
  <si>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</si>
  <si>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</si>
  <si>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</si>
  <si>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</si>
  <si>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</si>
  <si>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</si>
  <si>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</si>
  <si>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</si>
  <si>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</si>
  <si>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</si>
  <si>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</si>
  <si>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</si>
  <si>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</si>
  <si>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</si>
  <si>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</si>
  <si>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</si>
  <si>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</si>
  <si>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</si>
  <si>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</si>
  <si>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</si>
  <si>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</si>
  <si>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</si>
  <si>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</si>
  <si>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</si>
  <si>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</si>
  <si>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</si>
  <si>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</si>
  <si>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</si>
  <si>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</si>
  <si>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</si>
  <si>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</si>
  <si>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</si>
  <si>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</si>
  <si>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</si>
  <si>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</si>
  <si>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</si>
  <si>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</si>
  <si>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</si>
  <si>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</si>
  <si>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</si>
  <si>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</si>
  <si>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</si>
  <si>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</si>
  <si>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</si>
  <si>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</si>
  <si>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</si>
  <si>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</si>
  <si>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</si>
  <si>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</si>
  <si>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</si>
  <si>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</si>
  <si>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</si>
  <si>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</si>
  <si>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</si>
  <si>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</si>
  <si>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</si>
  <si>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</si>
  <si>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</si>
  <si>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</si>
  <si>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</si>
  <si>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</si>
  <si>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</si>
  <si>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</si>
  <si>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</si>
  <si>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</si>
  <si>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</si>
  <si>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</si>
  <si>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</si>
  <si>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</si>
  <si>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</si>
  <si>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</si>
  <si>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</si>
  <si>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</si>
  <si>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</si>
  <si>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</si>
  <si>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</si>
  <si>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</si>
  <si>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</si>
  <si>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</si>
  <si>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</si>
  <si>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</si>
  <si>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</si>
  <si>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</si>
  <si>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</si>
  <si>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</si>
  <si>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</si>
  <si>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</si>
  <si>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</si>
  <si>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</si>
  <si>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</si>
  <si>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</si>
  <si>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</si>
  <si>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</si>
  <si>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</si>
  <si>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</si>
  <si>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</si>
  <si>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</si>
  <si>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</si>
  <si>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</si>
  <si>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</si>
  <si>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</si>
  <si>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</si>
  <si>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</si>
  <si>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</si>
  <si>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</si>
  <si>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</si>
  <si>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</si>
  <si>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</si>
  <si>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</si>
  <si>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</si>
  <si>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</si>
  <si>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</si>
  <si>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</si>
  <si>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</si>
  <si>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</si>
  <si>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</si>
  <si>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</si>
  <si>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</si>
  <si>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</si>
  <si>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</si>
  <si>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</si>
  <si>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</si>
  <si>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</si>
  <si>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</si>
  <si>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</si>
  <si>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</si>
  <si>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</si>
  <si>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</si>
  <si>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</si>
  <si>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</si>
  <si>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</si>
  <si>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</si>
  <si>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</si>
  <si>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</si>
  <si>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</si>
  <si>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</si>
  <si>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</si>
  <si>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</si>
  <si>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</si>
  <si>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</si>
  <si>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</si>
  <si>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</si>
  <si>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</si>
  <si>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</si>
  <si>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</si>
  <si>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</si>
  <si>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</si>
  <si>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</si>
  <si>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</si>
  <si>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</si>
  <si>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</si>
  <si>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</si>
  <si>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</si>
  <si>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</si>
  <si>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</si>
  <si>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</si>
  <si>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</si>
  <si>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</si>
  <si>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</si>
  <si>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</si>
  <si>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</si>
  <si>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</si>
  <si>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</si>
  <si>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</si>
  <si>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</si>
  <si>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</si>
  <si>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</si>
  <si>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</si>
  <si>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</si>
  <si>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</si>
  <si>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</si>
  <si>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</si>
  <si>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</si>
  <si>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</si>
  <si>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</si>
  <si>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</si>
  <si>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</si>
  <si>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</si>
  <si>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</si>
  <si>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</si>
  <si>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</si>
  <si>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</si>
  <si>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</si>
  <si>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</si>
  <si>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</si>
  <si>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</si>
  <si>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</si>
  <si>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</si>
  <si>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</si>
  <si>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</si>
  <si>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</si>
  <si>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</si>
  <si>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</si>
  <si>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</si>
  <si>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</si>
  <si>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</si>
  <si>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</si>
  <si>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</si>
  <si>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</si>
  <si>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</si>
  <si>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</si>
  <si>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</si>
  <si>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</si>
  <si>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</si>
  <si>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</si>
  <si>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</si>
  <si>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</si>
  <si>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</si>
  <si>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</si>
  <si>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</si>
  <si>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</si>
  <si>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</si>
  <si>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</si>
  <si>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</si>
  <si>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</si>
  <si>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</si>
  <si>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</si>
  <si>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</si>
  <si>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</si>
  <si>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</si>
  <si>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</si>
  <si>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</si>
  <si>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</si>
  <si>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</si>
  <si>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</si>
  <si>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</si>
  <si>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</si>
  <si>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</si>
  <si>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</si>
  <si>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</si>
  <si>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</si>
  <si>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</si>
  <si>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</si>
  <si>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</si>
  <si>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</si>
  <si>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</si>
  <si>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</si>
  <si>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</si>
  <si>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</si>
  <si>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</si>
  <si>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</si>
  <si>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</si>
  <si>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</si>
  <si>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</si>
  <si>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</si>
  <si>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</si>
  <si>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</si>
  <si>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</si>
  <si>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</si>
  <si>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</si>
  <si>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</si>
  <si>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</si>
  <si>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</si>
  <si>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</si>
  <si>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</si>
  <si>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</si>
  <si>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</si>
  <si>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</si>
  <si>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</si>
  <si>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</si>
  <si>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</si>
  <si>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</si>
  <si>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</si>
  <si>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</si>
  <si>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</si>
  <si>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</si>
  <si>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</si>
  <si>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</si>
  <si>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</si>
  <si>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</si>
  <si>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</si>
  <si>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</si>
  <si>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</si>
  <si>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</si>
  <si>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</si>
  <si>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</si>
  <si>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</si>
  <si>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</si>
  <si>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</si>
  <si>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</si>
  <si>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</si>
  <si>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</si>
  <si>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</si>
  <si>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</si>
  <si>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</si>
  <si>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</si>
  <si>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</si>
  <si>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</si>
  <si>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</si>
  <si>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</si>
  <si>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</si>
  <si>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</si>
  <si>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</si>
  <si>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</si>
  <si>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</si>
  <si>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</si>
  <si>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</si>
  <si>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</si>
  <si>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</si>
  <si>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</si>
  <si>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</si>
  <si>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</si>
  <si>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</si>
  <si>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</si>
  <si>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</si>
  <si>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</si>
  <si>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</si>
  <si>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</si>
  <si>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</si>
  <si>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</si>
  <si>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</si>
  <si>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</si>
  <si>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</si>
  <si>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</si>
  <si>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</si>
  <si>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</si>
  <si>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</si>
  <si>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</si>
  <si>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</si>
  <si>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</si>
  <si>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</si>
  <si>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</si>
  <si>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</si>
  <si>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</si>
  <si>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</si>
  <si>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</si>
  <si>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</si>
  <si>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</si>
  <si>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</si>
  <si>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</si>
  <si>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</si>
  <si>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</si>
  <si>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</si>
  <si>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</si>
  <si>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</si>
  <si>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</si>
  <si>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</si>
  <si>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</si>
  <si>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</si>
  <si>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</si>
  <si>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</si>
  <si>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</si>
  <si>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</si>
  <si>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</si>
  <si>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</si>
  <si>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</si>
  <si>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</si>
  <si>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</si>
  <si>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</si>
  <si>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</si>
  <si>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</si>
  <si>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</si>
  <si>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</si>
  <si>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</si>
  <si>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</si>
  <si>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</si>
  <si>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</si>
  <si>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</si>
  <si>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</si>
  <si>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</si>
  <si>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</si>
  <si>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</si>
  <si>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</si>
  <si>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</si>
  <si>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</si>
  <si>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</si>
  <si>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</si>
  <si>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</si>
  <si>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</si>
  <si>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</si>
  <si>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</si>
  <si>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</si>
  <si>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</si>
  <si>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</si>
  <si>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</si>
  <si>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</si>
  <si>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</si>
  <si>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</si>
  <si>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</si>
  <si>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</si>
  <si>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</si>
  <si>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</si>
  <si>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</si>
  <si>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</si>
  <si>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</si>
  <si>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</si>
  <si>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</si>
  <si>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</si>
  <si>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</si>
  <si>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</si>
  <si>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</si>
  <si>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</si>
  <si>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</si>
  <si>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</si>
  <si>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</si>
  <si>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</si>
  <si>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</si>
  <si>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</si>
  <si>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</si>
  <si>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</si>
  <si>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</si>
  <si>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</si>
  <si>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</si>
  <si>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</si>
  <si>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</si>
  <si>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</si>
  <si>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</si>
  <si>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</si>
  <si>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</si>
  <si>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</si>
  <si>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</si>
  <si>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</si>
  <si>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</si>
  <si>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</si>
  <si>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</si>
  <si>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</si>
  <si>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</si>
  <si>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</si>
  <si>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</si>
  <si>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</si>
  <si>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</si>
  <si>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</si>
  <si>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</si>
  <si>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</si>
  <si>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</si>
  <si>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</si>
  <si>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</si>
  <si>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</si>
  <si>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</si>
  <si>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</si>
  <si>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</si>
  <si>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</si>
  <si>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</si>
  <si>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</si>
  <si>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</si>
  <si>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</si>
  <si>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</si>
  <si>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</si>
  <si>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</si>
  <si>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</si>
  <si>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</si>
  <si>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</si>
  <si>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</si>
  <si>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</si>
  <si>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</si>
  <si>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</si>
  <si>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</si>
  <si>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</si>
  <si>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</si>
  <si>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</si>
  <si>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</si>
  <si>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</si>
  <si>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</si>
  <si>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</si>
  <si>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</si>
  <si>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</si>
  <si>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</si>
  <si>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</si>
  <si>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</si>
  <si>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</si>
  <si>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</si>
  <si>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</si>
  <si>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</si>
  <si>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</si>
  <si>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</si>
  <si>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</si>
  <si>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</si>
  <si>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</si>
  <si>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</si>
  <si>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</si>
  <si>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</si>
  <si>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</si>
  <si>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</si>
  <si>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</si>
  <si>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</si>
  <si>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</si>
  <si>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</si>
  <si>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</si>
  <si>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</si>
  <si>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</si>
  <si>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</si>
  <si>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</si>
  <si>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</si>
  <si>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</si>
  <si>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</si>
  <si>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</si>
  <si>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</si>
  <si>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</si>
  <si>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</si>
  <si>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</si>
  <si>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</si>
  <si>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</si>
  <si>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</si>
  <si>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</si>
  <si>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</si>
  <si>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</si>
  <si>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</si>
  <si>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</si>
  <si>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</si>
  <si>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</si>
  <si>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</si>
  <si>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</si>
  <si>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</si>
  <si>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</si>
  <si>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</si>
  <si>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</si>
  <si>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</si>
  <si>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</si>
  <si>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</si>
  <si>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</si>
  <si>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</si>
  <si>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</si>
  <si>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</si>
  <si>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</si>
  <si>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</si>
  <si>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</si>
  <si>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</si>
  <si>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</si>
  <si>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</si>
  <si>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</si>
  <si>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</si>
  <si>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</si>
  <si>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</si>
  <si>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</si>
  <si>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</si>
  <si>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</si>
  <si>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</si>
  <si>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</si>
  <si>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</si>
  <si>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</si>
  <si>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</si>
  <si>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</si>
  <si>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</si>
  <si>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</si>
  <si>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</si>
  <si>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</si>
  <si>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</si>
  <si>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</si>
  <si>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</si>
  <si>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</si>
  <si>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</si>
  <si>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</si>
  <si>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</si>
  <si>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</si>
  <si>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</si>
  <si>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</si>
  <si>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</si>
  <si>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</si>
  <si>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</si>
  <si>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</si>
  <si>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</si>
  <si>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</si>
  <si>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</si>
  <si>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</si>
  <si>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</si>
  <si>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</si>
  <si>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</si>
  <si>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</si>
  <si>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</si>
  <si>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</si>
  <si>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</si>
  <si>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</si>
  <si>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</si>
  <si>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</si>
  <si>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</si>
  <si>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</si>
  <si>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</si>
  <si>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</si>
  <si>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</si>
  <si>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</si>
  <si>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</si>
  <si>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</si>
  <si>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</si>
  <si>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</si>
  <si>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</si>
  <si>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</si>
  <si>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</si>
  <si>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</si>
  <si>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</si>
  <si>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</si>
  <si>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</si>
  <si>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</si>
  <si>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</si>
  <si>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</si>
  <si>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</si>
  <si>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</si>
  <si>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</si>
  <si>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</si>
  <si>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</si>
  <si>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</si>
  <si>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</si>
  <si>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</si>
  <si>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</si>
  <si>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</si>
  <si>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</si>
  <si>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</si>
  <si>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</si>
  <si>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</si>
  <si>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</si>
  <si>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</si>
  <si>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</si>
  <si>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</si>
  <si>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</si>
  <si>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</si>
  <si>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</si>
  <si>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</si>
  <si>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</si>
  <si>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</si>
  <si>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</si>
  <si>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</si>
  <si>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</si>
  <si>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</si>
  <si>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</si>
  <si>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</si>
  <si>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</si>
  <si>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</si>
  <si>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</si>
  <si>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</si>
  <si>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</si>
  <si>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</si>
  <si>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</si>
  <si>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</si>
  <si>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</si>
  <si>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</si>
  <si>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</si>
  <si>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</si>
  <si>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</si>
  <si>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</si>
  <si>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</si>
  <si>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</si>
  <si>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</si>
  <si>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</si>
  <si>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</si>
  <si>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</si>
  <si>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</si>
  <si>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</si>
  <si>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</si>
  <si>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</si>
  <si>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</si>
  <si>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</si>
  <si>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</si>
  <si>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</si>
  <si>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</si>
  <si>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</si>
  <si>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</si>
  <si>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</si>
  <si>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</si>
  <si>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</si>
  <si>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</si>
  <si>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</si>
  <si>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</si>
  <si>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</si>
  <si>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</si>
  <si>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</si>
  <si>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</si>
  <si>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</si>
  <si>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</si>
  <si>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</si>
  <si>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</si>
  <si>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</si>
  <si>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</si>
  <si>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</si>
  <si>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</si>
  <si>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</si>
  <si>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</si>
  <si>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</si>
  <si>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</si>
  <si>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</si>
  <si>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</si>
  <si>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</si>
  <si>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</si>
  <si>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</si>
  <si>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</si>
  <si>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</si>
  <si>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</si>
  <si>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</si>
  <si>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</si>
  <si>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</si>
  <si>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</si>
  <si>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</si>
  <si>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</si>
  <si>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</si>
  <si>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</si>
  <si>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</si>
  <si>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</si>
  <si>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</si>
  <si>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</si>
  <si>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</si>
  <si>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</si>
  <si>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</si>
  <si>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</si>
  <si>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</si>
  <si>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</si>
  <si>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</si>
  <si>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</si>
  <si>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</si>
  <si>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</si>
  <si>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</si>
  <si>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</si>
  <si>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</si>
  <si>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</si>
  <si>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</si>
  <si>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</si>
  <si>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</si>
  <si>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</si>
  <si>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</si>
  <si>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</si>
  <si>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</si>
  <si>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</si>
  <si>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</si>
  <si>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</si>
  <si>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</si>
  <si>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</si>
  <si>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</si>
  <si>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</si>
  <si>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</si>
  <si>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</si>
  <si>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</si>
  <si>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</si>
  <si>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</si>
  <si>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</si>
  <si>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</si>
  <si>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</si>
  <si>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</si>
  <si>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</si>
  <si>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</si>
  <si>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</si>
  <si>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</si>
  <si>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</si>
  <si>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</si>
  <si>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</si>
  <si>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</si>
  <si>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</si>
  <si>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</si>
  <si>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</si>
  <si>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</si>
  <si>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</si>
  <si>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</si>
  <si>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</si>
  <si>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</si>
  <si>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</si>
  <si>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</si>
  <si>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</si>
  <si>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</si>
  <si>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</si>
  <si>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</si>
  <si>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</si>
  <si>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</si>
  <si>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</si>
  <si>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</si>
  <si>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</si>
  <si>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</si>
  <si>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</si>
  <si>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</si>
  <si>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</si>
  <si>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</si>
  <si>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</si>
  <si>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</si>
  <si>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</si>
  <si>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</si>
  <si>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</si>
  <si>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</si>
  <si>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</si>
  <si>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</si>
  <si>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</si>
  <si>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</si>
  <si>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</si>
  <si>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</si>
  <si>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</si>
  <si>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</si>
  <si>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</si>
  <si>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</si>
  <si>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</si>
  <si>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</si>
  <si>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</si>
  <si>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</si>
  <si>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</si>
  <si>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</si>
  <si>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</si>
  <si>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</si>
  <si>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</si>
  <si>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</si>
  <si>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</si>
  <si>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</si>
  <si>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</si>
  <si>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</si>
  <si>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</si>
  <si>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</si>
  <si>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</si>
  <si>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</si>
  <si>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</si>
  <si>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</si>
  <si>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</si>
  <si>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</si>
  <si>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</si>
  <si>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</si>
  <si>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</si>
  <si>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</si>
  <si>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</si>
  <si>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</si>
  <si>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</si>
  <si>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</si>
  <si>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</si>
  <si>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</si>
  <si>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</si>
  <si>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</si>
  <si>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</si>
  <si>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</si>
  <si>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</si>
  <si>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</si>
  <si>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</si>
  <si>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</si>
  <si>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</si>
  <si>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</si>
  <si>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</si>
  <si>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</si>
  <si>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</si>
  <si>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</si>
  <si>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</si>
  <si>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</si>
  <si>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</si>
  <si>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</si>
  <si>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</si>
  <si>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</si>
  <si>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</si>
  <si>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</si>
  <si>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</si>
  <si>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</si>
  <si>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</si>
  <si>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</si>
  <si>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</si>
  <si>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</si>
  <si>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</si>
  <si>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</si>
  <si>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</si>
  <si>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</si>
  <si>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</si>
  <si>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</si>
  <si>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</si>
  <si>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</si>
  <si>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</si>
  <si>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</si>
  <si>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</si>
  <si>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</si>
  <si>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</si>
  <si>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</si>
  <si>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</si>
  <si>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</si>
  <si>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</si>
  <si>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</si>
  <si>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</si>
  <si>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</si>
  <si>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</si>
  <si>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</si>
  <si>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</si>
  <si>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</si>
  <si>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</si>
  <si>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</si>
  <si>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</si>
  <si>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</si>
  <si>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</si>
  <si>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</si>
  <si>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</si>
  <si>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</si>
  <si>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</si>
  <si>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</si>
  <si>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</si>
  <si>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</si>
  <si>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</si>
  <si>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</si>
  <si>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</si>
  <si>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</si>
  <si>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</si>
  <si>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</si>
  <si>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</si>
  <si>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</si>
  <si>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</si>
  <si>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</si>
  <si>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</si>
  <si>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</si>
  <si>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</si>
  <si>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</si>
  <si>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</si>
  <si>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</si>
  <si>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</si>
  <si>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</si>
  <si>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</si>
  <si>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</si>
  <si>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</si>
  <si>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</si>
  <si>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</si>
  <si>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</si>
  <si>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</si>
  <si>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</si>
  <si>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</si>
  <si>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</si>
  <si>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</si>
  <si>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</si>
  <si>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</si>
  <si>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</si>
  <si>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</si>
  <si>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</si>
  <si>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</si>
  <si>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</si>
  <si>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</si>
  <si>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</si>
  <si>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</si>
  <si>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</si>
  <si>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</si>
  <si>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</si>
  <si>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</si>
  <si>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</si>
  <si>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</si>
  <si>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</si>
  <si>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</si>
  <si>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</si>
  <si>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</si>
  <si>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</si>
  <si>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</si>
  <si>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</si>
  <si>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</si>
  <si>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</si>
  <si>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</si>
  <si>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</si>
  <si>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</si>
  <si>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</si>
  <si>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</si>
  <si>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</si>
  <si>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</si>
  <si>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</si>
  <si>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</si>
  <si>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</si>
  <si>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</si>
  <si>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</si>
  <si>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</si>
  <si>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</si>
  <si>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</si>
  <si>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</si>
  <si>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</si>
  <si>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</si>
  <si>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</si>
  <si>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</si>
  <si>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</si>
  <si>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</si>
  <si>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</si>
  <si>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</si>
  <si>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</si>
  <si>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</si>
  <si>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</si>
  <si>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</si>
  <si>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</si>
  <si>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</si>
  <si>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</si>
  <si>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</si>
  <si>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</si>
  <si>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</si>
  <si>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</si>
  <si>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</si>
  <si>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</si>
  <si>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</si>
  <si>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</si>
  <si>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</si>
  <si>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</si>
  <si>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</si>
  <si>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</si>
  <si>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</si>
  <si>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</si>
  <si>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</si>
  <si>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</si>
  <si>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</si>
  <si>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</si>
  <si>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</si>
  <si>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</si>
  <si>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</si>
  <si>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</si>
  <si>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</si>
  <si>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</si>
  <si>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</si>
  <si>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</si>
  <si>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</si>
  <si>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</si>
  <si>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</si>
  <si>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</si>
  <si>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</si>
  <si>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</si>
  <si>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</si>
  <si>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</si>
  <si>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</si>
  <si>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</si>
  <si>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</si>
  <si>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</si>
  <si>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</si>
  <si>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</si>
  <si>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</si>
  <si>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</si>
  <si>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</si>
  <si>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</si>
  <si>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</si>
  <si>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</si>
  <si>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</si>
  <si>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</si>
  <si>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</si>
  <si>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</si>
  <si>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</si>
  <si>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</si>
  <si>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</si>
  <si>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</si>
  <si>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</si>
  <si>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</si>
  <si>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</si>
  <si>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</si>
  <si>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</si>
  <si>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</si>
  <si>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</si>
  <si>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</si>
  <si>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</si>
  <si>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</si>
  <si>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</si>
  <si>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</si>
  <si>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</si>
  <si>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</si>
  <si>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</si>
  <si>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</si>
  <si>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</si>
  <si>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</si>
  <si>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</si>
  <si>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</si>
  <si>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</si>
  <si>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</si>
  <si>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</si>
  <si>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</si>
  <si>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</si>
  <si>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</si>
  <si>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</si>
  <si>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</si>
  <si>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</si>
  <si>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</si>
  <si>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</si>
  <si>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</si>
  <si>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</si>
  <si>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</si>
  <si>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</si>
  <si>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</si>
  <si>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</si>
  <si>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</si>
  <si>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</si>
  <si>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</si>
  <si>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</si>
  <si>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</si>
  <si>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</si>
  <si>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</si>
  <si>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</si>
  <si>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</si>
  <si>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</si>
  <si>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</si>
  <si>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</si>
  <si>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</si>
  <si>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</si>
  <si>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</si>
  <si>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</si>
  <si>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</si>
  <si>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</si>
  <si>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</si>
  <si>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</si>
  <si>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</si>
  <si>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</si>
  <si>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</si>
  <si>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</si>
  <si>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</si>
  <si>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</si>
  <si>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</si>
  <si>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</si>
  <si>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</si>
  <si>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</si>
  <si>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</si>
  <si>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</si>
  <si>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</si>
  <si>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</si>
  <si>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</si>
  <si>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</si>
  <si>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</si>
  <si>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</si>
  <si>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</si>
  <si>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</si>
  <si>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</si>
  <si>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</si>
  <si>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</si>
  <si>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</si>
  <si>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</si>
  <si>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</si>
  <si>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</si>
  <si>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</si>
  <si>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</si>
  <si>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</si>
  <si>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</si>
  <si>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</si>
  <si>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</si>
  <si>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</si>
  <si>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</si>
  <si>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</si>
  <si>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</si>
  <si>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</si>
  <si>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</si>
  <si>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</si>
  <si>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</si>
  <si>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</si>
  <si>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</si>
  <si>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</si>
  <si>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</si>
  <si>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</si>
  <si>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</si>
  <si>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</si>
  <si>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</si>
  <si>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</si>
  <si>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</si>
  <si>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</si>
  <si>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</si>
  <si>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</si>
  <si>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</si>
  <si>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</si>
  <si>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</si>
  <si>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</si>
  <si>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</si>
  <si>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</si>
  <si>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</si>
  <si>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</si>
  <si>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</si>
  <si>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</si>
  <si>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</si>
  <si>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</si>
  <si>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</si>
  <si>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</si>
  <si>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</si>
  <si>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</si>
  <si>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</si>
  <si>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</si>
  <si>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</si>
  <si>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</si>
  <si>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</si>
  <si>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</si>
  <si>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</si>
  <si>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</si>
  <si>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</si>
  <si>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</si>
  <si>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</si>
  <si>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</si>
  <si>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</si>
  <si>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</si>
  <si>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</si>
  <si>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</si>
  <si>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</si>
  <si>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</si>
  <si>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</si>
  <si>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</si>
  <si>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</si>
  <si>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</si>
  <si>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</si>
  <si>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</si>
  <si>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</si>
  <si>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</si>
  <si>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</si>
  <si>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</si>
  <si>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</si>
  <si>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</si>
  <si>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</si>
  <si>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</si>
  <si>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</si>
  <si>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</si>
  <si>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</si>
  <si>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</si>
  <si>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</si>
  <si>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</si>
  <si>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</si>
  <si>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</si>
  <si>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</si>
  <si>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</si>
  <si>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</si>
  <si>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</si>
  <si>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</si>
  <si>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</si>
  <si>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</si>
  <si>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</si>
  <si>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</si>
  <si>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</si>
  <si>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</si>
  <si>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</si>
  <si>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</si>
  <si>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</si>
  <si>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</si>
  <si>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</si>
  <si>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</si>
  <si>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</si>
  <si>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</si>
  <si>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</si>
  <si>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</si>
  <si>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</si>
  <si>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</si>
  <si>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</si>
  <si>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</si>
  <si>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</si>
  <si>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</si>
  <si>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</si>
  <si>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</si>
  <si>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</si>
  <si>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</si>
  <si>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</si>
  <si>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</si>
  <si>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</si>
  <si>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</si>
  <si>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</si>
  <si>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</si>
  <si>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</si>
  <si>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</si>
  <si>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</si>
  <si>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</si>
  <si>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</si>
  <si>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</si>
  <si>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</si>
  <si>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</si>
  <si>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</si>
  <si>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</si>
  <si>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</si>
  <si>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</si>
  <si>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</si>
  <si>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</si>
  <si>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</si>
  <si>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</si>
  <si>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</si>
  <si>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</si>
  <si>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</si>
  <si>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</si>
  <si>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</si>
  <si>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</si>
  <si>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</si>
  <si>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</si>
  <si>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</si>
  <si>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</si>
  <si>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</si>
  <si>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</si>
  <si>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</si>
  <si>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</si>
  <si>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</si>
  <si>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</si>
  <si>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</si>
  <si>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</si>
  <si>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</si>
  <si>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</si>
  <si>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</si>
  <si>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</si>
  <si>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</si>
  <si>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</si>
  <si>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</si>
  <si>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</si>
  <si>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</si>
  <si>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</si>
  <si>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</si>
  <si>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</si>
  <si>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</si>
  <si>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</si>
  <si>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</si>
  <si>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</si>
  <si>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</si>
  <si>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</si>
  <si>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</si>
  <si>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</si>
  <si>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</si>
  <si>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</si>
  <si>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</si>
  <si>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</si>
  <si>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</si>
  <si>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</si>
  <si>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</si>
  <si>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</si>
  <si>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</si>
  <si>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</si>
  <si>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</si>
  <si>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</si>
  <si>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</si>
  <si>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</si>
  <si>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</si>
  <si>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</si>
  <si>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</si>
  <si>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</si>
  <si>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</si>
  <si>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</si>
  <si>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</si>
  <si>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</si>
  <si>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</si>
  <si>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</si>
  <si>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</si>
  <si>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</si>
  <si>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</si>
  <si>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</si>
  <si>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</si>
  <si>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</si>
  <si>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</si>
  <si>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</si>
  <si>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</si>
  <si>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</si>
  <si>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</si>
  <si>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</si>
  <si>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</si>
  <si>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</si>
  <si>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</si>
  <si>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</si>
  <si>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</si>
  <si>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</si>
  <si>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</si>
  <si>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</si>
  <si>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</si>
  <si>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</si>
  <si>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</si>
  <si>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</si>
  <si>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</si>
  <si>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</si>
  <si>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</si>
  <si>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</si>
  <si>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</si>
  <si>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</si>
  <si>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</si>
  <si>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</si>
  <si>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</si>
  <si>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</si>
  <si>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</si>
  <si>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</si>
  <si>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</si>
  <si>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</si>
  <si>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</si>
  <si>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</si>
  <si>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</si>
  <si>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</si>
  <si>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</si>
  <si>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</si>
  <si>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</si>
  <si>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</si>
  <si>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</si>
  <si>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</si>
  <si>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</si>
  <si>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</si>
  <si>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</si>
  <si>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</si>
  <si>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</si>
  <si>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</si>
  <si>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</si>
  <si>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</si>
  <si>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</si>
  <si>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</si>
  <si>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</si>
  <si>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</si>
  <si>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</si>
  <si>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</si>
  <si>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</si>
  <si>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</si>
  <si>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</si>
  <si>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</si>
  <si>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</si>
  <si>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</si>
  <si>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</si>
  <si>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</si>
  <si>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</si>
  <si>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</si>
  <si>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</si>
  <si>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</si>
  <si>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</si>
  <si>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</si>
  <si>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</si>
  <si>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</si>
  <si>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</si>
  <si>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</si>
  <si>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</si>
  <si>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</si>
  <si>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</si>
  <si>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</si>
  <si>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</si>
  <si>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</si>
  <si>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</si>
  <si>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</si>
  <si>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</si>
  <si>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</si>
  <si>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</si>
  <si>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</si>
  <si>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</si>
  <si>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</si>
  <si>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</si>
  <si>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</si>
  <si>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</si>
  <si>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</si>
  <si>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</si>
  <si>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</si>
  <si>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</si>
  <si>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</si>
  <si>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</si>
  <si>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</si>
  <si>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</si>
  <si>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</si>
  <si>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</si>
  <si>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</si>
  <si>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</si>
  <si>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</si>
  <si>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</si>
  <si>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</si>
  <si>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</si>
  <si>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</si>
  <si>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</si>
  <si>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</si>
  <si>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</si>
  <si>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</si>
  <si>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</si>
  <si>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</si>
  <si>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</si>
  <si>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</si>
  <si>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</si>
  <si>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</si>
  <si>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</si>
  <si>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</si>
  <si>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</si>
  <si>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</si>
  <si>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Ⅵ-兴1</t>
  </si>
  <si>
    <t>是</t>
  </si>
  <si>
    <t>地上</t>
  </si>
  <si>
    <t>办公</t>
    <phoneticPr fontId="7" type="noConversion"/>
  </si>
  <si>
    <t>成新度</t>
  </si>
  <si>
    <t>收益法 (元)</t>
  </si>
  <si>
    <t>利息：取LPR加浮动点数</t>
  </si>
  <si>
    <t>楼面单价</t>
  </si>
  <si>
    <t>成本比率</t>
  </si>
  <si>
    <t>成本法 (元)</t>
  </si>
  <si>
    <t>押一</t>
  </si>
  <si>
    <t>钢混</t>
  </si>
  <si>
    <t>非生产用房</t>
  </si>
  <si>
    <t>否</t>
  </si>
  <si>
    <t>商务金融用地</t>
  </si>
  <si>
    <t>自定义容积率</t>
  </si>
  <si>
    <t>不临65条商业街</t>
  </si>
  <si>
    <t>与级别开发程度一致</t>
  </si>
  <si>
    <t>中心城区以外</t>
  </si>
  <si>
    <t>一般</t>
  </si>
  <si>
    <t>较好</t>
  </si>
  <si>
    <t>好</t>
  </si>
  <si>
    <t>已包含在土地取得成本中</t>
  </si>
  <si>
    <t>单套模式</t>
  </si>
  <si>
    <t>售价</t>
  </si>
  <si>
    <t>较好</t>
    <phoneticPr fontId="24" type="noConversion"/>
  </si>
  <si>
    <t>七通</t>
  </si>
  <si>
    <t>七通</t>
    <phoneticPr fontId="24" type="noConversion"/>
  </si>
  <si>
    <t>一般</t>
    <phoneticPr fontId="24" type="noConversion"/>
  </si>
  <si>
    <t>挂牌</t>
  </si>
  <si>
    <t>挂牌</t>
    <phoneticPr fontId="31" type="noConversion"/>
  </si>
  <si>
    <t>正常</t>
  </si>
  <si>
    <t>办公</t>
    <phoneticPr fontId="31" type="noConversion"/>
  </si>
  <si>
    <r>
      <t>30-40</t>
    </r>
    <r>
      <rPr>
        <sz val="11"/>
        <color indexed="8"/>
        <rFont val="宋体"/>
        <family val="3"/>
        <charset val="134"/>
      </rPr>
      <t>（年）</t>
    </r>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</si>
  <si>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</si>
  <si>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</si>
  <si>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</si>
  <si>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</si>
  <si>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</si>
  <si>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</si>
  <si>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</si>
  <si>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</si>
  <si>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</si>
  <si>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</si>
  <si>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</si>
  <si>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甲级</t>
  </si>
  <si>
    <t>甲级</t>
    <phoneticPr fontId="31" type="noConversion"/>
  </si>
  <si>
    <t>专业</t>
  </si>
  <si>
    <t>专业</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</si>
  <si>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</si>
  <si>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</si>
  <si>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</si>
  <si>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</si>
  <si>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</si>
  <si>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</si>
  <si>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</si>
  <si>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嘉悦广场</t>
    <phoneticPr fontId="3" type="noConversion"/>
  </si>
  <si>
    <t>比较法-办公</t>
  </si>
  <si>
    <t>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</si>
</sst>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0" fillId="22" borderId="20" xfId="0" applyFont="1" applyFill="1" applyBorder="1" applyAlignment="1" applyProtection="1">
      <alignment vertical="center" wrapText="1"/>
      <protection locked="0"/>
    </xf>
    <xf numFmtId="0" fontId="51" fillId="22" borderId="54"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159" fillId="0" borderId="0" xfId="12" applyNumberFormat="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154824</xdr:rowOff>
    </xdr:to>
    <xdr:pic>
      <xdr:nvPicPr>
        <xdr:cNvPr id="3" name="图片 2">
          <a:extLst>
            <a:ext uri="{FF2B5EF4-FFF2-40B4-BE49-F238E27FC236}">
              <a16:creationId xmlns:a16="http://schemas.microsoft.com/office/drawing/2014/main" id="{128E622D-15DA-1AE5-8D67-CF263F9A4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98174"/>
        </a:xfrm>
        <a:prstGeom prst="rect">
          <a:avLst/>
        </a:prstGeom>
      </xdr:spPr>
    </xdr:pic>
    <xdr:clientData/>
  </xdr:twoCellAnchor>
  <xdr:twoCellAnchor editAs="oneCell">
    <xdr:from>
      <xdr:col>0</xdr:col>
      <xdr:colOff>0</xdr:colOff>
      <xdr:row>25</xdr:row>
      <xdr:rowOff>0</xdr:rowOff>
    </xdr:from>
    <xdr:to>
      <xdr:col>11</xdr:col>
      <xdr:colOff>228600</xdr:colOff>
      <xdr:row>51</xdr:row>
      <xdr:rowOff>152617</xdr:rowOff>
    </xdr:to>
    <xdr:pic>
      <xdr:nvPicPr>
        <xdr:cNvPr id="5" name="图片 4">
          <a:extLst>
            <a:ext uri="{FF2B5EF4-FFF2-40B4-BE49-F238E27FC236}">
              <a16:creationId xmlns:a16="http://schemas.microsoft.com/office/drawing/2014/main" id="{FF9E4C82-FEEE-6DED-E148-A1D91D3DE9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610317"/>
        </a:xfrm>
        <a:prstGeom prst="rect">
          <a:avLst/>
        </a:prstGeom>
      </xdr:spPr>
    </xdr:pic>
    <xdr:clientData/>
  </xdr:twoCellAnchor>
  <xdr:twoCellAnchor editAs="oneCell">
    <xdr:from>
      <xdr:col>0</xdr:col>
      <xdr:colOff>0</xdr:colOff>
      <xdr:row>53</xdr:row>
      <xdr:rowOff>0</xdr:rowOff>
    </xdr:from>
    <xdr:to>
      <xdr:col>11</xdr:col>
      <xdr:colOff>228600</xdr:colOff>
      <xdr:row>79</xdr:row>
      <xdr:rowOff>20986</xdr:rowOff>
    </xdr:to>
    <xdr:pic>
      <xdr:nvPicPr>
        <xdr:cNvPr id="7" name="图片 6">
          <a:extLst>
            <a:ext uri="{FF2B5EF4-FFF2-40B4-BE49-F238E27FC236}">
              <a16:creationId xmlns:a16="http://schemas.microsoft.com/office/drawing/2014/main" id="{211D371C-26A6-846C-9CFF-CB7E06DF43D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86850"/>
          <a:ext cx="7772400" cy="4478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25</xdr:row>
      <xdr:rowOff>73715</xdr:rowOff>
    </xdr:to>
    <xdr:pic>
      <xdr:nvPicPr>
        <xdr:cNvPr id="5" name="图片 4">
          <a:extLst>
            <a:ext uri="{FF2B5EF4-FFF2-40B4-BE49-F238E27FC236}">
              <a16:creationId xmlns:a16="http://schemas.microsoft.com/office/drawing/2014/main" id="{C8153E14-DB83-ADEC-A885-589902175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359965"/>
        </a:xfrm>
        <a:prstGeom prst="rect">
          <a:avLst/>
        </a:prstGeom>
      </xdr:spPr>
    </xdr:pic>
    <xdr:clientData/>
  </xdr:twoCellAnchor>
  <xdr:twoCellAnchor editAs="oneCell">
    <xdr:from>
      <xdr:col>0</xdr:col>
      <xdr:colOff>0</xdr:colOff>
      <xdr:row>26</xdr:row>
      <xdr:rowOff>0</xdr:rowOff>
    </xdr:from>
    <xdr:to>
      <xdr:col>11</xdr:col>
      <xdr:colOff>228600</xdr:colOff>
      <xdr:row>46</xdr:row>
      <xdr:rowOff>155684</xdr:rowOff>
    </xdr:to>
    <xdr:pic>
      <xdr:nvPicPr>
        <xdr:cNvPr id="7" name="图片 6">
          <a:extLst>
            <a:ext uri="{FF2B5EF4-FFF2-40B4-BE49-F238E27FC236}">
              <a16:creationId xmlns:a16="http://schemas.microsoft.com/office/drawing/2014/main" id="{43182377-5C3B-0F17-9B34-88AA0C289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7772400" cy="3584684"/>
        </a:xfrm>
        <a:prstGeom prst="rect">
          <a:avLst/>
        </a:prstGeom>
      </xdr:spPr>
    </xdr:pic>
    <xdr:clientData/>
  </xdr:twoCellAnchor>
  <xdr:twoCellAnchor editAs="oneCell">
    <xdr:from>
      <xdr:col>0</xdr:col>
      <xdr:colOff>0</xdr:colOff>
      <xdr:row>48</xdr:row>
      <xdr:rowOff>0</xdr:rowOff>
    </xdr:from>
    <xdr:to>
      <xdr:col>11</xdr:col>
      <xdr:colOff>228600</xdr:colOff>
      <xdr:row>71</xdr:row>
      <xdr:rowOff>104089</xdr:rowOff>
    </xdr:to>
    <xdr:pic>
      <xdr:nvPicPr>
        <xdr:cNvPr id="9" name="图片 8">
          <a:extLst>
            <a:ext uri="{FF2B5EF4-FFF2-40B4-BE49-F238E27FC236}">
              <a16:creationId xmlns:a16="http://schemas.microsoft.com/office/drawing/2014/main" id="{1FABEE94-03F0-B18F-2242-6CF8EF4F08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229600"/>
          <a:ext cx="7772400" cy="4047439"/>
        </a:xfrm>
        <a:prstGeom prst="rect">
          <a:avLst/>
        </a:prstGeom>
      </xdr:spPr>
    </xdr:pic>
    <xdr:clientData/>
  </xdr:twoCellAnchor>
  <xdr:twoCellAnchor editAs="oneCell">
    <xdr:from>
      <xdr:col>0</xdr:col>
      <xdr:colOff>0</xdr:colOff>
      <xdr:row>72</xdr:row>
      <xdr:rowOff>0</xdr:rowOff>
    </xdr:from>
    <xdr:to>
      <xdr:col>11</xdr:col>
      <xdr:colOff>228600</xdr:colOff>
      <xdr:row>89</xdr:row>
      <xdr:rowOff>33784</xdr:rowOff>
    </xdr:to>
    <xdr:pic>
      <xdr:nvPicPr>
        <xdr:cNvPr id="11" name="图片 10">
          <a:extLst>
            <a:ext uri="{FF2B5EF4-FFF2-40B4-BE49-F238E27FC236}">
              <a16:creationId xmlns:a16="http://schemas.microsoft.com/office/drawing/2014/main" id="{52CA0527-B0B7-86FC-AEC3-E2442CF5188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344400"/>
          <a:ext cx="7772400" cy="2948434"/>
        </a:xfrm>
        <a:prstGeom prst="rect">
          <a:avLst/>
        </a:prstGeom>
      </xdr:spPr>
    </xdr:pic>
    <xdr:clientData/>
  </xdr:twoCellAnchor>
  <xdr:twoCellAnchor editAs="oneCell">
    <xdr:from>
      <xdr:col>0</xdr:col>
      <xdr:colOff>0</xdr:colOff>
      <xdr:row>90</xdr:row>
      <xdr:rowOff>0</xdr:rowOff>
    </xdr:from>
    <xdr:to>
      <xdr:col>11</xdr:col>
      <xdr:colOff>228600</xdr:colOff>
      <xdr:row>111</xdr:row>
      <xdr:rowOff>64795</xdr:rowOff>
    </xdr:to>
    <xdr:pic>
      <xdr:nvPicPr>
        <xdr:cNvPr id="13" name="图片 12">
          <a:extLst>
            <a:ext uri="{FF2B5EF4-FFF2-40B4-BE49-F238E27FC236}">
              <a16:creationId xmlns:a16="http://schemas.microsoft.com/office/drawing/2014/main" id="{B95CD24C-30F1-8D88-38C9-2584ADFCE6B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5430500"/>
          <a:ext cx="7772400" cy="36652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3439;&#19994;&#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估价对象为北京市房地产，为所有。根据，估价对象（分摊）出让国有建设用地使用权面积为0平方米，建筑面积为173.72平方米。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估价对象为北京市房地产,属开发建设的，该项目尚在开发建设中。根据，估价对象（分摊）出让国有建设用地使用权面积为0平方米，规划建筑面积为173.72平方米。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2023年5月8日（评估专业人员实地查勘之日）</v>
      </c>
    </row>
    <row r="13" spans="1:2">
      <c r="A13" s="1119" t="s">
        <v>529</v>
      </c>
      <c r="B13" s="1120" t="str">
        <f>'预评函-1'!A18</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425</v>
      </c>
    </row>
    <row r="21" spans="1:2">
      <c r="A21" s="1119" t="s">
        <v>537</v>
      </c>
      <c r="B21" s="1120">
        <f ca="1">'预评函-2'!D7</f>
        <v>24473</v>
      </c>
    </row>
    <row r="22" spans="1:2">
      <c r="A22" s="1119" t="s">
        <v>538</v>
      </c>
      <c r="B22" s="1120" t="str">
        <f ca="1">'预评函-2'!D6</f>
        <v>肆佰贰拾伍万元整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425</v>
      </c>
    </row>
    <row r="31" spans="1:2">
      <c r="A31" s="1119" t="s">
        <v>576</v>
      </c>
      <c r="B31" s="1120">
        <f ca="1">'预评函-2'!D15</f>
        <v>24473</v>
      </c>
    </row>
    <row r="32" spans="1:2">
      <c r="A32" s="1119" t="s">
        <v>543</v>
      </c>
      <c r="B32" s="1120" t="str">
        <f ca="1">'预评函-2'!D14</f>
        <v>肆佰贰拾伍万元整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173.72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329</v>
      </c>
    </row>
    <row r="48" spans="1:2">
      <c r="A48" s="1119" t="s">
        <v>549</v>
      </c>
      <c r="B48" s="1120">
        <f ca="1">'预评函-3'!E4</f>
        <v>18967</v>
      </c>
    </row>
    <row r="49" spans="1:2">
      <c r="A49" s="1119" t="s">
        <v>550</v>
      </c>
      <c r="B49" s="1120" t="str">
        <f ca="1">'预评函-3'!D5</f>
        <v>叁佰贰拾玖万元整</v>
      </c>
    </row>
    <row r="50" spans="1:2">
      <c r="A50" s="1119" t="s">
        <v>574</v>
      </c>
      <c r="B50" s="1120" t="str">
        <f>'预评函-3'!F2</f>
        <v>在建建筑物价值</v>
      </c>
    </row>
    <row r="51" spans="1:2">
      <c r="A51" s="1119" t="s">
        <v>551</v>
      </c>
      <c r="B51" s="1120">
        <f ca="1">'预评函-3'!F4</f>
        <v>96</v>
      </c>
    </row>
    <row r="52" spans="1:2">
      <c r="A52" s="1119" t="s">
        <v>552</v>
      </c>
      <c r="B52" s="1120">
        <f ca="1">'预评函-3'!G4</f>
        <v>5506</v>
      </c>
    </row>
    <row r="53" spans="1:2">
      <c r="A53" s="1119" t="s">
        <v>580</v>
      </c>
      <c r="B53" s="1120" t="str">
        <f ca="1">'预评函-3'!F5</f>
        <v>玖拾陆万元整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2" sqref="C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2568</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2569</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2281</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45054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3.61</v>
      </c>
      <c r="D5" s="2768">
        <f>IF(ISERROR(ROUND(POWER(1+E5,A5-C5)*(POWER(1+E5,C5)-1)/(POWER(1+E5,A5)-1),3)),0,ROUND(POWER(1+E5,A5-C5)*(POWER(1+E5,C5)-1)/(POWER(1+E5,A5)-1),4))</f>
        <v>0.1668</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13.62</v>
      </c>
      <c r="D6" s="2768">
        <f>IF(ISERROR(ROUND(POWER(1+E6,A6-C6)*(POWER(1+E6,C6)-1)/(POWER(1+E6,A6)-1),3)),0,ROUND(POWER(1+E6,A6-C6)*(POWER(1+E6,C6)-1)/(POWER(1+E6,A6)-1),4))</f>
        <v>0.48159999999999997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33.64</v>
      </c>
      <c r="D7" s="2768">
        <f>IF(ISERROR(ROUND(POWER(1+E7,A7-C7)*(POWER(1+E7,C7)-1)/(POWER(1+E7,A7)-1),3)),0,ROUND(POWER(1+E7,A7-C7)*(POWER(1+E7,C7)-1)/(POWER(1+E7,A7)-1),4))</f>
        <v>0.78300000000000003</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3">
      <c r="A17" s="2763" t="s">
        <v>2508</v>
      </c>
      <c r="B17" s="2771">
        <v>4810</v>
      </c>
      <c r="C17" s="2765"/>
      <c r="D17" s="2761"/>
      <c r="E17" s="2761"/>
      <c r="F17" s="2762"/>
    </row>
    <row r="18" spans="1:13" ht="14.25" thickBot="1">
      <c r="A18" s="2773" t="s">
        <v>2507</v>
      </c>
      <c r="B18" s="2774">
        <f>ROUND(B17*F11/F12,2)</f>
        <v>5541.87</v>
      </c>
      <c r="C18" s="2774">
        <f>ROUND(F11/F12,4)</f>
        <v>1.1521999999999999</v>
      </c>
      <c r="D18" s="2775"/>
      <c r="E18" s="2775"/>
      <c r="F18" s="2776"/>
    </row>
    <row r="19" spans="1:13" ht="14.25" thickBot="1"/>
    <row r="20" spans="1:13" s="2809" customFormat="1" ht="14.25" thickTop="1">
      <c r="A20" s="2806" t="s">
        <v>2510</v>
      </c>
      <c r="B20" s="2807"/>
      <c r="C20" s="2807"/>
      <c r="D20" s="2807"/>
      <c r="E20" s="2807"/>
      <c r="F20" s="2807"/>
      <c r="G20" s="2808"/>
      <c r="I20" s="2810" t="s">
        <v>2555</v>
      </c>
      <c r="J20" s="2810" t="s">
        <v>2560</v>
      </c>
      <c r="K20" s="2810"/>
      <c r="L20" s="2810"/>
      <c r="M20" s="2810"/>
    </row>
    <row r="21" spans="1:13">
      <c r="A21" s="2777"/>
      <c r="B21" s="2778" t="s">
        <v>2511</v>
      </c>
      <c r="C21" s="2778" t="s">
        <v>2512</v>
      </c>
      <c r="D21" s="2778" t="s">
        <v>2513</v>
      </c>
      <c r="E21" s="2778" t="s">
        <v>2514</v>
      </c>
      <c r="F21" s="2778" t="s">
        <v>2515</v>
      </c>
      <c r="G21" s="2779" t="s">
        <v>2516</v>
      </c>
      <c r="I21" s="2800">
        <v>5</v>
      </c>
      <c r="J21" s="2800">
        <v>54.2</v>
      </c>
    </row>
    <row r="22" spans="1:13">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M23" s="2800" t="s">
        <v>2559</v>
      </c>
    </row>
    <row r="24" spans="1:13">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M24" s="2800">
        <v>10</v>
      </c>
    </row>
    <row r="25" spans="1:13">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M25" s="2800">
        <v>8</v>
      </c>
    </row>
    <row r="26" spans="1:13">
      <c r="A26" s="2782"/>
      <c r="B26" s="2783"/>
      <c r="C26" s="2783"/>
      <c r="D26" s="2783"/>
      <c r="E26" s="2783"/>
      <c r="F26" s="2783"/>
      <c r="G26" s="2784"/>
      <c r="I26" s="2800">
        <v>30</v>
      </c>
      <c r="J26" s="2800">
        <v>90.5</v>
      </c>
      <c r="K26" s="2800">
        <f t="shared" si="2"/>
        <v>4.2000000000000028</v>
      </c>
      <c r="L26" s="2800" t="s">
        <v>2562</v>
      </c>
      <c r="M26" s="2800">
        <v>5</v>
      </c>
    </row>
    <row r="27" spans="1:13">
      <c r="A27" s="2782" t="s">
        <v>2521</v>
      </c>
      <c r="B27" s="2783"/>
      <c r="C27" s="2783"/>
      <c r="D27" s="2783"/>
      <c r="E27" s="2783"/>
      <c r="F27" s="2783"/>
      <c r="G27" s="2784"/>
      <c r="I27" s="2800">
        <v>35</v>
      </c>
      <c r="J27" s="2800">
        <v>93.8</v>
      </c>
      <c r="K27" s="2800">
        <f t="shared" si="2"/>
        <v>3.2999999999999972</v>
      </c>
      <c r="L27" s="2800" t="s">
        <v>2563</v>
      </c>
      <c r="M27" s="2800">
        <v>3</v>
      </c>
    </row>
    <row r="28" spans="1:13">
      <c r="A28" s="2782" t="s">
        <v>2522</v>
      </c>
      <c r="B28" s="2783"/>
      <c r="C28" s="2783"/>
      <c r="D28" s="2783"/>
      <c r="E28" s="2783"/>
      <c r="F28" s="2783"/>
      <c r="G28" s="2784"/>
      <c r="I28" s="2800">
        <v>40</v>
      </c>
      <c r="J28" s="2800">
        <v>96.4</v>
      </c>
      <c r="K28" s="2800">
        <f t="shared" si="2"/>
        <v>2.6000000000000085</v>
      </c>
      <c r="L28" s="2800" t="s">
        <v>2564</v>
      </c>
      <c r="M28" s="2800">
        <v>2</v>
      </c>
    </row>
    <row r="29" spans="1:13">
      <c r="A29" s="2782" t="s">
        <v>2523</v>
      </c>
      <c r="B29" s="2783"/>
      <c r="C29" s="2783"/>
      <c r="D29" s="2783"/>
      <c r="E29" s="2783"/>
      <c r="F29" s="2783"/>
      <c r="G29" s="2784"/>
      <c r="I29" s="2800">
        <v>45</v>
      </c>
      <c r="J29" s="2800">
        <v>98.4</v>
      </c>
      <c r="K29" s="2800">
        <f t="shared" si="2"/>
        <v>2</v>
      </c>
    </row>
    <row r="30" spans="1:13">
      <c r="A30" s="2782" t="s">
        <v>2524</v>
      </c>
      <c r="B30" s="2783"/>
      <c r="C30" s="2783"/>
      <c r="D30" s="2783"/>
      <c r="E30" s="2783"/>
      <c r="F30" s="2783"/>
      <c r="G30" s="2784"/>
      <c r="I30" s="2800">
        <v>50</v>
      </c>
      <c r="J30" s="2800">
        <v>100</v>
      </c>
      <c r="K30" s="2800">
        <f t="shared" si="2"/>
        <v>1.5999999999999943</v>
      </c>
    </row>
    <row r="31" spans="1:13">
      <c r="A31" s="2782" t="s">
        <v>2525</v>
      </c>
      <c r="B31" s="2783"/>
      <c r="C31" s="2783"/>
      <c r="D31" s="2783"/>
      <c r="E31" s="2783"/>
      <c r="F31" s="2783"/>
      <c r="G31" s="2784"/>
      <c r="I31" s="2800" t="s">
        <v>2556</v>
      </c>
    </row>
    <row r="32" spans="1:13">
      <c r="A32" s="2782" t="s">
        <v>2526</v>
      </c>
      <c r="B32" s="2783"/>
      <c r="C32" s="2783"/>
      <c r="D32" s="2783"/>
      <c r="E32" s="2783"/>
      <c r="F32" s="2783"/>
      <c r="G32" s="2784"/>
    </row>
    <row r="33" spans="1:13">
      <c r="A33" s="2782" t="s">
        <v>2527</v>
      </c>
      <c r="B33" s="2783"/>
      <c r="C33" s="2783"/>
      <c r="D33" s="2783"/>
      <c r="E33" s="2783"/>
      <c r="F33" s="2783"/>
      <c r="G33" s="2784"/>
      <c r="I33" s="2800" t="s">
        <v>2555</v>
      </c>
      <c r="J33" s="2800" t="s">
        <v>2565</v>
      </c>
    </row>
    <row r="34" spans="1:13">
      <c r="A34" s="2782" t="s">
        <v>2528</v>
      </c>
      <c r="B34" s="2783"/>
      <c r="C34" s="2783"/>
      <c r="D34" s="2783"/>
      <c r="E34" s="2783"/>
      <c r="F34" s="2783"/>
      <c r="G34" s="2784"/>
      <c r="I34" s="2800">
        <v>5</v>
      </c>
      <c r="J34" s="2800">
        <v>55.1</v>
      </c>
    </row>
    <row r="35" spans="1:13">
      <c r="A35" s="2782" t="s">
        <v>2529</v>
      </c>
      <c r="B35" s="2783"/>
      <c r="C35" s="2783"/>
      <c r="D35" s="2783"/>
      <c r="E35" s="2783"/>
      <c r="F35" s="2783"/>
      <c r="G35" s="2784"/>
      <c r="I35" s="2800">
        <v>10</v>
      </c>
      <c r="J35" s="2800">
        <v>67</v>
      </c>
      <c r="K35" s="2800">
        <f>J35-J34</f>
        <v>11.899999999999999</v>
      </c>
    </row>
    <row r="36" spans="1:13">
      <c r="A36" s="2782" t="s">
        <v>2530</v>
      </c>
      <c r="B36" s="2783"/>
      <c r="C36" s="2783"/>
      <c r="D36" s="2783"/>
      <c r="E36" s="2783"/>
      <c r="F36" s="2783"/>
      <c r="G36" s="2784"/>
      <c r="I36" s="2800">
        <v>15</v>
      </c>
      <c r="J36" s="2800">
        <v>76.3</v>
      </c>
      <c r="K36" s="2800">
        <f t="shared" ref="K36:K41" si="3">J36-J35</f>
        <v>9.2999999999999972</v>
      </c>
      <c r="L36" s="2800" t="s">
        <v>2558</v>
      </c>
      <c r="M36" s="2800" t="s">
        <v>2559</v>
      </c>
    </row>
    <row r="37" spans="1:13">
      <c r="A37" s="2782" t="s">
        <v>2531</v>
      </c>
      <c r="B37" s="2783"/>
      <c r="C37" s="2783"/>
      <c r="D37" s="2783"/>
      <c r="E37" s="2783"/>
      <c r="F37" s="2783"/>
      <c r="G37" s="2784"/>
      <c r="I37" s="2800">
        <v>20</v>
      </c>
      <c r="J37" s="2800">
        <v>83.6</v>
      </c>
      <c r="K37" s="2800">
        <f t="shared" si="3"/>
        <v>7.2999999999999972</v>
      </c>
      <c r="L37" s="2800" t="s">
        <v>2557</v>
      </c>
      <c r="M37" s="2800">
        <v>10</v>
      </c>
    </row>
    <row r="38" spans="1:13">
      <c r="A38" s="2782" t="s">
        <v>2532</v>
      </c>
      <c r="B38" s="2783"/>
      <c r="C38" s="2783"/>
      <c r="D38" s="2783"/>
      <c r="E38" s="2783"/>
      <c r="F38" s="2783"/>
      <c r="G38" s="2784"/>
      <c r="I38" s="2800">
        <v>25</v>
      </c>
      <c r="J38" s="2800">
        <v>89.3</v>
      </c>
      <c r="K38" s="2800">
        <f t="shared" si="3"/>
        <v>5.7000000000000028</v>
      </c>
      <c r="L38" s="2800" t="s">
        <v>2561</v>
      </c>
      <c r="M38" s="2800">
        <v>8</v>
      </c>
    </row>
    <row r="39" spans="1:13">
      <c r="A39" s="2782"/>
      <c r="B39" s="2783"/>
      <c r="C39" s="2783"/>
      <c r="D39" s="2783"/>
      <c r="E39" s="2783"/>
      <c r="F39" s="2783"/>
      <c r="G39" s="2784"/>
      <c r="I39" s="2800">
        <v>30</v>
      </c>
      <c r="J39" s="2800">
        <v>93.8</v>
      </c>
      <c r="K39" s="2800">
        <f t="shared" si="3"/>
        <v>4.5</v>
      </c>
      <c r="L39" s="2800" t="s">
        <v>2562</v>
      </c>
      <c r="M39" s="2800">
        <v>6</v>
      </c>
    </row>
    <row r="40" spans="1:13">
      <c r="A40" s="2785" t="s">
        <v>2533</v>
      </c>
      <c r="B40" s="2786"/>
      <c r="C40" s="2786"/>
      <c r="D40" s="2786"/>
      <c r="E40" s="2786"/>
      <c r="F40" s="2786"/>
      <c r="G40" s="2787"/>
      <c r="I40" s="2800">
        <v>35</v>
      </c>
      <c r="J40" s="2800">
        <v>97.2</v>
      </c>
      <c r="K40" s="2800">
        <f t="shared" si="3"/>
        <v>3.4000000000000057</v>
      </c>
      <c r="L40" s="2800" t="s">
        <v>2563</v>
      </c>
      <c r="M40" s="2800">
        <v>3</v>
      </c>
    </row>
    <row r="41" spans="1:13">
      <c r="A41" s="2788" t="s">
        <v>2534</v>
      </c>
      <c r="B41" s="2789" t="s">
        <v>2535</v>
      </c>
      <c r="C41" s="2790" t="s">
        <v>2536</v>
      </c>
      <c r="D41" s="2790" t="s">
        <v>2537</v>
      </c>
      <c r="E41" s="2791"/>
      <c r="F41" s="2792"/>
      <c r="G41" s="2793"/>
      <c r="I41" s="2800">
        <v>40</v>
      </c>
      <c r="J41" s="2800">
        <v>100</v>
      </c>
      <c r="K41" s="2800">
        <f t="shared" si="3"/>
        <v>2.7999999999999972</v>
      </c>
    </row>
    <row r="42" spans="1:13">
      <c r="A42" s="2788" t="s">
        <v>2538</v>
      </c>
      <c r="B42" s="2789" t="s">
        <v>2539</v>
      </c>
      <c r="C42" s="2790" t="s">
        <v>2540</v>
      </c>
      <c r="D42" s="2794" t="s">
        <v>2541</v>
      </c>
      <c r="E42" s="2786" t="s">
        <v>2542</v>
      </c>
      <c r="F42" s="2786"/>
      <c r="G42" s="2787"/>
    </row>
    <row r="43" spans="1:13">
      <c r="A43" s="2788" t="s">
        <v>2543</v>
      </c>
      <c r="B43" s="2789" t="s">
        <v>2544</v>
      </c>
      <c r="C43" s="2790" t="s">
        <v>2545</v>
      </c>
      <c r="D43" s="2790" t="s">
        <v>2546</v>
      </c>
      <c r="E43" s="2791" t="s">
        <v>2547</v>
      </c>
      <c r="F43" s="2792"/>
      <c r="G43" s="2793"/>
      <c r="I43" s="2800" t="s">
        <v>2555</v>
      </c>
      <c r="J43" s="2800" t="s">
        <v>2566</v>
      </c>
    </row>
    <row r="44" spans="1:13">
      <c r="A44" s="2788" t="s">
        <v>2548</v>
      </c>
      <c r="B44" s="2789" t="s">
        <v>2549</v>
      </c>
      <c r="C44" s="2790" t="s">
        <v>2550</v>
      </c>
      <c r="D44" s="2794">
        <v>0.5</v>
      </c>
      <c r="E44" s="2791" t="s">
        <v>2551</v>
      </c>
      <c r="F44" s="2792"/>
      <c r="G44" s="2793"/>
      <c r="I44" s="2800">
        <v>30</v>
      </c>
      <c r="J44" s="2800">
        <v>81.7</v>
      </c>
    </row>
    <row r="45" spans="1:13" ht="14.25" thickBot="1">
      <c r="A45" s="2795" t="s">
        <v>2552</v>
      </c>
      <c r="B45" s="2796" t="s">
        <v>2539</v>
      </c>
      <c r="C45" s="2797" t="s">
        <v>2539</v>
      </c>
      <c r="D45" s="2797" t="s">
        <v>2553</v>
      </c>
      <c r="E45" s="2798" t="s">
        <v>2554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90" zoomScaleNormal="100" zoomScaleSheetLayoutView="90" workbookViewId="0">
      <selection activeCell="J9" sqref="J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1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45054</v>
      </c>
      <c r="C3" s="2186" t="s">
        <v>2171</v>
      </c>
      <c r="D3" s="2185">
        <f>B3</f>
        <v>45054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3365</v>
      </c>
      <c r="C8" s="2201"/>
      <c r="D8" s="3199" t="s">
        <v>2177</v>
      </c>
      <c r="E8" s="2202" t="s">
        <v>3366</v>
      </c>
      <c r="F8" s="2203"/>
      <c r="G8" s="2442"/>
      <c r="H8" s="2442"/>
      <c r="I8" s="2442"/>
      <c r="J8" s="2245"/>
      <c r="K8" s="2400"/>
      <c r="L8" s="2399"/>
      <c r="M8" s="2399"/>
      <c r="N8" s="2245"/>
      <c r="O8" s="1670"/>
      <c r="P8" s="2245"/>
      <c r="Q8" s="2245"/>
      <c r="R8" s="2245"/>
    </row>
    <row r="9" spans="1:30" ht="13.5" thickBot="1">
      <c r="A9" s="2204" t="s">
        <v>2178</v>
      </c>
      <c r="B9" s="2205" t="s">
        <v>3366</v>
      </c>
      <c r="C9" s="2206"/>
      <c r="D9" s="3200"/>
      <c r="E9" s="2205" t="s">
        <v>43</v>
      </c>
      <c r="F9" s="2207"/>
      <c r="G9" s="2443"/>
      <c r="H9" s="2443"/>
      <c r="I9" s="2443"/>
      <c r="J9" s="2245"/>
      <c r="K9" s="2402"/>
      <c r="L9" s="2399"/>
      <c r="M9" s="2399"/>
      <c r="N9" s="2245"/>
      <c r="O9" s="1670"/>
      <c r="P9" s="2245"/>
      <c r="Q9" s="2245"/>
      <c r="R9" s="2245"/>
    </row>
    <row r="10" spans="1:30" ht="13.5" thickTop="1">
      <c r="A10" s="2208" t="s">
        <v>2179</v>
      </c>
      <c r="B10" s="2209" t="s">
        <v>3367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3368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3324</v>
      </c>
      <c r="B13" s="2218" t="s">
        <v>2190</v>
      </c>
      <c r="C13" s="803"/>
      <c r="D13" s="803"/>
      <c r="E13" s="803">
        <v>58339</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36.39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6"/>
      <c r="C16" s="3207"/>
      <c r="D16" s="3208"/>
      <c r="E16" s="2222" t="s">
        <v>2194</v>
      </c>
      <c r="F16" s="3209"/>
      <c r="G16" s="3210"/>
      <c r="H16" s="3210"/>
      <c r="I16" s="3211"/>
      <c r="J16" s="2245"/>
      <c r="K16" s="2403"/>
      <c r="L16" s="1670"/>
      <c r="M16" s="1670"/>
      <c r="N16" s="2245"/>
      <c r="O16" s="1670"/>
      <c r="P16" s="2245"/>
      <c r="Q16" s="2245"/>
      <c r="R16" s="2245"/>
    </row>
    <row r="17" spans="1:28">
      <c r="A17" s="305" t="s">
        <v>2195</v>
      </c>
      <c r="B17" s="294" t="s">
        <v>2196</v>
      </c>
      <c r="C17" s="8">
        <f>'数据-汇总表'!E3</f>
        <v>173.72</v>
      </c>
      <c r="D17" s="1256" t="s">
        <v>2197</v>
      </c>
      <c r="E17" s="3212"/>
      <c r="F17" s="3213"/>
      <c r="G17" s="3213"/>
      <c r="H17" s="3213"/>
      <c r="I17" s="3214"/>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15"/>
      <c r="F18" s="3216"/>
      <c r="G18" s="3216"/>
      <c r="H18" s="3216"/>
      <c r="I18" s="3217"/>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02" t="s">
        <v>2204</v>
      </c>
      <c r="C20" s="3203"/>
      <c r="D20" s="3204" t="s">
        <v>2205</v>
      </c>
      <c r="E20" s="3205"/>
      <c r="F20" s="2430" t="s">
        <v>1056</v>
      </c>
      <c r="G20" s="2442"/>
      <c r="H20" s="2442"/>
      <c r="I20" s="2442"/>
      <c r="J20" s="2245"/>
      <c r="K20" s="320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c r="E21" s="2419" t="s">
        <v>1057</v>
      </c>
      <c r="F21" s="2431"/>
      <c r="G21" s="2442"/>
      <c r="H21" s="2442"/>
      <c r="I21" s="2442"/>
      <c r="J21" s="2245"/>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2208</v>
      </c>
      <c r="C22" s="2296" t="s">
        <v>1058</v>
      </c>
      <c r="D22" s="2442"/>
      <c r="E22" s="2442"/>
      <c r="F22" s="2442"/>
      <c r="G22" s="2442"/>
      <c r="H22" s="2442"/>
      <c r="I22" s="2442"/>
      <c r="J22" s="2245"/>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9" t="s">
        <v>2211</v>
      </c>
      <c r="B27" s="312" t="s">
        <v>2212</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2215</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2216</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18" t="s">
        <v>2225</v>
      </c>
      <c r="T34" s="315" t="str">
        <f>NUMBERSTRING(7-K34,1)&amp;"通"</f>
        <v>七通</v>
      </c>
      <c r="U34" s="2245"/>
      <c r="V34" s="2245"/>
    </row>
    <row r="35" spans="1:30">
      <c r="A35" s="2236"/>
      <c r="B35" s="3218" t="s">
        <v>2226</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2227</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c r="C38" s="2238" t="s">
        <v>3369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173.72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173.72</v>
      </c>
      <c r="H5" s="13">
        <f t="shared" ref="H5:AT5" si="0">SUM(H13:H656)</f>
        <v>173.72</v>
      </c>
      <c r="I5" s="13">
        <f t="shared" si="0"/>
        <v>173.72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173.72</v>
      </c>
      <c r="BA5" s="15">
        <f t="shared" si="1"/>
        <v>173.72</v>
      </c>
      <c r="BB5" s="15">
        <f t="shared" si="1"/>
        <v>173.72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3370</v>
      </c>
      <c r="E13" s="13">
        <f>IF($C$3="是",ROUND($A$3*G13/$B$3,2),ROUND($A$3*(G13-AT13)/$B$3,2))</f>
        <v>0</v>
      </c>
      <c r="F13" s="29"/>
      <c r="G13" s="30">
        <f>H13+AC13+AT13</f>
        <v>173.72</v>
      </c>
      <c r="H13" s="17">
        <f>SUMIF(I$12:AB$12,"总值",I13:AB13)</f>
        <v>173.72</v>
      </c>
      <c r="I13" s="1514">
        <v>173.72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173.72</v>
      </c>
      <c r="BA13" s="13">
        <f>SUM(BB13:BK13)</f>
        <v>173.72</v>
      </c>
      <c r="BB13" s="13">
        <f>IF($D13="是",I13-J13,0)</f>
        <v>173.72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173.72</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173.72</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3</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173.72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173.72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3372</v>
      </c>
      <c r="D19" s="43">
        <f>ROUND($D$3*E19/$E$3,2)</f>
        <v>0</v>
      </c>
      <c r="E19" s="51">
        <f t="shared" ref="E19:E26" si="1">SUM(F19:G19)</f>
        <v>173.72</v>
      </c>
      <c r="F19" s="2558">
        <f>'数据-基础表'!I13</f>
        <v>173.72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173.72</v>
      </c>
      <c r="F27" s="1072">
        <f>IF(SUM(F19:F26)=E8,SUM(F19:F26),"地上面积有误")</f>
        <v>173.72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173.72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173.72</v>
      </c>
      <c r="F31" s="644">
        <f>F27+F30</f>
        <v>173.72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45054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58339</v>
      </c>
      <c r="F6" s="61">
        <f>SUMIF(项目基本情况!C$12:I$12,C6,项目基本情况!C$15:I$15)</f>
        <v>36.39</v>
      </c>
      <c r="G6" s="62">
        <f>IF(ISERROR(ROUND(POWER(1+H6,D6-F6)*(POWER(1+H6,F6)-1)/(POWER(1+H6,D6)-1),3)),0,ROUND(POWER(1+H6,D6-F6)*(POWER(1+H6,F6)-1)/(POWER(1+H6,D6)-1),3))</f>
        <v>0.91</v>
      </c>
      <c r="H6" s="691">
        <v>0.05</v>
      </c>
      <c r="I6" s="691">
        <v>5.5E-2</v>
      </c>
      <c r="J6" s="63"/>
      <c r="K6" s="970">
        <f>SUMIF('数据-汇总表'!C$19:C$33,A6,'数据-汇总表'!E$19:E$33)</f>
        <v>173.72</v>
      </c>
      <c r="L6" s="692">
        <v>3500</v>
      </c>
      <c r="M6" s="64">
        <f t="shared" ref="M6:M14" si="0">ROUND(K6*L6/10000,0)</f>
        <v>61</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'比较法-办公 (租金)'!C49</f>
        <v>2.8</v>
      </c>
      <c r="V6" s="67">
        <v>0.03</v>
      </c>
      <c r="W6" s="67">
        <v>0.1</v>
      </c>
      <c r="X6" s="979"/>
      <c r="Y6" s="68">
        <f>N6</f>
        <v>0.85</v>
      </c>
      <c r="Z6" s="69"/>
      <c r="AA6" s="63"/>
      <c r="AB6" s="63"/>
      <c r="AC6" s="979"/>
      <c r="AD6" s="70"/>
      <c r="AE6" s="980">
        <f ca="1">IF(AN6="",0,SUMIF(INDIRECT("'"&amp;AN6&amp;"'"&amp;"!E:E"),$AE$5,INDIRECT("'"&amp;AN6&amp;"'"&amp;"!F:F")))</f>
        <v>36.39</v>
      </c>
      <c r="AF6" s="74"/>
      <c r="AG6" s="130">
        <f>IF(AF6="",0,AE6-AF6)</f>
        <v>0</v>
      </c>
      <c r="AH6" s="71"/>
      <c r="AI6" s="73">
        <v>365</v>
      </c>
      <c r="AJ6" s="74"/>
      <c r="AK6" s="75">
        <v>0.01</v>
      </c>
      <c r="AL6" s="76">
        <v>1E-3</v>
      </c>
      <c r="AM6" s="77">
        <v>0.01</v>
      </c>
      <c r="AN6" s="1589" t="s">
        <v>3374</v>
      </c>
      <c r="AO6" s="50">
        <f ca="1">SUMIF(INDIRECT("'"&amp;AN6&amp;"'"&amp;"!A:A"),"总价",INDIRECT("'"&amp;AN6&amp;"'"&amp;"!B:B"))</f>
        <v>323.90210000000002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v>
      </c>
      <c r="H16" s="84">
        <f>ROUND(SUMPRODUCT(H6:H13,K6:K13)/SUMPRODUCT((H6:H13&gt;0)*(K6:K13)),3)</f>
        <v>0.05</v>
      </c>
      <c r="I16" s="85"/>
      <c r="J16" s="85"/>
      <c r="K16" s="86">
        <f>SUM(K6:K15)</f>
        <v>173.72</v>
      </c>
      <c r="L16" s="87">
        <f>ROUND(M16*10000/SUM(K6:K14),0)</f>
        <v>3511</v>
      </c>
      <c r="M16" s="87">
        <f>SUM(M6:M14)</f>
        <v>61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2023-2014</f>
        <v>9</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f>51/60</f>
        <v>0.85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34744</v>
      </c>
      <c r="C29" s="2564" t="s">
        <v>2282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2286</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3375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2274</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2271</v>
      </c>
      <c r="D2" s="1595"/>
      <c r="E2" s="2260"/>
      <c r="F2" s="2263"/>
      <c r="G2" s="2262" t="s">
        <v>2272</v>
      </c>
      <c r="H2" s="751"/>
      <c r="I2" s="751"/>
      <c r="J2" s="751"/>
      <c r="K2" s="751"/>
      <c r="L2" s="751"/>
      <c r="M2" s="751"/>
      <c r="N2" s="751"/>
      <c r="O2" s="751"/>
      <c r="P2" s="751"/>
      <c r="Q2" s="751"/>
    </row>
    <row r="3" spans="1:29" ht="24">
      <c r="A3" s="2247" t="s">
        <v>2273</v>
      </c>
      <c r="B3" s="2264" t="s">
        <v>2249</v>
      </c>
      <c r="C3" s="2265"/>
      <c r="D3" s="2266"/>
      <c r="E3" s="2248" t="s">
        <v>2273</v>
      </c>
      <c r="F3" s="2267" t="s">
        <v>2250</v>
      </c>
      <c r="G3" s="2268"/>
      <c r="H3" s="751"/>
      <c r="I3" s="751"/>
      <c r="J3" s="751"/>
      <c r="K3" s="751"/>
      <c r="L3" s="751"/>
      <c r="M3" s="751"/>
      <c r="N3" s="751"/>
      <c r="O3" s="751"/>
      <c r="P3" s="751"/>
      <c r="Q3" s="751"/>
    </row>
    <row r="4" spans="1:29">
      <c r="A4" s="2248"/>
      <c r="B4" s="315" t="s">
        <v>2251</v>
      </c>
      <c r="C4" s="2269"/>
      <c r="D4" s="2266"/>
      <c r="E4" s="2270"/>
      <c r="F4" s="1281" t="s">
        <v>2252</v>
      </c>
      <c r="G4" s="2271"/>
      <c r="H4" s="751"/>
      <c r="I4" s="751"/>
      <c r="J4" s="751"/>
      <c r="K4" s="751"/>
      <c r="L4" s="751"/>
      <c r="M4" s="751"/>
      <c r="N4" s="751"/>
      <c r="O4" s="751"/>
      <c r="P4" s="751"/>
      <c r="Q4" s="751"/>
    </row>
    <row r="5" spans="1:29">
      <c r="A5" s="2248"/>
      <c r="B5" s="315" t="s">
        <v>2253</v>
      </c>
      <c r="C5" s="3145" t="s">
        <v>3394</v>
      </c>
      <c r="D5" s="2266"/>
      <c r="E5" s="2270"/>
      <c r="F5" s="315" t="s">
        <v>2254</v>
      </c>
      <c r="G5" s="2271"/>
      <c r="H5" s="751"/>
      <c r="I5" s="751"/>
      <c r="J5" s="751"/>
      <c r="K5" s="751"/>
      <c r="L5" s="751"/>
      <c r="M5" s="751"/>
      <c r="N5" s="751"/>
      <c r="O5" s="751"/>
      <c r="P5" s="751"/>
      <c r="Q5" s="751"/>
    </row>
    <row r="6" spans="1:29">
      <c r="A6" s="2248"/>
      <c r="B6" s="315" t="s">
        <v>2255</v>
      </c>
      <c r="C6" s="3146" t="s">
        <v>3394</v>
      </c>
      <c r="D6" s="2266"/>
      <c r="E6" s="2270"/>
      <c r="F6" s="315" t="s">
        <v>2256</v>
      </c>
      <c r="G6" s="2271"/>
      <c r="H6" s="751"/>
      <c r="I6" s="751"/>
      <c r="J6" s="751"/>
      <c r="K6" s="751"/>
      <c r="L6" s="751"/>
      <c r="M6" s="751"/>
      <c r="N6" s="751"/>
      <c r="O6" s="751"/>
      <c r="P6" s="751"/>
      <c r="Q6" s="751"/>
    </row>
    <row r="7" spans="1:29" ht="15" thickBot="1">
      <c r="A7" s="2248"/>
      <c r="B7" s="315" t="s">
        <v>2254</v>
      </c>
      <c r="C7" s="3146" t="s">
        <v>3394</v>
      </c>
      <c r="D7" s="2245"/>
      <c r="E7" s="2272"/>
      <c r="F7" s="2273" t="s">
        <v>2257</v>
      </c>
      <c r="G7" s="2274"/>
      <c r="H7" s="751"/>
      <c r="I7" s="751"/>
      <c r="J7" s="751"/>
      <c r="K7" s="751"/>
      <c r="L7" s="751"/>
      <c r="M7" s="751"/>
      <c r="N7" s="751"/>
      <c r="O7" s="751"/>
      <c r="P7" s="751"/>
      <c r="Q7" s="751"/>
    </row>
    <row r="8" spans="1:29">
      <c r="A8" s="2248"/>
      <c r="B8" s="315" t="s">
        <v>2256</v>
      </c>
      <c r="C8" s="3146" t="s">
        <v>3396</v>
      </c>
      <c r="D8" s="2245"/>
      <c r="E8" s="2245"/>
      <c r="F8" s="121"/>
      <c r="G8" s="121"/>
      <c r="H8" s="751"/>
      <c r="I8" s="751"/>
      <c r="J8" s="751"/>
      <c r="K8" s="751"/>
      <c r="L8" s="751"/>
      <c r="M8" s="751"/>
      <c r="N8" s="751"/>
      <c r="O8" s="751"/>
      <c r="P8" s="751"/>
      <c r="Q8" s="751"/>
    </row>
    <row r="9" spans="1:29">
      <c r="A9" s="2248"/>
      <c r="B9" s="315" t="s">
        <v>2258</v>
      </c>
      <c r="C9" s="3145" t="s">
        <v>3397</v>
      </c>
      <c r="D9" s="2266"/>
      <c r="E9" s="2245"/>
      <c r="F9" s="121"/>
      <c r="G9" s="121"/>
      <c r="H9" s="751"/>
      <c r="I9" s="751"/>
      <c r="J9" s="751"/>
      <c r="K9" s="751"/>
      <c r="L9" s="751"/>
      <c r="M9" s="751"/>
      <c r="N9" s="751"/>
      <c r="O9" s="751"/>
      <c r="P9" s="751"/>
      <c r="Q9" s="751"/>
    </row>
    <row r="10" spans="1:29" ht="15" thickBot="1">
      <c r="A10" s="2249"/>
      <c r="B10" s="2275" t="s">
        <v>2259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2275</v>
      </c>
      <c r="B13" s="2280"/>
      <c r="C13" s="2280"/>
      <c r="D13" s="2279"/>
      <c r="E13" s="2280"/>
      <c r="F13" s="2280"/>
      <c r="G13" s="2280"/>
    </row>
    <row r="14" spans="1:29" ht="15" thickBot="1">
      <c r="A14" s="2285"/>
      <c r="B14" s="2285"/>
      <c r="C14" s="2286" t="s">
        <v>2260</v>
      </c>
      <c r="D14" s="2266"/>
      <c r="E14" s="2287"/>
      <c r="F14" s="2287"/>
      <c r="G14" s="2262" t="s">
        <v>2261</v>
      </c>
    </row>
    <row r="15" spans="1:29" ht="24">
      <c r="A15" s="2250" t="s">
        <v>2262</v>
      </c>
      <c r="B15" s="2288" t="s">
        <v>2249</v>
      </c>
      <c r="C15" s="2289">
        <f>C3</f>
        <v>0</v>
      </c>
      <c r="D15" s="2266"/>
      <c r="E15" s="2251" t="s">
        <v>2263</v>
      </c>
      <c r="F15" s="2288" t="s">
        <v>2264</v>
      </c>
      <c r="G15" s="2290">
        <f>G3</f>
        <v>0</v>
      </c>
    </row>
    <row r="16" spans="1:29">
      <c r="A16" s="2252"/>
      <c r="B16" s="2291" t="s">
        <v>2251</v>
      </c>
      <c r="C16" s="2292">
        <f>C4</f>
        <v>0</v>
      </c>
      <c r="D16" s="2266"/>
      <c r="E16" s="2253"/>
      <c r="F16" s="2293" t="s">
        <v>2252</v>
      </c>
      <c r="G16" s="2294">
        <f>G4</f>
        <v>0</v>
      </c>
    </row>
    <row r="17" spans="1:17">
      <c r="A17" s="2252"/>
      <c r="B17" s="2291" t="s">
        <v>2253</v>
      </c>
      <c r="C17" s="2292" t="str">
        <f>C5</f>
        <v>较好</v>
      </c>
      <c r="D17" s="2245"/>
      <c r="E17" s="2253"/>
      <c r="F17" s="2293" t="s">
        <v>2265</v>
      </c>
      <c r="G17" s="2295"/>
    </row>
    <row r="18" spans="1:17">
      <c r="A18" s="2252"/>
      <c r="B18" s="2293" t="s">
        <v>2255</v>
      </c>
      <c r="C18" s="2294" t="str">
        <f>C6</f>
        <v>较好</v>
      </c>
      <c r="D18" s="2245"/>
      <c r="E18" s="2253"/>
      <c r="F18" s="2293" t="s">
        <v>2257</v>
      </c>
      <c r="G18" s="2294">
        <f>G7</f>
        <v>0</v>
      </c>
    </row>
    <row r="19" spans="1:17">
      <c r="A19" s="2252"/>
      <c r="B19" s="2293" t="s">
        <v>2266</v>
      </c>
      <c r="C19" s="2295"/>
      <c r="D19" s="2266"/>
      <c r="E19" s="2253"/>
      <c r="F19" s="315" t="s">
        <v>2254</v>
      </c>
      <c r="G19" s="2294">
        <f>G5</f>
        <v>0</v>
      </c>
    </row>
    <row r="20" spans="1:17">
      <c r="A20" s="2252"/>
      <c r="B20" s="2293" t="s">
        <v>2267</v>
      </c>
      <c r="C20" s="2292" t="str">
        <f>C9</f>
        <v>一般</v>
      </c>
      <c r="D20" s="2245"/>
      <c r="E20" s="2253"/>
      <c r="F20" s="315" t="s">
        <v>2256</v>
      </c>
      <c r="G20" s="2294">
        <f>G6</f>
        <v>0</v>
      </c>
    </row>
    <row r="21" spans="1:17">
      <c r="A21" s="2252"/>
      <c r="B21" s="315" t="s">
        <v>2254</v>
      </c>
      <c r="C21" s="2294" t="str">
        <f>C7</f>
        <v>较好</v>
      </c>
      <c r="D21" s="2266"/>
      <c r="E21" s="2253"/>
      <c r="F21" s="2293" t="s">
        <v>2268</v>
      </c>
      <c r="G21" s="2296"/>
    </row>
    <row r="22" spans="1:17" ht="13.5" customHeight="1">
      <c r="A22" s="2252"/>
      <c r="B22" s="315" t="s">
        <v>2256</v>
      </c>
      <c r="C22" s="2294" t="str">
        <f>C8</f>
        <v>七通</v>
      </c>
      <c r="D22" s="2266"/>
      <c r="E22" s="2253"/>
      <c r="F22" s="2293" t="s">
        <v>2259</v>
      </c>
      <c r="G22" s="2295"/>
    </row>
    <row r="23" spans="1:17" s="751" customFormat="1" ht="15" thickBot="1">
      <c r="A23" s="2252"/>
      <c r="B23" s="2293" t="s">
        <v>2268</v>
      </c>
      <c r="C23" s="2296"/>
      <c r="D23" s="1614"/>
      <c r="E23" s="2254"/>
      <c r="F23" s="2297" t="s">
        <v>2269</v>
      </c>
      <c r="G23" s="2298"/>
      <c r="H23" s="2277"/>
      <c r="I23" s="2277"/>
      <c r="J23" s="2277"/>
      <c r="K23" s="2277"/>
      <c r="L23" s="2277"/>
      <c r="M23" s="2277"/>
      <c r="N23" s="2277"/>
      <c r="O23" s="2277"/>
      <c r="P23" s="2277"/>
      <c r="Q23" s="2277"/>
    </row>
    <row r="24" spans="1:17" s="751" customFormat="1" ht="15" thickBot="1">
      <c r="A24" s="2255"/>
      <c r="B24" s="2297" t="s">
        <v>2270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8"/>
  <sheetViews>
    <sheetView view="pageBreakPreview" zoomScale="80" zoomScaleNormal="80" zoomScaleSheetLayoutView="80" workbookViewId="0">
      <selection activeCell="D28" sqref="D2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173.72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45054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425</v>
      </c>
      <c r="C5" s="2300">
        <f ca="1">IF(B5=D14,结果表!H102,ROUND(B5*10000/$B$1,0))</f>
        <v>24473</v>
      </c>
      <c r="D5" s="2300" t="e">
        <f ca="1">ROUND(B5*10000/$B$2,0)</f>
        <v>#DIV/0!</v>
      </c>
      <c r="E5" s="2462"/>
      <c r="F5" s="2463"/>
      <c r="G5" s="2463"/>
      <c r="H5" s="2463"/>
      <c r="I5" s="2463"/>
      <c r="J5" s="2463"/>
      <c r="K5" s="2463"/>
    </row>
    <row r="6" spans="1:11" ht="16.5">
      <c r="A6" s="2300" t="s">
        <v>656</v>
      </c>
      <c r="B6" s="2300">
        <f ca="1">SUM(G14:G23)</f>
        <v>425</v>
      </c>
      <c r="C6" s="2300">
        <f ca="1">IF(B6=G14,结果表!H108,ROUND(B6*10000/$B$1,0))</f>
        <v>24473</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173.72</v>
      </c>
      <c r="C14" s="2306"/>
      <c r="D14" s="2306">
        <f ca="1">ROUND(系统读取表!E14*系统读取表!B14/10000,0)</f>
        <v>425</v>
      </c>
      <c r="E14" s="2306">
        <f ca="1">结果表!G20</f>
        <v>24473</v>
      </c>
      <c r="F14" s="2306" t="e">
        <f ca="1">ROUND(D14*10000/C14,0)</f>
        <v>#DIV/0!</v>
      </c>
      <c r="G14" s="2306">
        <f ca="1">D14</f>
        <v>425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row r="28" spans="1:11">
      <c r="D28" s="3491">
        <f ca="1">D14*10000</f>
        <v>4250000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F28" sqref="F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4" t="s">
        <v>1265</v>
      </c>
      <c r="B4" s="1625" t="s">
        <v>1266</v>
      </c>
      <c r="C4" s="1626" t="s">
        <v>3426</v>
      </c>
      <c r="D4" s="1626" t="s">
        <v>3374</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312">
        <v>25</v>
      </c>
      <c r="C5" s="3315"/>
      <c r="D5" s="3303"/>
      <c r="E5" s="123" t="s">
        <v>1269</v>
      </c>
      <c r="F5" s="1627"/>
      <c r="G5" s="1627"/>
      <c r="H5" s="1627"/>
      <c r="I5" s="1281"/>
    </row>
    <row r="6" spans="1:12" ht="12.75">
      <c r="A6" s="3257"/>
      <c r="B6" s="3312"/>
      <c r="C6" s="3317"/>
      <c r="D6" s="3303"/>
      <c r="E6" s="123" t="s">
        <v>1270</v>
      </c>
      <c r="F6" s="1627"/>
      <c r="G6" s="1627"/>
      <c r="H6" s="1627"/>
      <c r="I6" s="1281"/>
    </row>
    <row r="7" spans="1:12" ht="12.75">
      <c r="A7" s="3257"/>
      <c r="B7" s="3312"/>
      <c r="C7" s="3316"/>
      <c r="D7" s="3303"/>
      <c r="E7" s="123" t="s">
        <v>1271</v>
      </c>
      <c r="F7" s="1627"/>
      <c r="G7" s="1627"/>
      <c r="H7" s="1627"/>
      <c r="I7" s="1281"/>
    </row>
    <row r="8" spans="1:12" ht="12.75">
      <c r="A8" s="3257" t="s">
        <v>1272</v>
      </c>
      <c r="B8" s="3312">
        <v>15</v>
      </c>
      <c r="C8" s="3315"/>
      <c r="D8" s="3303"/>
      <c r="E8" s="123" t="s">
        <v>1273</v>
      </c>
      <c r="F8" s="1627"/>
      <c r="G8" s="1627"/>
      <c r="H8" s="1627"/>
      <c r="I8" s="1281"/>
    </row>
    <row r="9" spans="1:12" ht="12.75">
      <c r="A9" s="3257"/>
      <c r="B9" s="3312"/>
      <c r="C9" s="3316"/>
      <c r="D9" s="3303"/>
      <c r="E9" s="123" t="s">
        <v>1274</v>
      </c>
      <c r="F9" s="1627"/>
      <c r="G9" s="1627"/>
      <c r="H9" s="1627"/>
      <c r="I9" s="1281"/>
    </row>
    <row r="10" spans="1:12" ht="12.75">
      <c r="A10" s="3257" t="s">
        <v>1275</v>
      </c>
      <c r="B10" s="3312">
        <v>15</v>
      </c>
      <c r="C10" s="3315"/>
      <c r="D10" s="3303"/>
      <c r="E10" s="123" t="s">
        <v>1276</v>
      </c>
      <c r="F10" s="1627"/>
      <c r="G10" s="1627"/>
      <c r="H10" s="1627"/>
      <c r="I10" s="1281"/>
    </row>
    <row r="11" spans="1:12" ht="12.75">
      <c r="A11" s="3257"/>
      <c r="B11" s="3312"/>
      <c r="C11" s="3316"/>
      <c r="D11" s="3303"/>
      <c r="E11" s="123" t="s">
        <v>1277</v>
      </c>
      <c r="F11" s="1627"/>
      <c r="G11" s="1627"/>
      <c r="H11" s="1627"/>
      <c r="I11" s="1281"/>
    </row>
    <row r="12" spans="1:12" ht="12.75">
      <c r="A12" s="3257" t="s">
        <v>1278</v>
      </c>
      <c r="B12" s="3312">
        <v>15</v>
      </c>
      <c r="C12" s="3315"/>
      <c r="D12" s="3303"/>
      <c r="E12" s="123" t="s">
        <v>1279</v>
      </c>
      <c r="F12" s="1627"/>
      <c r="G12" s="1627"/>
      <c r="H12" s="1627"/>
      <c r="I12" s="1281"/>
    </row>
    <row r="13" spans="1:12" ht="12.75">
      <c r="A13" s="3257"/>
      <c r="B13" s="3312"/>
      <c r="C13" s="3316"/>
      <c r="D13" s="3303"/>
      <c r="E13" s="123" t="s">
        <v>1280</v>
      </c>
      <c r="F13" s="1627"/>
      <c r="G13" s="1627"/>
      <c r="H13" s="1627"/>
      <c r="I13" s="1281"/>
    </row>
    <row r="14" spans="1:12" ht="12.75">
      <c r="A14" s="3257" t="s">
        <v>1281</v>
      </c>
      <c r="B14" s="3312">
        <v>30</v>
      </c>
      <c r="C14" s="3315">
        <v>6</v>
      </c>
      <c r="D14" s="3303">
        <f>10-C14</f>
        <v>4</v>
      </c>
      <c r="E14" s="123" t="s">
        <v>1282</v>
      </c>
      <c r="F14" s="1627"/>
      <c r="G14" s="1627"/>
      <c r="H14" s="1627"/>
      <c r="I14" s="1281"/>
    </row>
    <row r="15" spans="1:12" ht="12.75">
      <c r="A15" s="3257"/>
      <c r="B15" s="3312"/>
      <c r="C15" s="3317"/>
      <c r="D15" s="3303"/>
      <c r="E15" s="123" t="s">
        <v>1283</v>
      </c>
      <c r="F15" s="1627"/>
      <c r="G15" s="1627"/>
      <c r="H15" s="1627"/>
      <c r="I15" s="1281"/>
    </row>
    <row r="16" spans="1:12" ht="12.75">
      <c r="A16" s="3257"/>
      <c r="B16" s="3312"/>
      <c r="C16" s="3316"/>
      <c r="D16" s="330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4" t="s">
        <v>2131</v>
      </c>
      <c r="F18" s="3335"/>
      <c r="G18" s="3335"/>
      <c r="H18" s="3335"/>
      <c r="I18" s="3335"/>
      <c r="K18" s="294" t="s">
        <v>1289</v>
      </c>
      <c r="L18" s="294">
        <f>IF(C1="",'数据-汇总表'!E3,SUMIF(项目类型,C1,'数据-汇总表'!E17:E26)+SUMIF(项目类型,C1,'数据-汇总表'!I17:I26))</f>
        <v>173.72</v>
      </c>
      <c r="M18" s="294">
        <f>IF(C1="",'数据-汇总表'!E3,SUMIF(项目类型,C1,'数据-汇总表'!E17:E26))</f>
        <v>173.72</v>
      </c>
    </row>
    <row r="19" spans="1:36" ht="15">
      <c r="A19" s="1630" t="s">
        <v>1290</v>
      </c>
      <c r="B19" s="1631" t="s">
        <v>1291</v>
      </c>
      <c r="C19" s="126">
        <f ca="1">SUMIF(INDIRECT("'"&amp;C4&amp;"'"&amp;"!A:A"),结果表!B19,INDIRECT("'"&amp;C4&amp;"'"&amp;"!B:B"))</f>
        <v>492.6352</v>
      </c>
      <c r="D19" s="127">
        <f ca="1">SUMIF(INDIRECT("'"&amp;D4&amp;"'"&amp;"!A:A"),结果表!B19,INDIRECT("'"&amp;D4&amp;"'"&amp;"!B:B"))</f>
        <v>323.90210000000002</v>
      </c>
      <c r="E19" s="1630" t="s">
        <v>1292</v>
      </c>
      <c r="F19" s="1631" t="s">
        <v>1291</v>
      </c>
      <c r="G19" s="128">
        <f ca="1">ROUND(C19*$C$18+D19*$D$18,0)</f>
        <v>425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28358</v>
      </c>
      <c r="D20" s="130">
        <f ca="1">SUMIF(INDIRECT("'"&amp;D4&amp;"'"&amp;"!A:A"),结果表!B20,INDIRECT("'"&amp;D4&amp;"'"&amp;"!B:B"))</f>
        <v>18645</v>
      </c>
      <c r="E20" s="1633"/>
      <c r="F20" s="43" t="s">
        <v>1295</v>
      </c>
      <c r="G20" s="131">
        <f ca="1">ROUND(C20*$C$18+D20*$D$18,0)</f>
        <v>24473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0.52093857989806169</v>
      </c>
      <c r="E22" s="121"/>
      <c r="F22" s="121"/>
      <c r="G22" s="121"/>
      <c r="H22" s="121"/>
      <c r="I22" s="121"/>
    </row>
    <row r="23" spans="1:36" ht="13.5" thickBot="1">
      <c r="A23" s="646"/>
      <c r="B23" s="646"/>
      <c r="C23" s="646"/>
      <c r="D23" s="646"/>
      <c r="E23" s="121"/>
      <c r="F23" s="121"/>
      <c r="G23" s="121"/>
      <c r="H23" s="121"/>
      <c r="I23" s="121"/>
    </row>
    <row r="24" spans="1:36" ht="14.25">
      <c r="A24" s="3327" t="s">
        <v>1299</v>
      </c>
      <c r="B24" s="1631" t="s">
        <v>1291</v>
      </c>
      <c r="C24" s="128">
        <f>IF(B30=0,0,D30)</f>
        <v>0</v>
      </c>
      <c r="D24" s="1637"/>
      <c r="E24" s="121"/>
      <c r="F24" s="121"/>
      <c r="G24" s="121"/>
      <c r="H24" s="121"/>
      <c r="I24" s="121"/>
    </row>
    <row r="25" spans="1:36" ht="14.25">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24473</v>
      </c>
      <c r="D32" s="1641" t="s">
        <v>3376</v>
      </c>
      <c r="E32" s="121"/>
      <c r="F32" s="121"/>
      <c r="G32" s="121"/>
      <c r="H32" s="121"/>
      <c r="I32" s="121"/>
    </row>
    <row r="33" spans="1:15" ht="15">
      <c r="A33" s="740" t="s">
        <v>1306</v>
      </c>
      <c r="B33" s="123"/>
      <c r="C33" s="1642" t="s">
        <v>3377</v>
      </c>
      <c r="D33" s="1643" t="s">
        <v>3378</v>
      </c>
      <c r="E33" s="1644" t="s">
        <v>1307</v>
      </c>
      <c r="F33" s="1645" t="str">
        <f>IF(D32="楼面单价","取值（单价）","取值（总价）")</f>
        <v>取值（单价）</v>
      </c>
      <c r="G33" s="121"/>
      <c r="H33" s="121"/>
      <c r="I33" s="121"/>
    </row>
    <row r="34" spans="1:15" ht="15">
      <c r="A34" s="1646"/>
      <c r="B34" s="1647" t="s">
        <v>1308</v>
      </c>
      <c r="C34" s="140">
        <f ca="1">IF(C33="自定义",F34,C32-C35)</f>
        <v>18967</v>
      </c>
      <c r="D34" s="808">
        <f ca="1">IF(C33="自定义",ROUND(C34/C32,3),IF(C33="收益比率",SUMIF(INDIRECT("'"&amp;D33&amp;"'"&amp;"!b:b"),"土地收益比率",INDIRECT("'"&amp;D33&amp;"'"&amp;"!c:c")),SUMIF(INDIRECT("'"&amp;D33&amp;"'"&amp;"!b:b"),"土地成本比率",INDIRECT("'"&amp;D33&amp;"'"&amp;"!c:c"))))</f>
        <v>0.77500000000000002</v>
      </c>
      <c r="E34" s="1648" t="s">
        <v>1309</v>
      </c>
      <c r="F34" s="1243"/>
      <c r="G34" s="121"/>
      <c r="H34" s="121"/>
      <c r="I34" s="121"/>
    </row>
    <row r="35" spans="1:15" ht="15.75" thickBot="1">
      <c r="A35" s="1649"/>
      <c r="B35" s="1650" t="s">
        <v>1310</v>
      </c>
      <c r="C35" s="1090">
        <f ca="1">IF(C33="自定义",F35,ROUND(C32*D35,0))</f>
        <v>5506</v>
      </c>
      <c r="D35" s="1091">
        <f ca="1">IF(C33="自定义",ROUND(C35/C32,3),IF(C33="收益比率",SUMIF(INDIRECT("'"&amp;D33&amp;"'"&amp;"!b:b"),"建筑物收益比率",INDIRECT("'"&amp;D33&amp;"'"&amp;"!c:c")),SUMIF(INDIRECT("'"&amp;D33&amp;"'"&amp;"!b:b"),"建筑物成本比率",INDIRECT("'"&amp;D33&amp;"'"&amp;"!c:c"))))</f>
        <v>0.22500000000000001</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425</v>
      </c>
      <c r="E45" s="148" t="s">
        <v>1327</v>
      </c>
      <c r="F45" s="149">
        <v>1</v>
      </c>
      <c r="G45" s="150" t="s">
        <v>1328</v>
      </c>
      <c r="H45" s="121"/>
      <c r="I45" s="121"/>
      <c r="J45" s="3244" t="s">
        <v>1329</v>
      </c>
      <c r="K45" s="3244"/>
      <c r="L45" s="3244"/>
      <c r="M45" s="3244"/>
      <c r="N45" s="3244"/>
      <c r="O45" s="3244"/>
    </row>
    <row r="46" spans="1:15" ht="14.25" customHeight="1">
      <c r="A46" s="3321" t="s">
        <v>1330</v>
      </c>
      <c r="B46" s="3322"/>
      <c r="C46" s="3322"/>
      <c r="D46" s="3322"/>
      <c r="E46" s="3322"/>
      <c r="F46" s="3322"/>
      <c r="G46" s="3323"/>
      <c r="H46" s="1668"/>
      <c r="I46" s="151"/>
      <c r="J46" s="2310">
        <v>1</v>
      </c>
      <c r="K46" s="3245" t="s">
        <v>1331</v>
      </c>
      <c r="L46" s="3245"/>
      <c r="M46" s="3246"/>
      <c r="N46" s="3246"/>
      <c r="O46" s="3246"/>
    </row>
    <row r="47" spans="1:15" ht="12" customHeight="1">
      <c r="A47" s="152" t="s">
        <v>1332</v>
      </c>
      <c r="B47" s="153"/>
      <c r="C47" s="154"/>
      <c r="D47" s="1024" t="s">
        <v>1333</v>
      </c>
      <c r="E47" s="294" t="s">
        <v>1334</v>
      </c>
      <c r="F47" s="155" t="s">
        <v>1335</v>
      </c>
      <c r="G47" s="2333" t="s">
        <v>1336</v>
      </c>
      <c r="H47" s="2334"/>
      <c r="I47" s="151"/>
      <c r="J47" s="2310">
        <v>2</v>
      </c>
      <c r="K47" s="3245" t="s">
        <v>1337</v>
      </c>
      <c r="L47" s="3245"/>
      <c r="M47" s="3247">
        <f>'数据-取费表'!B2</f>
        <v>45054</v>
      </c>
      <c r="N47" s="3247"/>
      <c r="O47" s="3247"/>
    </row>
    <row r="48" spans="1:15" ht="25.5">
      <c r="A48" s="3307" t="s">
        <v>1338</v>
      </c>
      <c r="B48" s="3308"/>
      <c r="C48" s="330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45" t="s">
        <v>1340</v>
      </c>
      <c r="L48" s="3245"/>
      <c r="M48" s="3248">
        <f ca="1">H101</f>
        <v>425</v>
      </c>
      <c r="N48" s="3248"/>
      <c r="O48" s="3248"/>
    </row>
    <row r="49" spans="1:35" ht="25.5" customHeight="1">
      <c r="A49" s="2152" t="s">
        <v>1341</v>
      </c>
      <c r="B49" s="3293" t="s">
        <v>1342</v>
      </c>
      <c r="C49" s="3293"/>
      <c r="D49" s="1478">
        <v>0</v>
      </c>
      <c r="E49" s="316" t="s">
        <v>1343</v>
      </c>
      <c r="F49" s="2233" t="s">
        <v>28</v>
      </c>
      <c r="G49" s="3276"/>
      <c r="H49" s="2134" t="s">
        <v>2134</v>
      </c>
      <c r="I49" s="2135"/>
      <c r="J49" s="2310">
        <v>4</v>
      </c>
      <c r="K49" s="3245" t="str">
        <f>IF(项目基本情况!E8="房地产抵押价值","房地产抵押价值","抵押担保权已注销时的房地产抵押价值")</f>
        <v>房地产抵押价值</v>
      </c>
      <c r="L49" s="3245"/>
      <c r="M49" s="3248">
        <f ca="1">IF(项目基本情况!E8="房地产抵押价值",H107,H109)</f>
        <v>425</v>
      </c>
      <c r="N49" s="3248"/>
      <c r="O49" s="3248"/>
    </row>
    <row r="50" spans="1:35" ht="25.5" customHeight="1">
      <c r="A50" s="2338"/>
      <c r="B50" s="3293" t="s">
        <v>1344</v>
      </c>
      <c r="C50" s="3293"/>
      <c r="D50" s="2189"/>
      <c r="E50" s="323"/>
      <c r="F50" s="2233"/>
      <c r="G50" s="3277"/>
      <c r="H50" s="2136" t="s">
        <v>2135</v>
      </c>
      <c r="I50" s="2135"/>
      <c r="J50" s="3244" t="s">
        <v>1345</v>
      </c>
      <c r="K50" s="3244"/>
      <c r="L50" s="3244"/>
      <c r="M50" s="3244"/>
      <c r="N50" s="3244"/>
      <c r="O50" s="3244"/>
    </row>
    <row r="51" spans="1:35" ht="20.45" customHeight="1">
      <c r="A51" s="2339"/>
      <c r="B51" s="3293" t="s">
        <v>1346</v>
      </c>
      <c r="C51" s="3293"/>
      <c r="D51" s="1024"/>
      <c r="E51" s="319"/>
      <c r="F51" s="2233"/>
      <c r="G51" s="3278"/>
      <c r="H51" s="2136" t="s">
        <v>2136</v>
      </c>
      <c r="I51" s="2135"/>
      <c r="J51" s="2311" t="s">
        <v>1347</v>
      </c>
      <c r="K51" s="3245" t="s">
        <v>1348</v>
      </c>
      <c r="L51" s="3245"/>
      <c r="M51" s="2311" t="s">
        <v>1349</v>
      </c>
      <c r="N51" s="2311" t="s">
        <v>1350</v>
      </c>
      <c r="O51" s="2311" t="s">
        <v>1351</v>
      </c>
    </row>
    <row r="52" spans="1:35" ht="24" customHeight="1">
      <c r="A52" s="2153" t="s">
        <v>1352</v>
      </c>
      <c r="B52" s="3293" t="s">
        <v>1353</v>
      </c>
      <c r="C52" s="3293"/>
      <c r="D52" s="1024">
        <f ca="1">ROUND(D45*'数据-取费表'!B41/(1+'数据-取费表'!C42),0)</f>
        <v>22</v>
      </c>
      <c r="E52" s="1256" t="s">
        <v>1354</v>
      </c>
      <c r="F52" s="2340">
        <f>'数据-取费表'!B41</f>
        <v>5.5000000000000007E-2</v>
      </c>
      <c r="G52" s="2341"/>
      <c r="H52" s="2331"/>
      <c r="I52" s="1669"/>
      <c r="J52" s="2310">
        <v>1</v>
      </c>
      <c r="K52" s="3270" t="s">
        <v>1355</v>
      </c>
      <c r="L52" s="3270"/>
      <c r="M52" s="2312" t="b">
        <f>D48</f>
        <v>0</v>
      </c>
      <c r="N52" s="2310" t="str">
        <f>E48</f>
        <v>销售额×税（费）率</v>
      </c>
      <c r="O52" s="2313">
        <f>F48</f>
        <v>5.5000000000000007E-2</v>
      </c>
    </row>
    <row r="53" spans="1:35" ht="12" customHeight="1">
      <c r="A53" s="2153" t="s">
        <v>1356</v>
      </c>
      <c r="B53" s="3294" t="s">
        <v>2279</v>
      </c>
      <c r="C53" s="3295"/>
      <c r="D53" s="1024">
        <f ca="1">ROUND(D45*'数据-取费表'!B41/(1+'数据-取费表'!C42),0)</f>
        <v>22</v>
      </c>
      <c r="E53" s="1256" t="s">
        <v>1354</v>
      </c>
      <c r="F53" s="2340">
        <f>'数据-取费表'!B41</f>
        <v>5.5000000000000007E-2</v>
      </c>
      <c r="G53" s="2341"/>
      <c r="H53" s="2331"/>
      <c r="I53" s="1669"/>
      <c r="J53" s="2310">
        <v>2</v>
      </c>
      <c r="K53" s="3270" t="s">
        <v>1357</v>
      </c>
      <c r="L53" s="3270"/>
      <c r="M53" s="2312">
        <f t="shared" ref="M53:O54" ca="1" si="0">D55</f>
        <v>0</v>
      </c>
      <c r="N53" s="2310" t="str">
        <f t="shared" si="0"/>
        <v>销售额×税（费）率</v>
      </c>
      <c r="O53" s="2313" t="str">
        <f t="shared" si="0"/>
        <v>免征</v>
      </c>
    </row>
    <row r="54" spans="1:35" ht="12" customHeight="1">
      <c r="A54" s="2153" t="s">
        <v>1358</v>
      </c>
      <c r="B54" s="3294" t="s">
        <v>2280</v>
      </c>
      <c r="C54" s="3295"/>
      <c r="D54" s="1024">
        <f ca="1">C68</f>
        <v>22</v>
      </c>
      <c r="E54" s="319" t="s">
        <v>1359</v>
      </c>
      <c r="F54" s="2340">
        <f>'数据-取费表'!B41</f>
        <v>5.5000000000000007E-2</v>
      </c>
      <c r="G54" s="2341"/>
      <c r="H54" s="2342"/>
      <c r="I54" s="1669"/>
      <c r="J54" s="2310">
        <v>3</v>
      </c>
      <c r="K54" s="3270" t="s">
        <v>1360</v>
      </c>
      <c r="L54" s="3270"/>
      <c r="M54" s="2312">
        <f t="shared" ca="1" si="0"/>
        <v>241</v>
      </c>
      <c r="N54" s="2310" t="str">
        <f t="shared" si="0"/>
        <v>增值额×税（费）率</v>
      </c>
      <c r="O54" s="2314" t="str">
        <f t="shared" si="0"/>
        <v>免征</v>
      </c>
    </row>
    <row r="55" spans="1:35" ht="24" customHeight="1">
      <c r="A55" s="3330" t="s">
        <v>1361</v>
      </c>
      <c r="B55" s="3308"/>
      <c r="C55" s="3308"/>
      <c r="D55" s="12">
        <f ca="1">IF(H55="个人住宅",0,ROUND(D45*I55,0))</f>
        <v>0</v>
      </c>
      <c r="E55" s="1256" t="s">
        <v>1362</v>
      </c>
      <c r="F55" s="2340" t="str">
        <f>IF(H55="正常",I55,"免征")</f>
        <v>免征</v>
      </c>
      <c r="G55" s="2341"/>
      <c r="H55" s="2337"/>
      <c r="I55" s="157">
        <f>'数据-取费表'!B49</f>
        <v>5.0000000000000001E-4</v>
      </c>
      <c r="J55" s="2310">
        <f>IF(H59="非个人房产","",4)</f>
        <v>4</v>
      </c>
      <c r="K55" s="3270" t="str">
        <f>IF(H59="非个人房产","——","个人所得税")</f>
        <v>个人所得税</v>
      </c>
      <c r="L55" s="3270"/>
      <c r="M55" s="2315">
        <f ca="1">D59</f>
        <v>4</v>
      </c>
      <c r="N55" s="1883" t="str">
        <f>E59</f>
        <v>差额计税</v>
      </c>
      <c r="O55" s="2316">
        <f>F59</f>
        <v>0.01</v>
      </c>
    </row>
    <row r="56" spans="1:35" ht="24.75">
      <c r="A56" s="3330" t="s">
        <v>1363</v>
      </c>
      <c r="B56" s="3308"/>
      <c r="C56" s="3308"/>
      <c r="D56" s="12">
        <f ca="1">IF(H56="个人住宅",D57,D58)</f>
        <v>241</v>
      </c>
      <c r="E56" s="1256" t="s">
        <v>1364</v>
      </c>
      <c r="F56" s="2340" t="str">
        <f>IF(H56="正常",F58,"免征")</f>
        <v>免征</v>
      </c>
      <c r="G56" s="2343" t="s">
        <v>1365</v>
      </c>
      <c r="H56" s="2344"/>
      <c r="I56" s="1670"/>
      <c r="J56" s="2310" t="str">
        <f>IF(项目基本情况!K6="上海银行",IF(J55="",4,J55+1),"")</f>
        <v/>
      </c>
      <c r="K56" s="3251" t="str">
        <f>IF(项目基本情况!K6="上海银行","其他处置费用","")</f>
        <v/>
      </c>
      <c r="L56" s="3252"/>
      <c r="M56" s="2312" t="str">
        <f>IF(项目基本情况!K6="上海银行",M69,"")</f>
        <v/>
      </c>
      <c r="N56" s="3251" t="str">
        <f>IF(项目基本情况!K6="上海银行","包含处置中涉及的律师、诉讼、拍卖、评估等费用","")</f>
        <v/>
      </c>
      <c r="O56" s="3254"/>
    </row>
    <row r="57" spans="1:35" ht="12.75">
      <c r="A57" s="2153" t="s">
        <v>1341</v>
      </c>
      <c r="B57" s="3294" t="s">
        <v>1366</v>
      </c>
      <c r="C57" s="3295"/>
      <c r="D57" s="1478">
        <v>0</v>
      </c>
      <c r="E57" s="316" t="s">
        <v>1343</v>
      </c>
      <c r="F57" s="294"/>
      <c r="G57" s="2341"/>
      <c r="H57" s="2345"/>
      <c r="I57" s="1670"/>
      <c r="J57" s="3270">
        <f>IF(AND(J55="",J56=""),4,IF(项目基本情况!K6="上海银行",结果表!J56+1,结果表!J55+1))</f>
        <v>5</v>
      </c>
      <c r="K57" s="3270" t="s">
        <v>1367</v>
      </c>
      <c r="L57" s="2317" t="s">
        <v>1368</v>
      </c>
      <c r="M57" s="2318"/>
      <c r="N57" s="2319">
        <f ca="1">SUMIF(M52:M56,"&lt;9e307")</f>
        <v>245</v>
      </c>
      <c r="O57" s="2320"/>
      <c r="P57" s="2465">
        <f ca="1">N57/M49</f>
        <v>0.57647058823529407</v>
      </c>
    </row>
    <row r="58" spans="1:35" ht="24.75">
      <c r="A58" s="2153" t="s">
        <v>1352</v>
      </c>
      <c r="B58" s="3294" t="s">
        <v>1369</v>
      </c>
      <c r="C58" s="3293"/>
      <c r="D58" s="12">
        <f ca="1">IF(H58="转让取得",C81,C97)</f>
        <v>241</v>
      </c>
      <c r="E58" s="1256" t="s">
        <v>1364</v>
      </c>
      <c r="F58" s="294" t="s">
        <v>28</v>
      </c>
      <c r="G58" s="2341"/>
      <c r="H58" s="2344"/>
      <c r="I58" s="1670"/>
      <c r="J58" s="3270"/>
      <c r="K58" s="3270"/>
      <c r="L58" s="2317" t="s">
        <v>1370</v>
      </c>
      <c r="M58" s="2321"/>
      <c r="N58" s="2322" t="str">
        <f ca="1">NUMBERSTRING(INT(N57*10000),2)&amp;"元整"</f>
        <v>贰佰肆拾伍万元整</v>
      </c>
      <c r="O58" s="2323"/>
    </row>
    <row r="59" spans="1:35" ht="24.75" thickBot="1">
      <c r="A59" s="3274" t="s">
        <v>1371</v>
      </c>
      <c r="B59" s="3275"/>
      <c r="C59" s="3275"/>
      <c r="D59" s="2346">
        <f ca="1">IF(H59="非个人房产","——",IF(H59="个人住宅（满五唯一有凭证）",0,IF(H59="个人其他（无凭证）",ROUND(D45*F59,0),ROUND(C67*F59,0))))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2">
        <f>J57+1</f>
        <v>6</v>
      </c>
      <c r="K59" s="3270" t="s">
        <v>1372</v>
      </c>
      <c r="L59" s="2310" t="s">
        <v>1368</v>
      </c>
      <c r="M59" s="2324"/>
      <c r="N59" s="2325">
        <f ca="1">M49-N57</f>
        <v>180</v>
      </c>
      <c r="O59" s="2326"/>
    </row>
    <row r="60" spans="1:35" ht="12" customHeight="1">
      <c r="A60" s="1671"/>
      <c r="B60" s="646"/>
      <c r="C60" s="646"/>
      <c r="D60" s="646"/>
      <c r="E60" s="1466"/>
      <c r="F60" s="1670"/>
      <c r="G60" s="1670"/>
      <c r="H60" s="151"/>
      <c r="I60" s="121"/>
      <c r="J60" s="3273"/>
      <c r="K60" s="3270"/>
      <c r="L60" s="2317" t="s">
        <v>1370</v>
      </c>
      <c r="M60" s="2321"/>
      <c r="N60" s="2322" t="str">
        <f ca="1">NUMBERSTRING(INT(N59*10000),2)&amp;"元整"</f>
        <v>壹佰捌拾万元整</v>
      </c>
      <c r="O60" s="2323"/>
    </row>
    <row r="61" spans="1:35" ht="13.5" thickBot="1">
      <c r="A61" s="3329" t="s">
        <v>1373</v>
      </c>
      <c r="B61" s="3329"/>
      <c r="C61" s="3329"/>
      <c r="D61" s="3329"/>
      <c r="E61" s="3329"/>
      <c r="F61" s="1670"/>
      <c r="G61" s="1670"/>
      <c r="H61" s="151"/>
      <c r="I61" s="121"/>
      <c r="J61" s="2310">
        <f>J59+1</f>
        <v>7</v>
      </c>
      <c r="K61" s="3270" t="s">
        <v>1374</v>
      </c>
      <c r="L61" s="3270"/>
      <c r="M61" s="2327"/>
      <c r="N61" s="2328">
        <f ca="1">ROUND(N59*10000/'数据-汇总表'!E3,0)</f>
        <v>10362</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405</v>
      </c>
      <c r="D63" s="159"/>
      <c r="E63" s="160"/>
      <c r="F63" s="1670"/>
      <c r="G63" s="1670"/>
      <c r="H63" s="151"/>
      <c r="I63" s="121"/>
      <c r="J63" s="3253" t="s">
        <v>1379</v>
      </c>
      <c r="K63" s="1245" t="s">
        <v>1380</v>
      </c>
      <c r="L63" s="1245">
        <f ca="1">IF(M49&gt;10000,M49*0.5%,IF(AND(M49&gt;1000,M49&lt;=10000),M49*1%,IF(AND(M49&gt;100,M49&lt;=1000),M49*3%,IF(AND(M49&gt;10,M49&lt;=100),M49*5%,M49*8%))))</f>
        <v>12.75</v>
      </c>
      <c r="M63" s="294">
        <f ca="1">ROUND(L63,1)</f>
        <v>12.8</v>
      </c>
      <c r="N63" s="2330"/>
      <c r="Z63" s="1623"/>
      <c r="AI63" s="1561"/>
    </row>
    <row r="64" spans="1:35" ht="14.25" customHeight="1">
      <c r="A64" s="161" t="s">
        <v>325</v>
      </c>
      <c r="B64" s="162" t="s">
        <v>1381</v>
      </c>
      <c r="C64" s="2351">
        <f ca="1">D45</f>
        <v>425</v>
      </c>
      <c r="D64" s="162" t="s">
        <v>26</v>
      </c>
      <c r="E64" s="164"/>
      <c r="F64" s="1670"/>
      <c r="G64" s="1670"/>
      <c r="H64" s="151"/>
      <c r="I64" s="121"/>
      <c r="J64" s="3253"/>
      <c r="K64" s="1245" t="s">
        <v>1382</v>
      </c>
      <c r="L64" s="1245">
        <f ca="1">IF(M49&gt;2000,M49*0.5%,IF(AND(M49&gt;1000,M49&lt;=2000),M49*0.6%,IF(AND(M49&gt;500,M49&lt;=1000),M49*0.7%,IF(AND(M49&gt;200,M49&lt;=500),M49*0.8%,IF(AND(M49&gt;100,M49&lt;=200),M49*0.9%,IF(AND(M49&gt;50,M49&lt;=100),M49*1%,IF(AND(M49&gt;20,M49&lt;=50),M49*1.5%,IF(AND(M49&gt;10,M49&lt;=20),M49*2%,IF(AND(M49&gt;1,M49&lt;=10),M49*2.5%)))))))))</f>
        <v>3.4</v>
      </c>
      <c r="M64" s="294">
        <f t="shared" ref="M64:M65" ca="1" si="1">ROUND(L64,1)</f>
        <v>3.4</v>
      </c>
      <c r="N64" s="2331" t="s">
        <v>1383</v>
      </c>
      <c r="Z64" s="1623"/>
      <c r="AI64" s="1561"/>
    </row>
    <row r="65" spans="1:35" ht="14.25" customHeight="1">
      <c r="A65" s="161" t="s">
        <v>326</v>
      </c>
      <c r="B65" s="162" t="s">
        <v>1384</v>
      </c>
      <c r="C65" s="2352"/>
      <c r="D65" s="162"/>
      <c r="E65" s="164"/>
      <c r="F65" s="1670"/>
      <c r="G65" s="1670"/>
      <c r="H65" s="151"/>
      <c r="I65" s="121"/>
      <c r="J65" s="3253"/>
      <c r="K65" s="1245" t="s">
        <v>1385</v>
      </c>
      <c r="L65" s="1245">
        <f ca="1">IF(M49&gt;1000,M49*0.1%,IF(AND(M49&gt;500,M49&lt;=1000),M49*0.5%,IF(AND(M49&gt;50,M49&lt;=500),M49*1%,IF(AND(M49&gt;1,M49&lt;=50),M49*1.5%))))</f>
        <v>4.25</v>
      </c>
      <c r="M65" s="294">
        <f t="shared" ca="1" si="1"/>
        <v>4.3</v>
      </c>
      <c r="N65" s="2331" t="s">
        <v>1383</v>
      </c>
      <c r="Z65" s="1623"/>
      <c r="AI65" s="1561"/>
    </row>
    <row r="66" spans="1:35" ht="14.25" customHeight="1">
      <c r="A66" s="165" t="s">
        <v>327</v>
      </c>
      <c r="B66" s="166" t="s">
        <v>1386</v>
      </c>
      <c r="C66" s="2353"/>
      <c r="D66" s="166" t="s">
        <v>26</v>
      </c>
      <c r="E66" s="1251" t="s">
        <v>671</v>
      </c>
      <c r="F66" s="1670"/>
      <c r="G66" s="1670"/>
      <c r="H66" s="151"/>
      <c r="I66" s="121"/>
      <c r="J66" s="3253"/>
      <c r="K66" s="1245" t="s">
        <v>1387</v>
      </c>
      <c r="L66" s="1245">
        <f ca="1">M49*0.5%</f>
        <v>2.125</v>
      </c>
      <c r="M66" s="294">
        <f ca="1">IF(L66&gt;0.5,0.5,ROUND(L66,0))</f>
        <v>0.5</v>
      </c>
      <c r="N66" s="2331" t="s">
        <v>1388</v>
      </c>
      <c r="Z66" s="1623"/>
      <c r="AI66" s="1561"/>
    </row>
    <row r="67" spans="1:35" ht="14.25" customHeight="1">
      <c r="A67" s="165" t="s">
        <v>328</v>
      </c>
      <c r="B67" s="166" t="s">
        <v>1389</v>
      </c>
      <c r="C67" s="2354">
        <f ca="1">C63-C66</f>
        <v>405</v>
      </c>
      <c r="D67" s="162" t="s">
        <v>26</v>
      </c>
      <c r="E67" s="164"/>
      <c r="F67" s="1670"/>
      <c r="G67" s="1670"/>
      <c r="H67" s="151"/>
      <c r="I67" s="121"/>
      <c r="J67" s="3253"/>
      <c r="K67" s="1245" t="s">
        <v>1390</v>
      </c>
      <c r="L67" s="1245">
        <f ca="1">IF(M49&gt;=10000,(8.25+(M49-10000)*0.01%),IF(AND(M49&gt;=8000,M49&lt;10000),(7.85+(M49-8000)*0.02%),IF(AND(M49&gt;=5000,M49&lt;8000),(6.65+(M49-5000)*0.04%),IF(AND(M49&gt;=2000,M49&lt;5000),(4.25+(PM49-2000)*0.08%),IF(AND(M49&gt;=1000,M49&lt;2000),(2.75+(M49-1000)*0.15%),IF(AND(M49&gt;=100,M49&lt;1000),(0.5+(M49-100)*0.25%),IF(AND(M49&gt;0,M49&lt;100),M49*0.5%)))))))</f>
        <v>1.3125</v>
      </c>
      <c r="M67" s="294">
        <f ca="1">ROUND(L67*0.9,1)</f>
        <v>1.2</v>
      </c>
      <c r="N67" s="2330"/>
      <c r="Z67" s="1623"/>
      <c r="AI67" s="1561"/>
    </row>
    <row r="68" spans="1:35" ht="14.25" customHeight="1" thickBot="1">
      <c r="A68" s="168" t="s">
        <v>329</v>
      </c>
      <c r="B68" s="169" t="s">
        <v>1391</v>
      </c>
      <c r="C68" s="2355">
        <f ca="1">IF(C67&lt;=0,0,ROUND(C67*D68,0))</f>
        <v>22</v>
      </c>
      <c r="D68" s="2356">
        <f>'数据-取费表'!B41</f>
        <v>5.5000000000000007E-2</v>
      </c>
      <c r="E68" s="170"/>
      <c r="F68" s="1670"/>
      <c r="G68" s="1670"/>
      <c r="H68" s="151"/>
      <c r="I68" s="121"/>
      <c r="J68" s="3253"/>
      <c r="K68" s="1245" t="s">
        <v>1392</v>
      </c>
      <c r="L68" s="1245">
        <f ca="1">IF(M49&gt;10000,M49*0.5%,IF(AND(M49&gt;5000,M49&lt;=10000),M49*1%,IF(AND(M49&gt;1000,M49&lt;=5000),M49*2%,IF(AND(M49&gt;200,M49&lt;=1000),M49*3%,M49*5%))))</f>
        <v>12.75</v>
      </c>
      <c r="M68" s="294">
        <f ca="1">ROUND(L68,1)</f>
        <v>12.8</v>
      </c>
      <c r="N68" s="2330"/>
      <c r="Z68" s="1623"/>
      <c r="AI68" s="1561"/>
    </row>
    <row r="69" spans="1:35" ht="16.5" customHeight="1">
      <c r="A69" s="1672"/>
      <c r="B69" s="1673"/>
      <c r="C69" s="1674"/>
      <c r="D69" s="1675"/>
      <c r="E69" s="1676"/>
      <c r="F69" s="1466"/>
      <c r="G69" s="1466"/>
      <c r="H69" s="1467"/>
      <c r="I69" s="646"/>
      <c r="J69" s="3253"/>
      <c r="K69" s="1245" t="s">
        <v>1393</v>
      </c>
      <c r="L69" s="1245"/>
      <c r="M69" s="294">
        <f ca="1">ROUND(SUM(M63:M68),0)</f>
        <v>35</v>
      </c>
      <c r="N69" s="2332">
        <f ca="1">M69/M49</f>
        <v>8.2352941176470587E-2</v>
      </c>
      <c r="Z69" s="1623"/>
      <c r="AI69" s="1561"/>
    </row>
    <row r="70" spans="1:35" s="642" customFormat="1" ht="15"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405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4" t="s">
        <v>1402</v>
      </c>
      <c r="F76" s="3293"/>
      <c r="G76" s="3293"/>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86" t="s">
        <v>1406</v>
      </c>
      <c r="F78" s="3287"/>
      <c r="G78" s="3287"/>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241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405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5" t="s">
        <v>2129</v>
      </c>
      <c r="H90" s="3256"/>
      <c r="I90" s="1681"/>
      <c r="J90" s="2308" t="s">
        <v>2277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6" t="s">
        <v>1422</v>
      </c>
      <c r="F92" s="3287"/>
      <c r="G92" s="3287"/>
      <c r="H92" s="3288"/>
      <c r="I92" s="1681"/>
      <c r="J92" s="2309" t="s">
        <v>2278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86" t="s">
        <v>1406</v>
      </c>
      <c r="F93" s="3287"/>
      <c r="G93" s="3287"/>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241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71"/>
      <c r="E100" s="3237" t="s">
        <v>1429</v>
      </c>
      <c r="F100" s="3237"/>
      <c r="G100" s="3237"/>
      <c r="H100" s="3271"/>
      <c r="I100" s="121"/>
    </row>
    <row r="101" spans="1:35" ht="18.75" customHeight="1">
      <c r="A101" s="3279" t="s">
        <v>1430</v>
      </c>
      <c r="B101" s="3280"/>
      <c r="C101" s="2371" t="str">
        <f>C4</f>
        <v>比较法-办公</v>
      </c>
      <c r="D101" s="2372" t="str">
        <f>D4</f>
        <v>收益法 (元)</v>
      </c>
      <c r="E101" s="3249" t="s">
        <v>1431</v>
      </c>
      <c r="F101" s="3250"/>
      <c r="G101" s="1687" t="s">
        <v>1432</v>
      </c>
      <c r="H101" s="2381">
        <f ca="1">H118</f>
        <v>425</v>
      </c>
      <c r="I101" s="121"/>
    </row>
    <row r="102" spans="1:35" ht="18.75" customHeight="1">
      <c r="A102" s="3281" t="s">
        <v>1433</v>
      </c>
      <c r="B102" s="2370" t="s">
        <v>1432</v>
      </c>
      <c r="C102" s="2371">
        <f ca="1">IF(D32="楼面单价",ROUND(C19,0),C19)</f>
        <v>493</v>
      </c>
      <c r="D102" s="2372">
        <f ca="1">IF(D32="楼面单价",ROUND(D19,0),D19)</f>
        <v>324</v>
      </c>
      <c r="E102" s="3249"/>
      <c r="F102" s="3250"/>
      <c r="G102" s="1687" t="s">
        <v>1434</v>
      </c>
      <c r="H102" s="2341">
        <f ca="1">I118</f>
        <v>24473</v>
      </c>
      <c r="I102" s="121"/>
    </row>
    <row r="103" spans="1:35" ht="42.75" customHeight="1">
      <c r="A103" s="3281"/>
      <c r="B103" s="2370" t="s">
        <v>1434</v>
      </c>
      <c r="C103" s="2373">
        <f ca="1">C20</f>
        <v>28358</v>
      </c>
      <c r="D103" s="2374">
        <f ca="1">D20</f>
        <v>18645</v>
      </c>
      <c r="E103" s="3242" t="s">
        <v>1435</v>
      </c>
      <c r="F103" s="3243"/>
      <c r="G103" s="1688" t="s">
        <v>1436</v>
      </c>
      <c r="H103" s="2381">
        <f>IF(D36="正常操作",H104+H105+H106,H105+H106)</f>
        <v>0</v>
      </c>
      <c r="I103" s="121"/>
    </row>
    <row r="104" spans="1:35" ht="18.75" customHeight="1">
      <c r="A104" s="3281" t="s">
        <v>1437</v>
      </c>
      <c r="B104" s="2375" t="s">
        <v>1432</v>
      </c>
      <c r="C104" s="2376">
        <f ca="1">H118</f>
        <v>425</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24473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50"/>
      <c r="G107" s="1687" t="s">
        <v>1432</v>
      </c>
      <c r="H107" s="2381">
        <f ca="1">IF(E107="——","——",H101-H103)</f>
        <v>425</v>
      </c>
      <c r="I107" s="121"/>
    </row>
    <row r="108" spans="1:35" ht="18.75" customHeight="1">
      <c r="A108" s="121"/>
      <c r="B108" s="121"/>
      <c r="C108" s="121"/>
      <c r="D108" s="121"/>
      <c r="E108" s="3282"/>
      <c r="F108" s="3250"/>
      <c r="G108" s="1687" t="s">
        <v>1434</v>
      </c>
      <c r="H108" s="2341">
        <f ca="1">IF(H107=H101,H102,ROUND(H107*10000/'数据-汇总表'!E3,0))</f>
        <v>24473</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50"/>
      <c r="G109" s="1687" t="s">
        <v>1432</v>
      </c>
      <c r="H109" s="2384" t="str">
        <f>IF(E109="——","——",H101-H105-H106)</f>
        <v>——</v>
      </c>
      <c r="I109" s="121"/>
    </row>
    <row r="110" spans="1:35" ht="18.75" customHeight="1">
      <c r="A110" s="121"/>
      <c r="B110" s="121"/>
      <c r="C110" s="121"/>
      <c r="D110" s="121"/>
      <c r="E110" s="3282"/>
      <c r="F110" s="3250"/>
      <c r="G110" s="1687" t="s">
        <v>1434</v>
      </c>
      <c r="H110" s="2341" t="str">
        <f>IF(H109="——","——",ROUND(H109*10000/'数据-汇总表'!E3,0))</f>
        <v>——</v>
      </c>
      <c r="I110" s="121"/>
    </row>
    <row r="111" spans="1:35" ht="18.75" customHeight="1">
      <c r="A111" s="121"/>
      <c r="B111" s="121"/>
      <c r="C111" s="121"/>
      <c r="D111" s="121"/>
      <c r="E111" s="3283" t="str">
        <f>IF(项目基本情况!E9="抵押净值",IF(OR(项目基本情况!E8="已注销",项目基本情况!E8="房地产抵押价值"),"4.抵押净值","5.抵押净值"),"——")</f>
        <v>——</v>
      </c>
      <c r="F111" s="3269"/>
      <c r="G111" s="1687" t="s">
        <v>1432</v>
      </c>
      <c r="H111" s="2381" t="str">
        <f>IF(E111="——","——",N59)</f>
        <v>——</v>
      </c>
      <c r="I111" s="121"/>
    </row>
    <row r="112" spans="1:35" ht="18.75" customHeight="1" thickBot="1">
      <c r="A112" s="121"/>
      <c r="B112" s="121"/>
      <c r="C112" s="121"/>
      <c r="D112" s="121"/>
      <c r="E112" s="3284"/>
      <c r="F112" s="3285"/>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173.72</v>
      </c>
      <c r="C118" s="2150">
        <f>M19</f>
        <v>0</v>
      </c>
      <c r="D118" s="2150">
        <f ca="1">ROUND(IF(D32="总价",C34,E118*B118/10000),0)</f>
        <v>329</v>
      </c>
      <c r="E118" s="2150">
        <f ca="1">ROUND(IF(C33="自定义",IF(D32="楼面单价",C34,D118*10000/B118),I118-G118),0)</f>
        <v>18967</v>
      </c>
      <c r="F118" s="2150">
        <f ca="1">ROUND(IF(D32="总价",C35,G118*B118/10000),0)</f>
        <v>96</v>
      </c>
      <c r="G118" s="2150">
        <f ca="1">ROUND(IF(D32="楼面单价",C35,F118*10000/B118),0)</f>
        <v>5506</v>
      </c>
      <c r="H118" s="2150">
        <f ca="1">ROUND(IF(D32="总价",C32,I118*B118/10000),0)</f>
        <v>425</v>
      </c>
      <c r="I118" s="2150">
        <f ca="1">ROUND(IF(D32="楼面单价",C32,H118*10000/B118),0)</f>
        <v>24473</v>
      </c>
    </row>
    <row r="119" spans="1:27" ht="18.75" customHeight="1">
      <c r="A119" s="3257" t="s">
        <v>1452</v>
      </c>
      <c r="B119" s="3257"/>
      <c r="C119" s="3257"/>
      <c r="D119" s="3263" t="str">
        <f ca="1">NUMBERSTRING(INT(D118*10000),2)&amp;"元整"</f>
        <v>叁佰贰拾玖万元整</v>
      </c>
      <c r="E119" s="3264"/>
      <c r="F119" s="3263" t="str">
        <f ca="1">NUMBERSTRING(INT(F118*10000),2)&amp;"元整"</f>
        <v>玖拾陆万元整</v>
      </c>
      <c r="G119" s="3264"/>
      <c r="H119" s="3263" t="str">
        <f ca="1">NUMBERSTRING(INT(H118*10000),2)&amp;"元整"</f>
        <v>肆佰贰拾伍万元整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3" t="s">
        <v>1452</v>
      </c>
      <c r="B121" s="3265"/>
      <c r="C121" s="3264"/>
      <c r="D121" s="3263" t="str">
        <f>IF(D120=0,"零元整",NUMBERSTRING(INT(D120*10000),2)&amp;"元整")</f>
        <v>零元整</v>
      </c>
      <c r="E121" s="3265"/>
      <c r="F121" s="3265"/>
      <c r="G121" s="3265"/>
      <c r="H121" s="3265"/>
      <c r="I121" s="3264"/>
      <c r="AA121" s="684"/>
    </row>
    <row r="122" spans="1:27" ht="18.75" customHeight="1">
      <c r="A122" s="3269" t="str">
        <f>IF(项目基本情况!B9="房地产市场价值","",MID(E107,3,LEN(E107)-2))</f>
        <v>房地产抵押价值</v>
      </c>
      <c r="B122" s="3269"/>
      <c r="C122" s="3269"/>
      <c r="D122" s="3258">
        <f ca="1">H107</f>
        <v>425</v>
      </c>
      <c r="E122" s="3259"/>
      <c r="F122" s="3259"/>
      <c r="G122" s="3259"/>
      <c r="H122" s="3259"/>
      <c r="I122" s="3260"/>
      <c r="AA122" s="684"/>
    </row>
    <row r="123" spans="1:27" ht="18.75" customHeight="1">
      <c r="A123" s="3257" t="s">
        <v>1452</v>
      </c>
      <c r="B123" s="3257"/>
      <c r="C123" s="3257"/>
      <c r="D123" s="3263" t="str">
        <f ca="1">NUMBERSTRING(INT(D122*10000),2)&amp;"元整"</f>
        <v>肆佰贰拾伍万元整</v>
      </c>
      <c r="E123" s="3265"/>
      <c r="F123" s="3265"/>
      <c r="G123" s="3265"/>
      <c r="H123" s="3265"/>
      <c r="I123" s="3264"/>
      <c r="AA123" s="684"/>
    </row>
    <row r="124" spans="1:27" ht="18.75" customHeight="1">
      <c r="A124" s="3269" t="str">
        <f>IF(项目基本情况!B9="房地产市场价值","",MID(E109,3,LEN(E109)-2))</f>
        <v/>
      </c>
      <c r="B124" s="3269"/>
      <c r="C124" s="3269"/>
      <c r="D124" s="3258" t="str">
        <f>H109</f>
        <v>——</v>
      </c>
      <c r="E124" s="3259"/>
      <c r="F124" s="3259"/>
      <c r="G124" s="3259"/>
      <c r="H124" s="3259"/>
      <c r="I124" s="3260"/>
      <c r="AA124" s="684"/>
    </row>
    <row r="125" spans="1:27" ht="18.75" customHeight="1">
      <c r="A125" s="3257" t="s">
        <v>1452</v>
      </c>
      <c r="B125" s="3257"/>
      <c r="C125" s="3257"/>
      <c r="D125" s="3263" t="e">
        <f>NUMBERSTRING(INT(D124*10000),2)&amp;"元整"</f>
        <v>#VALUE!</v>
      </c>
      <c r="E125" s="3265"/>
      <c r="F125" s="3265"/>
      <c r="G125" s="3265"/>
      <c r="H125" s="3265"/>
      <c r="I125" s="3264"/>
      <c r="AA125" s="684"/>
    </row>
    <row r="126" spans="1:27" ht="18.75" customHeight="1">
      <c r="A126" s="3269" t="str">
        <f>IF(项目基本情况!B9="房地产市场价值","",MID(E111,3,LEN(E111)-2))</f>
        <v/>
      </c>
      <c r="B126" s="3269"/>
      <c r="C126" s="3269"/>
      <c r="D126" s="3258" t="str">
        <f>H111</f>
        <v>——</v>
      </c>
      <c r="E126" s="3259"/>
      <c r="F126" s="3259"/>
      <c r="G126" s="3259"/>
      <c r="H126" s="3259"/>
      <c r="I126" s="3260"/>
      <c r="AA126" s="684"/>
    </row>
    <row r="127" spans="1:27" ht="18.75" customHeight="1">
      <c r="A127" s="3257" t="s">
        <v>1452</v>
      </c>
      <c r="B127" s="3257"/>
      <c r="C127" s="3257"/>
      <c r="D127" s="3263" t="e">
        <f>NUMBERSTRING(INT(D126*10000),2)&amp;"元整"</f>
        <v>#VALUE!</v>
      </c>
      <c r="E127" s="3265"/>
      <c r="F127" s="3265"/>
      <c r="G127" s="3265"/>
      <c r="H127" s="3265"/>
      <c r="I127" s="3264"/>
      <c r="AA127" s="684"/>
    </row>
    <row r="128" spans="1:27" ht="21.75" customHeight="1">
      <c r="A128" s="3266" t="s">
        <v>1453</v>
      </c>
      <c r="B128" s="3266"/>
      <c r="C128" s="3266"/>
      <c r="D128" s="3266"/>
      <c r="E128" s="3266"/>
      <c r="F128" s="3266"/>
      <c r="G128" s="3266"/>
      <c r="H128" s="3266"/>
      <c r="I128" s="32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80" zoomScaleNormal="70" zoomScaleSheetLayoutView="80" workbookViewId="0">
      <selection activeCell="J54" sqref="J5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3392</v>
      </c>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492.6352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28358</v>
      </c>
      <c r="C3" s="344" t="s">
        <v>1768</v>
      </c>
      <c r="D3" s="343">
        <f>IF(D1="",'数据-汇总表'!E3,SUMIF('数据-汇总表'!$C19:$C33,D1,'数据-汇总表'!$E19:$E33))</f>
        <v>173.72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41" t="s">
        <v>1771</v>
      </c>
      <c r="S4" s="3342"/>
      <c r="T4" s="3341" t="s">
        <v>1772</v>
      </c>
      <c r="U4" s="3342"/>
      <c r="V4" s="3370" t="s">
        <v>1773</v>
      </c>
      <c r="W4" s="3370"/>
      <c r="X4" s="1809"/>
      <c r="Y4" s="3341" t="s">
        <v>1775</v>
      </c>
      <c r="Z4" s="3342"/>
      <c r="AA4" s="3336" t="s">
        <v>1771</v>
      </c>
      <c r="AB4" s="3336" t="s">
        <v>1772</v>
      </c>
      <c r="AC4" s="3355" t="s">
        <v>1773</v>
      </c>
    </row>
    <row r="5" spans="1:29" ht="15">
      <c r="A5" s="348"/>
      <c r="B5" s="349"/>
      <c r="C5" s="3347" t="s">
        <v>1673</v>
      </c>
      <c r="D5" s="3348"/>
      <c r="E5" s="3345" t="s">
        <v>3425</v>
      </c>
      <c r="F5" s="3346"/>
      <c r="G5" s="3351" t="s">
        <v>3425</v>
      </c>
      <c r="H5" s="3348"/>
      <c r="I5" s="3351" t="s">
        <v>3425</v>
      </c>
      <c r="J5" s="3348"/>
      <c r="K5" s="537"/>
      <c r="L5" s="2487"/>
      <c r="M5" s="2488"/>
      <c r="N5" s="2488"/>
      <c r="O5" s="2488"/>
      <c r="P5" s="3364"/>
      <c r="Q5" s="3365"/>
      <c r="R5" s="3343"/>
      <c r="S5" s="3344"/>
      <c r="T5" s="3343"/>
      <c r="U5" s="3344"/>
      <c r="V5" s="3371"/>
      <c r="W5" s="3371"/>
      <c r="X5" s="1265"/>
      <c r="Y5" s="3343"/>
      <c r="Z5" s="3344"/>
      <c r="AA5" s="3337"/>
      <c r="AB5" s="3337"/>
      <c r="AC5" s="3356"/>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366"/>
      <c r="Q6" s="3367"/>
      <c r="R6" s="3343"/>
      <c r="S6" s="3344"/>
      <c r="T6" s="3368"/>
      <c r="U6" s="3369"/>
      <c r="V6" s="3371"/>
      <c r="W6" s="3371"/>
      <c r="X6" s="1265"/>
      <c r="Y6" s="3368"/>
      <c r="Z6" s="3369"/>
      <c r="AA6" s="3338"/>
      <c r="AB6" s="3338"/>
      <c r="AC6" s="3357"/>
    </row>
    <row r="7" spans="1:29" s="102" customFormat="1" ht="15.75" thickBot="1">
      <c r="A7" s="352" t="s">
        <v>1679</v>
      </c>
      <c r="B7" s="353"/>
      <c r="C7" s="354">
        <f>'数据-取费表'!B2</f>
        <v>45054</v>
      </c>
      <c r="D7" s="355">
        <v>100</v>
      </c>
      <c r="E7" s="356">
        <f>C7</f>
        <v>45054</v>
      </c>
      <c r="F7" s="357">
        <f>SUMIF(59:59,YEAR(E7)&amp;"-"&amp;MONTH(E7),60:60)</f>
        <v>100</v>
      </c>
      <c r="G7" s="356">
        <f>C7</f>
        <v>45054</v>
      </c>
      <c r="H7" s="355">
        <f>SUMIF(59:59,YEAR(G7)&amp;"-"&amp;MONTH(G7),60:60)</f>
        <v>100</v>
      </c>
      <c r="I7" s="356">
        <f>C7</f>
        <v>45054</v>
      </c>
      <c r="J7" s="355">
        <f>SUMIF(59:59,YEAR(I7)&amp;"-"&amp;MONTH(I7),60:60)</f>
        <v>100</v>
      </c>
      <c r="K7" s="38"/>
      <c r="L7" s="2489"/>
      <c r="M7" s="2440"/>
      <c r="N7" s="2440"/>
      <c r="O7" s="2440"/>
      <c r="P7" s="3372" t="s">
        <v>1680</v>
      </c>
      <c r="Q7" s="3373"/>
      <c r="R7" s="664" t="s">
        <v>14</v>
      </c>
      <c r="S7" s="665">
        <f t="shared" ref="S7:S15" si="0">F7</f>
        <v>100</v>
      </c>
      <c r="T7" s="664" t="s">
        <v>14</v>
      </c>
      <c r="U7" s="665">
        <f t="shared" ref="U7:U15" si="1">H7</f>
        <v>100</v>
      </c>
      <c r="V7" s="664" t="s">
        <v>14</v>
      </c>
      <c r="W7" s="665">
        <f t="shared" ref="W7:W15" si="2">J7</f>
        <v>100</v>
      </c>
      <c r="X7" s="666"/>
      <c r="Y7" s="3339" t="s">
        <v>1680</v>
      </c>
      <c r="Z7" s="3340"/>
      <c r="AA7" s="50">
        <f>D7/F7</f>
        <v>1</v>
      </c>
      <c r="AB7" s="50">
        <f>D7/H7</f>
        <v>1</v>
      </c>
      <c r="AC7" s="802">
        <f>D7/J7</f>
        <v>1</v>
      </c>
    </row>
    <row r="8" spans="1:29" s="102" customFormat="1" ht="15.75" thickBot="1">
      <c r="A8" s="352" t="s">
        <v>1681</v>
      </c>
      <c r="B8" s="353"/>
      <c r="C8" s="358" t="s">
        <v>3400</v>
      </c>
      <c r="D8" s="355">
        <v>100</v>
      </c>
      <c r="E8" s="358" t="s">
        <v>3398</v>
      </c>
      <c r="F8" s="357">
        <f>SUMIF(62:62,E8,63:63)-SUMIF(62:62,C8,63:63)+100</f>
        <v>105</v>
      </c>
      <c r="G8" s="358" t="s">
        <v>3398</v>
      </c>
      <c r="H8" s="355">
        <f>SUMIF(62:62,G8,63:63)-SUMIF(62:62,C8,63:63)+100</f>
        <v>105</v>
      </c>
      <c r="I8" s="358" t="s">
        <v>3398</v>
      </c>
      <c r="J8" s="355">
        <f>SUMIF(62:62,I8,63:63)-SUMIF(62:62,C8,63:63)+100</f>
        <v>105</v>
      </c>
      <c r="K8" s="38"/>
      <c r="L8" s="2489"/>
      <c r="M8" s="2440"/>
      <c r="N8" s="2440"/>
      <c r="O8" s="2440"/>
      <c r="P8" s="3372" t="s">
        <v>1683</v>
      </c>
      <c r="Q8" s="3340"/>
      <c r="R8" s="664" t="s">
        <v>14</v>
      </c>
      <c r="S8" s="665">
        <f t="shared" si="0"/>
        <v>105</v>
      </c>
      <c r="T8" s="664" t="s">
        <v>14</v>
      </c>
      <c r="U8" s="665">
        <f t="shared" si="1"/>
        <v>105</v>
      </c>
      <c r="V8" s="664" t="s">
        <v>14</v>
      </c>
      <c r="W8" s="665">
        <f t="shared" si="2"/>
        <v>105</v>
      </c>
      <c r="X8" s="666"/>
      <c r="Y8" s="3339" t="s">
        <v>1683</v>
      </c>
      <c r="Z8" s="3340"/>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48" t="s">
        <v>3401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7">
      <c r="A10" s="363"/>
      <c r="B10" s="364" t="s">
        <v>1688</v>
      </c>
      <c r="C10" s="3133" t="s">
        <v>3402</v>
      </c>
      <c r="D10" s="119">
        <v>100</v>
      </c>
      <c r="E10" s="3133" t="s">
        <v>3402</v>
      </c>
      <c r="F10" s="119">
        <f>SUMIF(66:66,E10,67:67)-SUMIF(66:66,C10,67:67)+100</f>
        <v>100</v>
      </c>
      <c r="G10" s="3134" t="s">
        <v>3402</v>
      </c>
      <c r="H10" s="119">
        <f>SUMIF(66:66,G10,67:67)-SUMIF(66:66,C10,67:67)+100</f>
        <v>100</v>
      </c>
      <c r="I10" s="3133" t="s">
        <v>3402</v>
      </c>
      <c r="J10" s="119">
        <f>SUMIF(66:66,I10,67:67)-SUMIF(66:66,C10,67:67)+100</f>
        <v>100</v>
      </c>
      <c r="K10" s="38"/>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4"/>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4"/>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4"/>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4"/>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15">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t="s">
        <v>3389</v>
      </c>
      <c r="D16" s="387"/>
      <c r="E16" s="386" t="s">
        <v>3389</v>
      </c>
      <c r="F16" s="387"/>
      <c r="G16" s="386" t="s">
        <v>3389</v>
      </c>
      <c r="H16" s="389"/>
      <c r="I16" s="386" t="s">
        <v>3389</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814" t="s">
        <v>3389</v>
      </c>
      <c r="D18" s="389"/>
      <c r="E18" s="1814" t="s">
        <v>3389</v>
      </c>
      <c r="F18" s="389"/>
      <c r="G18" s="1814" t="s">
        <v>3389</v>
      </c>
      <c r="H18" s="387"/>
      <c r="I18" s="1814" t="s">
        <v>3389</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t="s">
        <v>3389</v>
      </c>
      <c r="D20" s="387"/>
      <c r="E20" s="1758" t="s">
        <v>3389</v>
      </c>
      <c r="F20" s="387"/>
      <c r="G20" s="1758" t="s">
        <v>3389</v>
      </c>
      <c r="H20" s="387"/>
      <c r="I20" s="1758" t="s">
        <v>3389</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t="s">
        <v>3395</v>
      </c>
      <c r="D22" s="387"/>
      <c r="E22" s="1814" t="s">
        <v>3395</v>
      </c>
      <c r="F22" s="387"/>
      <c r="G22" s="1814" t="s">
        <v>3395</v>
      </c>
      <c r="H22" s="387"/>
      <c r="I22" s="1814" t="s">
        <v>3395</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t="s">
        <v>3388</v>
      </c>
      <c r="D24" s="387"/>
      <c r="E24" s="1758" t="s">
        <v>3388</v>
      </c>
      <c r="F24" s="387"/>
      <c r="G24" s="1758" t="s">
        <v>3388</v>
      </c>
      <c r="H24" s="387"/>
      <c r="I24" s="1758" t="s">
        <v>3388</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
      <c r="A27" s="367"/>
      <c r="B27" s="401" t="s">
        <v>1783</v>
      </c>
      <c r="C27" s="558" t="s">
        <v>3407</v>
      </c>
      <c r="D27" s="374">
        <v>100</v>
      </c>
      <c r="E27" s="542" t="s">
        <v>3407</v>
      </c>
      <c r="F27" s="374">
        <f>SUMIF(89:89,E27,90:90)-SUMIF(89:89,C27,90:90)+100</f>
        <v>100</v>
      </c>
      <c r="G27" s="558" t="s">
        <v>3405</v>
      </c>
      <c r="H27" s="374">
        <f>SUMIF(89:89,G27,90:90)-SUMIF(89:89,C27,90:90)+100</f>
        <v>103</v>
      </c>
      <c r="I27" s="542" t="s">
        <v>3403</v>
      </c>
      <c r="J27" s="374">
        <f>SUMIF(89:89,I27,90:90)-SUMIF(89:89,C27,90:90)+100</f>
        <v>106</v>
      </c>
      <c r="K27" s="538">
        <v>3</v>
      </c>
      <c r="L27" s="2493"/>
      <c r="M27" s="2488"/>
      <c r="N27" s="2488"/>
      <c r="O27" s="2488"/>
      <c r="P27" s="3375"/>
      <c r="Q27" s="1263" t="str">
        <f t="shared" ref="Q27:Q47" si="11">B27</f>
        <v>楼层</v>
      </c>
      <c r="R27" s="667" t="s">
        <v>14</v>
      </c>
      <c r="S27" s="668">
        <f>F27</f>
        <v>100</v>
      </c>
      <c r="T27" s="667" t="s">
        <v>14</v>
      </c>
      <c r="U27" s="668">
        <f>H27</f>
        <v>103</v>
      </c>
      <c r="V27" s="667" t="s">
        <v>14</v>
      </c>
      <c r="W27" s="668">
        <f>J27</f>
        <v>106</v>
      </c>
      <c r="X27" s="1265"/>
      <c r="Y27" s="3377"/>
      <c r="Z27" s="1264" t="str">
        <f>Q27</f>
        <v>楼层</v>
      </c>
      <c r="AA27" s="1264">
        <f t="shared" si="3"/>
        <v>1</v>
      </c>
      <c r="AB27" s="1264">
        <f t="shared" si="4"/>
        <v>0.970873786407767</v>
      </c>
      <c r="AC27" s="1812">
        <f t="shared" si="5"/>
        <v>0.94339622641509435</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t="s">
        <v>3409</v>
      </c>
      <c r="D33" s="405">
        <v>100</v>
      </c>
      <c r="E33" s="1764" t="s">
        <v>3409</v>
      </c>
      <c r="F33" s="400">
        <f>SUMIF(101:101,E33,102:102)-SUMIF(101:101,C33,102:102)+100</f>
        <v>100</v>
      </c>
      <c r="G33" s="1764" t="s">
        <v>3409</v>
      </c>
      <c r="H33" s="374">
        <f>SUMIF(101:101,G33,102:102)-SUMIF(101:101,C33,102:102)+100</f>
        <v>100</v>
      </c>
      <c r="I33" s="1764" t="s">
        <v>3409</v>
      </c>
      <c r="J33" s="405">
        <f>SUMIF(101:101,I33,102:102)-SUMIF(101:101,C33,102:102)+100</f>
        <v>100</v>
      </c>
      <c r="K33" s="538">
        <v>3</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173.72</v>
      </c>
      <c r="D34" s="119">
        <v>100</v>
      </c>
      <c r="E34" s="369">
        <v>173.72</v>
      </c>
      <c r="F34" s="364">
        <f>LOOKUP(E34,104:104,105:105)-LOOKUP(C34,104:104,105:105)+100</f>
        <v>100</v>
      </c>
      <c r="G34" s="368">
        <v>800</v>
      </c>
      <c r="H34" s="119">
        <f>LOOKUP(G34,104:104,105:105)-LOOKUP(C34,104:104,105:105)+100</f>
        <v>98</v>
      </c>
      <c r="I34" s="368">
        <v>200</v>
      </c>
      <c r="J34" s="119">
        <f>LOOKUP(I34,104:104,105:105)-LOOKUP(C34,104:104,105:105)+100</f>
        <v>99</v>
      </c>
      <c r="K34" s="539"/>
      <c r="L34" s="2492"/>
      <c r="M34" s="2494"/>
      <c r="N34" s="2494"/>
      <c r="O34" s="2494"/>
      <c r="P34" s="3379"/>
      <c r="Q34" s="531" t="str">
        <f t="shared" si="11"/>
        <v>项目建筑规模</v>
      </c>
      <c r="R34" s="669" t="s">
        <v>14</v>
      </c>
      <c r="S34" s="670">
        <f t="shared" si="12"/>
        <v>100</v>
      </c>
      <c r="T34" s="669" t="s">
        <v>14</v>
      </c>
      <c r="U34" s="670">
        <f t="shared" si="13"/>
        <v>98</v>
      </c>
      <c r="V34" s="669" t="s">
        <v>14</v>
      </c>
      <c r="W34" s="670">
        <f t="shared" si="14"/>
        <v>99</v>
      </c>
      <c r="X34" s="671"/>
      <c r="Y34" s="3381"/>
      <c r="Z34" s="672" t="str">
        <f t="shared" si="15"/>
        <v>项目建筑规模</v>
      </c>
      <c r="AA34" s="1264">
        <f t="shared" si="3"/>
        <v>1</v>
      </c>
      <c r="AB34" s="1264">
        <f t="shared" si="4"/>
        <v>1.0204081632653061</v>
      </c>
      <c r="AC34" s="1812">
        <f t="shared" si="5"/>
        <v>1.0101010101010102</v>
      </c>
    </row>
    <row r="35" spans="1:29" ht="15">
      <c r="A35" s="409"/>
      <c r="B35" s="364" t="s">
        <v>1698</v>
      </c>
      <c r="C35" s="399" t="s">
        <v>3380</v>
      </c>
      <c r="D35" s="374">
        <v>100</v>
      </c>
      <c r="E35" s="399" t="s">
        <v>3380</v>
      </c>
      <c r="F35" s="400">
        <f>SUMIF(106:106,E35,107:107)-SUMIF(106:106,C35,107:107)+100</f>
        <v>100</v>
      </c>
      <c r="G35" s="399" t="s">
        <v>3380</v>
      </c>
      <c r="H35" s="374">
        <f>SUMIF(106:106,G35,107:107)-SUMIF(106:106,C35,107:107)+100</f>
        <v>100</v>
      </c>
      <c r="I35" s="399" t="s">
        <v>3380</v>
      </c>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t="s">
        <v>3412</v>
      </c>
      <c r="D36" s="374">
        <v>100</v>
      </c>
      <c r="E36" s="399" t="s">
        <v>3412</v>
      </c>
      <c r="F36" s="400">
        <f>SUMIF(108:108,E36,109:109)-SUMIF(108:108,C36,109:109)+100</f>
        <v>100</v>
      </c>
      <c r="G36" s="399" t="s">
        <v>3412</v>
      </c>
      <c r="H36" s="374">
        <f>SUMIF(108:108,G36,109:109)-SUMIF(108:108,C36,109:109)+100</f>
        <v>100</v>
      </c>
      <c r="I36" s="399" t="s">
        <v>3412</v>
      </c>
      <c r="J36" s="374">
        <f>SUMIF(108:108,I36,109:109)-SUMIF(108:108,C36,109:109)+100</f>
        <v>100</v>
      </c>
      <c r="K36" s="538">
        <v>2</v>
      </c>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2</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
      <c r="A38" s="410"/>
      <c r="B38" s="364" t="s">
        <v>1818</v>
      </c>
      <c r="C38" s="399" t="s">
        <v>3414</v>
      </c>
      <c r="D38" s="119">
        <v>100</v>
      </c>
      <c r="E38" s="399" t="s">
        <v>3414</v>
      </c>
      <c r="F38" s="400">
        <f>SUMIF(113:113,E38,114:114)-SUMIF(113:113,C38,114:114)+100</f>
        <v>100</v>
      </c>
      <c r="G38" s="399" t="s">
        <v>3414</v>
      </c>
      <c r="H38" s="374">
        <f>SUMIF(113:113,G38,114:114)-SUMIF(113:113,C38,114:114)+100</f>
        <v>100</v>
      </c>
      <c r="I38" s="399" t="s">
        <v>3414</v>
      </c>
      <c r="J38" s="374">
        <f>SUMIF(113:113,I38,114:114)-SUMIF(113:113,C38,114:114)+100</f>
        <v>100</v>
      </c>
      <c r="K38" s="538">
        <v>2</v>
      </c>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t="s">
        <v>3416</v>
      </c>
      <c r="D39" s="374">
        <v>100</v>
      </c>
      <c r="E39" s="399" t="s">
        <v>3416</v>
      </c>
      <c r="F39" s="400">
        <f>SUMIF(115:115,E39,116:116)-SUMIF(115:115,C39,116:116)+100</f>
        <v>100</v>
      </c>
      <c r="G39" s="399" t="s">
        <v>3416</v>
      </c>
      <c r="H39" s="374">
        <f>SUMIF(115:115,G39,116:116)-SUMIF(115:115,C39,116:116)+100</f>
        <v>100</v>
      </c>
      <c r="I39" s="399" t="s">
        <v>3416</v>
      </c>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t="s">
        <v>3420</v>
      </c>
      <c r="D40" s="374">
        <v>100</v>
      </c>
      <c r="E40" s="399" t="s">
        <v>3420</v>
      </c>
      <c r="F40" s="400">
        <f>SUMIF(117:117,E40,118:118)-SUMIF(117:117,C40,118:118)+100</f>
        <v>100</v>
      </c>
      <c r="G40" s="399" t="s">
        <v>3420</v>
      </c>
      <c r="H40" s="374">
        <f>SUMIF(117:117,G40,118:118)-SUMIF(117:117,C40,118:118)+100</f>
        <v>100</v>
      </c>
      <c r="I40" s="399" t="s">
        <v>3420</v>
      </c>
      <c r="J40" s="374">
        <f>SUMIF(117:117,I40,118:118)-SUMIF(117:117,C40,118:118)+100</f>
        <v>100</v>
      </c>
      <c r="K40" s="538">
        <v>2</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t="s">
        <v>3423</v>
      </c>
      <c r="D41" s="374">
        <v>100</v>
      </c>
      <c r="E41" s="542" t="s">
        <v>3423</v>
      </c>
      <c r="F41" s="400">
        <f>SUMIF(119:119,E41,120:120)-SUMIF(119:119,C41,120:120)+100</f>
        <v>100</v>
      </c>
      <c r="G41" s="542" t="s">
        <v>3423</v>
      </c>
      <c r="H41" s="374">
        <f>SUMIF(119:119,G41,120:120)-SUMIF(119:119,C41,120:120)+100</f>
        <v>100</v>
      </c>
      <c r="I41" s="542" t="s">
        <v>3423</v>
      </c>
      <c r="J41" s="374">
        <f>SUMIF(119:119,I41,120:120)-SUMIF(119:119,C41,120:120)+100</f>
        <v>100</v>
      </c>
      <c r="K41" s="538">
        <v>2</v>
      </c>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ht="15">
      <c r="A48" s="416" t="s">
        <v>1708</v>
      </c>
      <c r="B48" s="417"/>
      <c r="C48" s="1081" t="s">
        <v>0</v>
      </c>
      <c r="D48" s="418"/>
      <c r="E48" s="419">
        <v>33000</v>
      </c>
      <c r="F48" s="420"/>
      <c r="G48" s="421">
        <v>28000</v>
      </c>
      <c r="H48" s="422"/>
      <c r="I48" s="419">
        <v>30000</v>
      </c>
      <c r="J48" s="422"/>
      <c r="K48" s="674"/>
      <c r="L48" s="2495"/>
      <c r="M48" s="2488"/>
      <c r="N48" s="2488"/>
      <c r="O48" s="2488"/>
      <c r="P48" s="3354" t="str">
        <f>A48</f>
        <v>成交单价（元/平方米）</v>
      </c>
      <c r="Q48" s="3383"/>
      <c r="R48" s="3371">
        <f>E48</f>
        <v>33000</v>
      </c>
      <c r="S48" s="3371"/>
      <c r="T48" s="3371">
        <f>G48</f>
        <v>28000</v>
      </c>
      <c r="U48" s="3371"/>
      <c r="V48" s="3371">
        <f>I48</f>
        <v>30000</v>
      </c>
      <c r="W48" s="3371"/>
      <c r="X48" s="385"/>
      <c r="Y48" s="673"/>
      <c r="Z48" s="385"/>
      <c r="AA48" s="385"/>
      <c r="AB48" s="385"/>
      <c r="AC48" s="555"/>
    </row>
    <row r="49" spans="1:29" ht="15.75" thickBot="1">
      <c r="A49" s="423" t="s">
        <v>1793</v>
      </c>
      <c r="B49" s="424"/>
      <c r="C49" s="1082">
        <f>R50</f>
        <v>28358</v>
      </c>
      <c r="D49" s="2141" t="s">
        <v>2138</v>
      </c>
      <c r="E49" s="1083">
        <f>R49</f>
        <v>31429</v>
      </c>
      <c r="F49" s="2142"/>
      <c r="G49" s="1082">
        <f>T49</f>
        <v>26418</v>
      </c>
      <c r="H49" s="2142"/>
      <c r="I49" s="1083">
        <f>V49</f>
        <v>27226</v>
      </c>
      <c r="J49" s="2142"/>
      <c r="K49" s="2144">
        <f>F49+H49+J49</f>
        <v>0</v>
      </c>
      <c r="L49" s="2495"/>
      <c r="M49" s="2488"/>
      <c r="N49" s="2488"/>
      <c r="O49" s="2488"/>
      <c r="P49" s="3354" t="str">
        <f>A49</f>
        <v>比较价值（元/平方米）</v>
      </c>
      <c r="Q49" s="3383"/>
      <c r="R49" s="3371">
        <f>IF(F1="售价",ROUND(PRODUCT(R48,AA7:AA47),0),ROUND(PRODUCT(R48,AA7:AA47),1))</f>
        <v>31429</v>
      </c>
      <c r="S49" s="3371"/>
      <c r="T49" s="3371">
        <f>IF(F1="售价",ROUND(PRODUCT(T48,AB7:AB47),0),ROUND(PRODUCT(T48,AB7:AB47),1))</f>
        <v>26418</v>
      </c>
      <c r="U49" s="3371"/>
      <c r="V49" s="3371">
        <f>IF(F1="售价",ROUND(PRODUCT(V48,AC7:AC47),0),ROUND(PRODUCT(V48,AC7:AC47),1))</f>
        <v>27226</v>
      </c>
      <c r="W49" s="3371"/>
      <c r="X49" s="385"/>
      <c r="Y49" s="385"/>
      <c r="Z49" s="385"/>
      <c r="AA49" s="385"/>
      <c r="AB49" s="385"/>
      <c r="AC49" s="555"/>
    </row>
    <row r="50" spans="1:29" ht="15.75" thickBot="1">
      <c r="A50" s="427" t="s">
        <v>1794</v>
      </c>
      <c r="B50" s="428"/>
      <c r="C50" s="351">
        <f>R50</f>
        <v>28358</v>
      </c>
      <c r="D50" s="351"/>
      <c r="E50" s="351"/>
      <c r="F50" s="351"/>
      <c r="G50" s="351"/>
      <c r="H50" s="351"/>
      <c r="I50" s="351"/>
      <c r="J50" s="429"/>
      <c r="K50" s="675"/>
      <c r="L50" s="2495"/>
      <c r="M50" s="2488"/>
      <c r="N50" s="2488"/>
      <c r="O50" s="2488"/>
      <c r="P50" s="3384" t="str">
        <f>A50</f>
        <v>估价对象XX用房的比较价值（楼面单价，元/平方米）</v>
      </c>
      <c r="Q50" s="3385"/>
      <c r="R50" s="3386">
        <f>IF(F1="售价",ROUND(IF(D49="简单平均",AVERAGE(R49:V49),R49*F49+T49*H49+V49*J49),0),ROUND(IF(D49="简单平均",AVERAGE(R49:V49),R49*F49+T49*H49+V49*J49),1))</f>
        <v>28358</v>
      </c>
      <c r="S50" s="3386"/>
      <c r="T50" s="3386"/>
      <c r="U50" s="3386"/>
      <c r="V50" s="3386"/>
      <c r="W50" s="338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4.9985682013427013E-2</v>
      </c>
      <c r="F53" s="435" t="str">
        <f>IF(OR(E53&gt;=0.3,E53&lt;=-0.3),"超过30%","")</f>
        <v/>
      </c>
      <c r="G53" s="434">
        <f>IF(G48&lt;G49,G49/G48-1,G48/G49-1)</f>
        <v>5.988341282458931E-2</v>
      </c>
      <c r="H53" s="435" t="str">
        <f>IF(OR(G53&gt;=0.3,G53&lt;=-0.3),"超过30%","")</f>
        <v/>
      </c>
      <c r="I53" s="434">
        <f>IF(I48&lt;I49,I49/I48-1,I48/I49-1)</f>
        <v>0.10188790127084402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0.18968127791657197</v>
      </c>
      <c r="F54" s="435" t="str">
        <f>IF(OR(E54&gt;=0.2,E54&lt;=-0.2),"超过20%","")</f>
        <v/>
      </c>
      <c r="G54" s="434">
        <f>IF(G49&lt;I49,I49/G49-1,G49/I49-1)</f>
        <v>3.058520705579526E-2</v>
      </c>
      <c r="H54" s="435" t="str">
        <f>IF(OR(G54&gt;=0.2,G54&lt;=-0.2),"超过20%","")</f>
        <v/>
      </c>
      <c r="I54" s="434">
        <f>IF(I49&lt;E49,E49/I49-1,I49/E49-1)</f>
        <v>0.15437449496804523</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0.1785714285714286</v>
      </c>
      <c r="F55" s="435" t="str">
        <f>IF(OR(E55&gt;=0.3,E55&lt;=-0.3),"超过30%","")</f>
        <v/>
      </c>
      <c r="G55" s="434">
        <f>IF(G48&lt;I48,I48/G48-1,G48/I48-1)</f>
        <v>7.1428571428571397E-2</v>
      </c>
      <c r="H55" s="435" t="str">
        <f>IF(OR(G55&gt;=0.3,G55&lt;=-0.3),"超过30%","")</f>
        <v/>
      </c>
      <c r="I55" s="434">
        <f>IF(I48&lt;E48,E48/I48-1,I48/E48-1)</f>
        <v>0.10000000000000009</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47" t="s">
        <v>3399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9" t="s">
        <v>3404</v>
      </c>
      <c r="D89" s="3149" t="s">
        <v>3406</v>
      </c>
      <c r="E89" s="3149" t="s">
        <v>3408</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50" t="s">
        <v>3410</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0(含)-200</v>
      </c>
      <c r="D103" s="509" t="str">
        <f t="shared" ref="D103:L103" si="23">D104&amp;"(含)"&amp;"-"&amp;E104</f>
        <v>200(含)-500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49" t="s">
        <v>3411</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49" t="s">
        <v>3413</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49" t="s">
        <v>3415</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49" t="s">
        <v>3417</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49" t="s">
        <v>3418</v>
      </c>
      <c r="D117" s="3149" t="s">
        <v>3419</v>
      </c>
      <c r="E117" s="3149" t="s">
        <v>3421</v>
      </c>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51" t="s">
        <v>3422</v>
      </c>
      <c r="D119" s="3151" t="s">
        <v>3424</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9177E-3546-428B-BD88-A876378255D9}">
  <dimension ref="A1"/>
  <sheetViews>
    <sheetView workbookViewId="0">
      <selection activeCell="M34" sqref="M34"/>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36.39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323.90210000000002</v>
      </c>
      <c r="C2" s="1289" t="s">
        <v>879</v>
      </c>
      <c r="D2" s="1375">
        <f ca="1">C40+J29+L46</f>
        <v>3239021</v>
      </c>
      <c r="E2" s="1295" t="s">
        <v>880</v>
      </c>
      <c r="F2" s="1296"/>
      <c r="G2" s="2479"/>
      <c r="H2" s="2469"/>
      <c r="I2" s="2469"/>
      <c r="J2" s="2469"/>
      <c r="K2" s="2470"/>
      <c r="L2" s="2469"/>
      <c r="M2" s="2469"/>
    </row>
    <row r="3" spans="1:37" ht="18" customHeight="1" thickBot="1">
      <c r="A3" s="1297" t="s">
        <v>881</v>
      </c>
      <c r="B3" s="1298">
        <f ca="1">IF(ISERROR(D2/F43),0,ROUND(D2/F43,0))</f>
        <v>18645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159988</v>
      </c>
      <c r="D5" s="1273" t="s">
        <v>889</v>
      </c>
      <c r="E5" s="1008"/>
      <c r="F5" s="1009"/>
      <c r="G5" s="1292"/>
      <c r="H5" s="291">
        <v>1</v>
      </c>
      <c r="I5" s="292" t="s">
        <v>888</v>
      </c>
      <c r="J5" s="1007">
        <f ca="1">J6+J10+J12</f>
        <v>0</v>
      </c>
      <c r="K5" s="1273" t="s">
        <v>889</v>
      </c>
      <c r="L5" s="1008"/>
      <c r="M5" s="1009"/>
    </row>
    <row r="6" spans="1:37" ht="18" customHeight="1">
      <c r="A6" s="1006" t="s">
        <v>398</v>
      </c>
      <c r="B6" s="3387" t="s">
        <v>694</v>
      </c>
      <c r="C6" s="1011">
        <f ca="1">ROUND(F6*F8*F7*(1-F9),0)</f>
        <v>159788</v>
      </c>
      <c r="D6" s="147" t="s">
        <v>2106</v>
      </c>
      <c r="E6" s="294" t="s">
        <v>696</v>
      </c>
      <c r="F6" s="295">
        <f ca="1">INDIRECT("'数据-取费表'!u"&amp;$G$1)</f>
        <v>2.8</v>
      </c>
      <c r="G6" s="1292"/>
      <c r="H6" s="1006" t="s">
        <v>398</v>
      </c>
      <c r="I6" s="3387" t="s">
        <v>694</v>
      </c>
      <c r="J6" s="293">
        <f ca="1">ROUND(M6*M8*M7*(1-M9),0)</f>
        <v>0</v>
      </c>
      <c r="K6" s="1284" t="s">
        <v>2107</v>
      </c>
      <c r="L6" s="294" t="s">
        <v>696</v>
      </c>
      <c r="M6" s="295">
        <f ca="1">INDIRECT("'数据-取费表'!z"&amp;$G$1)</f>
        <v>0</v>
      </c>
    </row>
    <row r="7" spans="1:37" ht="18" customHeight="1">
      <c r="A7" s="1010"/>
      <c r="B7" s="3388"/>
      <c r="C7" s="1012"/>
      <c r="D7" s="299"/>
      <c r="E7" s="1013" t="s">
        <v>697</v>
      </c>
      <c r="F7" s="295">
        <f ca="1">IF(INDIRECT("'数据-取费表'!ah"&amp;$G$1)="",INDIRECT("'数据-取费表'!k"&amp;$G$1),INDIRECT("'数据-取费表'!ah"&amp;$G$1))</f>
        <v>173.72</v>
      </c>
      <c r="G7" s="1292"/>
      <c r="H7" s="296"/>
      <c r="I7" s="3388"/>
      <c r="J7" s="298"/>
      <c r="K7" s="299"/>
      <c r="L7" s="294" t="s">
        <v>697</v>
      </c>
      <c r="M7" s="295">
        <f ca="1">F7</f>
        <v>173.72</v>
      </c>
    </row>
    <row r="8" spans="1:37" ht="18" customHeight="1">
      <c r="A8" s="296"/>
      <c r="B8" s="3388"/>
      <c r="C8" s="298"/>
      <c r="D8" s="299"/>
      <c r="E8" s="294" t="s">
        <v>698</v>
      </c>
      <c r="F8" s="295">
        <f ca="1">INDIRECT("'数据-取费表'!ai"&amp;$G$1)</f>
        <v>365</v>
      </c>
      <c r="G8" s="1292"/>
      <c r="H8" s="296"/>
      <c r="I8" s="3388"/>
      <c r="J8" s="298"/>
      <c r="K8" s="299"/>
      <c r="L8" s="294" t="s">
        <v>698</v>
      </c>
      <c r="M8" s="295">
        <f ca="1">INDIRECT("'数据-取费表'!ai"&amp;$G$1)</f>
        <v>365</v>
      </c>
    </row>
    <row r="9" spans="1:37" ht="18" customHeight="1">
      <c r="A9" s="296"/>
      <c r="B9" s="3389"/>
      <c r="C9" s="298"/>
      <c r="D9" s="299"/>
      <c r="E9" s="294" t="s">
        <v>699</v>
      </c>
      <c r="F9" s="304">
        <f ca="1">INDIRECT("'数据-取费表'!w"&amp;$G$1)</f>
        <v>0.1</v>
      </c>
      <c r="G9" s="1292"/>
      <c r="H9" s="296"/>
      <c r="I9" s="3389"/>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2116</v>
      </c>
      <c r="E10" s="305" t="s">
        <v>701</v>
      </c>
      <c r="F10" s="1053" t="s">
        <v>3379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749361</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608020</v>
      </c>
      <c r="D14" s="1257" t="s">
        <v>708</v>
      </c>
      <c r="E14" s="1255"/>
      <c r="F14" s="311"/>
      <c r="G14" s="1292"/>
      <c r="H14" s="928" t="s">
        <v>398</v>
      </c>
      <c r="I14" s="294" t="s">
        <v>709</v>
      </c>
      <c r="J14" s="21">
        <f ca="1">C29</f>
        <v>881601</v>
      </c>
      <c r="K14" s="12"/>
      <c r="L14" s="759"/>
      <c r="M14" s="760"/>
    </row>
    <row r="15" spans="1:37" s="1304" customFormat="1" ht="18" customHeight="1" thickBot="1">
      <c r="A15" s="928" t="s">
        <v>399</v>
      </c>
      <c r="B15" s="294" t="s">
        <v>710</v>
      </c>
      <c r="C15" s="21">
        <f ca="1">ROUND(C14*F15,0)</f>
        <v>18241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8816</v>
      </c>
      <c r="K16" s="1024" t="s">
        <v>715</v>
      </c>
      <c r="L16" s="1025"/>
      <c r="M16" s="1009"/>
    </row>
    <row r="17" spans="1:37" s="1304" customFormat="1" ht="18" customHeight="1">
      <c r="A17" s="928" t="s">
        <v>681</v>
      </c>
      <c r="B17" s="294" t="s">
        <v>716</v>
      </c>
      <c r="C17" s="21">
        <f ca="1">ROUND(F17*(F43+INDIRECT("'数据-取费表'!S"&amp;$G$1)),0)</f>
        <v>34744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9120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670125</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13403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8816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28366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-8816</v>
      </c>
      <c r="K25" s="1032" t="s">
        <v>753</v>
      </c>
      <c r="L25" s="1033"/>
      <c r="M25" s="1034"/>
    </row>
    <row r="26" spans="1:37" ht="18" customHeight="1">
      <c r="A26" s="928" t="s">
        <v>397</v>
      </c>
      <c r="B26" s="294" t="s">
        <v>754</v>
      </c>
      <c r="C26" s="21">
        <f ca="1">ROUND((C19+C20)*F26,0)</f>
        <v>102529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881601</v>
      </c>
      <c r="D29" s="1029"/>
      <c r="E29" s="1027"/>
      <c r="F29" s="1030"/>
      <c r="G29" s="1303"/>
      <c r="H29" s="325" t="s">
        <v>396</v>
      </c>
      <c r="I29" s="326" t="s">
        <v>768</v>
      </c>
      <c r="J29" s="327">
        <f ca="1">ROUND(J26/(1+F40)^F41,0)</f>
        <v>0</v>
      </c>
      <c r="K29" s="328" t="s">
        <v>769</v>
      </c>
      <c r="L29" s="329"/>
      <c r="M29" s="330">
        <f ca="1">INDIRECT("'数据-取费表'!k"&amp;$G$1)</f>
        <v>173.72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21818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10653</v>
      </c>
      <c r="D31" s="1257" t="s">
        <v>720</v>
      </c>
      <c r="E31" s="1256" t="s">
        <v>770</v>
      </c>
      <c r="F31" s="2139">
        <f ca="1">IF(项目基本情况!B11="企业","——",IF(M47="住宅",IF(F6*F7*F8/12/(1+'数据-取费表'!F30)&gt;100000,4%,2.5%),IF(F6*F7*F8/12/(1+'数据-取费表'!F30)&gt;100000,12%,7%)))</f>
        <v>7.0000000000000007E-2</v>
      </c>
      <c r="G31" s="1292"/>
      <c r="H31" s="2570" t="s">
        <v>2298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8816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749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1600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138170</v>
      </c>
      <c r="D39" s="1032" t="s">
        <v>773</v>
      </c>
      <c r="E39" s="1033"/>
      <c r="F39" s="1034"/>
      <c r="G39" s="1292"/>
      <c r="H39" s="2474"/>
      <c r="I39" s="1305"/>
      <c r="J39" s="1306"/>
      <c r="K39" s="2472"/>
      <c r="L39" s="2474"/>
      <c r="M39" s="2474"/>
    </row>
    <row r="40" spans="1:18" ht="18" customHeight="1">
      <c r="A40" s="291" t="s">
        <v>395</v>
      </c>
      <c r="B40" s="292" t="s">
        <v>774</v>
      </c>
      <c r="C40" s="293">
        <f ca="1">ROUND(C39*(1-((1+F42)/(1+F40))^F41)/(F40-F42),0)</f>
        <v>3217590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36.39</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ROUND(C40/F43,0)</f>
        <v>18522</v>
      </c>
      <c r="D43" s="328" t="s">
        <v>777</v>
      </c>
      <c r="E43" s="329" t="s">
        <v>778</v>
      </c>
      <c r="F43" s="330">
        <f ca="1">INDIRECT("'数据-取费表'!k"&amp;$G$1)</f>
        <v>173.72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f ca="1">ROUND((C68-C40)/10000,4)</f>
        <v>-336.67149999999998</v>
      </c>
      <c r="D45" s="3131" t="s">
        <v>3345</v>
      </c>
      <c r="E45" s="1307"/>
      <c r="F45" s="1307"/>
      <c r="O45" s="1310" t="s">
        <v>808</v>
      </c>
      <c r="P45" s="1366"/>
      <c r="Q45" s="1366"/>
      <c r="R45" s="1366"/>
    </row>
    <row r="46" spans="1:18" s="1292" customFormat="1" ht="13.5" thickBot="1">
      <c r="A46" s="1311" t="s">
        <v>809</v>
      </c>
      <c r="C46" s="1312">
        <f ca="1">ROUND(C45,0)</f>
        <v>-337</v>
      </c>
      <c r="D46" s="1313" t="str">
        <f>C2</f>
        <v>万元</v>
      </c>
      <c r="I46" s="1314" t="s">
        <v>810</v>
      </c>
      <c r="J46" s="1315"/>
      <c r="K46" s="1316"/>
      <c r="L46" s="1317">
        <f ca="1">IF(M47="住宅",0,IF(L48&gt;J51,L60,J60))</f>
        <v>21431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3380</v>
      </c>
      <c r="K47" s="1323" t="s">
        <v>816</v>
      </c>
      <c r="L47" s="1324">
        <f ca="1">INDIRECT("'数据-取费表'!d"&amp;$G$1)</f>
        <v>50</v>
      </c>
      <c r="M47" s="1288" t="str">
        <f>IF(ISNUMBER(FIND("住宅",C1)),"住宅","非住宅")</f>
        <v>非住宅</v>
      </c>
      <c r="O47" s="1325" t="s">
        <v>403</v>
      </c>
      <c r="P47" s="1326" t="s">
        <v>817</v>
      </c>
      <c r="Q47" s="1327">
        <f ca="1">C40+J29</f>
        <v>3217590</v>
      </c>
      <c r="R47" s="1327" t="s">
        <v>818</v>
      </c>
    </row>
    <row r="48" spans="1:18" s="1292" customFormat="1" ht="28.5" thickBot="1">
      <c r="A48" s="1047" t="s">
        <v>438</v>
      </c>
      <c r="B48" s="292" t="s">
        <v>692</v>
      </c>
      <c r="C48" s="1268">
        <f ca="1">C49+C53+C55</f>
        <v>0</v>
      </c>
      <c r="D48" s="1049"/>
      <c r="E48" s="1050"/>
      <c r="F48" s="908"/>
      <c r="G48" s="681"/>
      <c r="H48" s="682"/>
      <c r="I48" s="1328" t="s">
        <v>819</v>
      </c>
      <c r="J48" s="1329" t="s">
        <v>3381</v>
      </c>
      <c r="K48" s="1330" t="s">
        <v>820</v>
      </c>
      <c r="L48" s="1331">
        <f ca="1">INDIRECT("'数据-取费表'!f"&amp;$G$1)</f>
        <v>36.39</v>
      </c>
      <c r="O48" s="1325" t="s">
        <v>404</v>
      </c>
      <c r="P48" s="1326" t="s">
        <v>821</v>
      </c>
      <c r="Q48" s="1327">
        <f ca="1">J60</f>
        <v>21431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2014</v>
      </c>
      <c r="K49" s="1330" t="s">
        <v>824</v>
      </c>
      <c r="L49" s="1333"/>
      <c r="O49" s="1334" t="s">
        <v>405</v>
      </c>
      <c r="P49" s="1326" t="s">
        <v>825</v>
      </c>
      <c r="Q49" s="1327">
        <f ca="1">C29</f>
        <v>881601</v>
      </c>
      <c r="R49" s="1327" t="s">
        <v>818</v>
      </c>
    </row>
    <row r="50" spans="1:18" s="1292" customFormat="1" ht="13.5" thickBot="1">
      <c r="A50" s="922"/>
      <c r="B50" s="925"/>
      <c r="C50" s="926"/>
      <c r="D50" s="899"/>
      <c r="E50" s="993" t="s">
        <v>697</v>
      </c>
      <c r="F50" s="994">
        <f ca="1">F7</f>
        <v>173.72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2533896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36.39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36.39</v>
      </c>
      <c r="K53" s="3390" t="s">
        <v>837</v>
      </c>
      <c r="L53" s="3391"/>
      <c r="O53" s="1325" t="s">
        <v>409</v>
      </c>
      <c r="P53" s="1326" t="s">
        <v>838</v>
      </c>
      <c r="Q53" s="1327">
        <f ca="1">Q47+Q48</f>
        <v>3239021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749361</v>
      </c>
      <c r="D56" s="1352"/>
      <c r="E56" s="1353"/>
      <c r="F56" s="1345"/>
      <c r="I56" s="1354" t="s">
        <v>842</v>
      </c>
      <c r="J56" s="1355" t="s">
        <v>3382</v>
      </c>
      <c r="K56" s="1328" t="s">
        <v>843</v>
      </c>
      <c r="L56" s="1331" t="str">
        <f ca="1">IF(L48&lt;J51,"——",L48-J51)</f>
        <v>——</v>
      </c>
      <c r="O56" s="1325" t="s">
        <v>403</v>
      </c>
      <c r="P56" s="1326" t="s">
        <v>817</v>
      </c>
      <c r="Q56" s="1327">
        <f ca="1">C40+J29</f>
        <v>3217590</v>
      </c>
      <c r="R56" s="1327" t="s">
        <v>818</v>
      </c>
    </row>
    <row r="57" spans="1:18" s="1292" customFormat="1" ht="24.75" thickBot="1">
      <c r="A57" s="1356"/>
      <c r="B57" s="896" t="s">
        <v>767</v>
      </c>
      <c r="C57" s="230">
        <f ca="1">C29</f>
        <v>881601</v>
      </c>
      <c r="D57" s="1357"/>
      <c r="E57" s="1358"/>
      <c r="F57" s="1359"/>
      <c r="I57" s="1360" t="s">
        <v>844</v>
      </c>
      <c r="J57" s="1361">
        <f ca="1">IF(OR(M47="住宅",J51&lt;L48,J56="是"),"——",J51-L48)</f>
        <v>14.61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9565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352640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21431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3217590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8816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749</v>
      </c>
      <c r="D65" s="910" t="s">
        <v>743</v>
      </c>
      <c r="E65" s="896" t="s">
        <v>744</v>
      </c>
      <c r="F65" s="321">
        <f t="shared" ca="1" si="0"/>
        <v>1E-3</v>
      </c>
      <c r="I65" s="1367" t="s">
        <v>867</v>
      </c>
      <c r="J65" s="610">
        <v>40</v>
      </c>
      <c r="K65" s="610">
        <v>30</v>
      </c>
      <c r="L65" s="610">
        <v>50</v>
      </c>
      <c r="M65" s="1369">
        <v>0.02</v>
      </c>
      <c r="O65" s="1325" t="s">
        <v>403</v>
      </c>
      <c r="P65" s="1326" t="s">
        <v>868</v>
      </c>
      <c r="Q65" s="1327">
        <f ca="1">C40+J29</f>
        <v>3217590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-9565</v>
      </c>
      <c r="D67" s="909" t="s">
        <v>753</v>
      </c>
      <c r="E67" s="914"/>
      <c r="F67" s="915"/>
      <c r="O67" s="1334" t="s">
        <v>405</v>
      </c>
      <c r="P67" s="1326" t="s">
        <v>850</v>
      </c>
      <c r="Q67" s="1370">
        <f ca="1">L51</f>
        <v>2533896</v>
      </c>
      <c r="R67" s="1327" t="s">
        <v>870</v>
      </c>
    </row>
    <row r="68" spans="1:18" s="1292" customFormat="1" ht="16.5" thickBot="1">
      <c r="A68" s="893" t="s">
        <v>395</v>
      </c>
      <c r="B68" s="894" t="s">
        <v>774</v>
      </c>
      <c r="C68" s="293">
        <f ca="1">ROUND(C67*(1-((1+F70)/(1+F68))^F69)/(F68-F70),0)</f>
        <v>-149125</v>
      </c>
      <c r="D68" s="911" t="s">
        <v>758</v>
      </c>
      <c r="E68" s="896" t="s">
        <v>759</v>
      </c>
      <c r="F68" s="304">
        <f ca="1">F40</f>
        <v>5.5E-2</v>
      </c>
      <c r="O68" s="1334" t="s">
        <v>406</v>
      </c>
      <c r="P68" s="1371" t="s">
        <v>871</v>
      </c>
      <c r="Q68" s="1327">
        <f ca="1">ROUND(Q69-Q70*Q71,0)</f>
        <v>138170</v>
      </c>
      <c r="R68" s="1327" t="s">
        <v>414</v>
      </c>
    </row>
    <row r="69" spans="1:18" s="1292" customFormat="1" ht="13.5" thickBot="1">
      <c r="A69" s="897"/>
      <c r="B69" s="898"/>
      <c r="C69" s="298"/>
      <c r="D69" s="916" t="s">
        <v>762</v>
      </c>
      <c r="E69" s="896" t="s">
        <v>763</v>
      </c>
      <c r="F69" s="324">
        <f ca="1">F41</f>
        <v>36.39</v>
      </c>
      <c r="O69" s="1334" t="s">
        <v>411</v>
      </c>
      <c r="P69" s="1371" t="s">
        <v>872</v>
      </c>
      <c r="Q69" s="1327">
        <f ca="1">C39</f>
        <v>138170</v>
      </c>
      <c r="R69" s="1327" t="s">
        <v>818</v>
      </c>
    </row>
    <row r="70" spans="1:18" s="1292" customFormat="1" ht="13.5" thickBot="1">
      <c r="A70" s="900"/>
      <c r="B70" s="901"/>
      <c r="C70" s="302"/>
      <c r="D70" s="912"/>
      <c r="E70" s="896" t="s">
        <v>766</v>
      </c>
      <c r="F70" s="991"/>
      <c r="O70" s="1334" t="s">
        <v>412</v>
      </c>
      <c r="P70" s="1371" t="s">
        <v>873</v>
      </c>
      <c r="Q70" s="1327">
        <f ca="1">C13</f>
        <v>749361</v>
      </c>
      <c r="R70" s="1327" t="s">
        <v>818</v>
      </c>
    </row>
    <row r="71" spans="1:18" s="1292" customFormat="1" ht="13.5" thickBot="1">
      <c r="A71" s="917" t="s">
        <v>396</v>
      </c>
      <c r="B71" s="918" t="s">
        <v>776</v>
      </c>
      <c r="C71" s="327">
        <f ca="1">ROUND(C68/F71,0)</f>
        <v>-858</v>
      </c>
      <c r="D71" s="919" t="s">
        <v>777</v>
      </c>
      <c r="E71" s="920" t="s">
        <v>778</v>
      </c>
      <c r="F71" s="330">
        <f ca="1">F43</f>
        <v>173.72</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3217590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0.76700000000000002</v>
      </c>
    </row>
    <row r="83" spans="2:3">
      <c r="B83" s="265" t="s">
        <v>803</v>
      </c>
      <c r="C83" s="266">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47413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2729277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34744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34744</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173.72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173.72</v>
      </c>
      <c r="E19" s="203">
        <f>'数据-取费表'!B31</f>
        <v>200</v>
      </c>
      <c r="F19" s="223"/>
      <c r="G19" s="1714"/>
    </row>
    <row r="20" spans="1:7" s="206" customFormat="1" ht="13.5" customHeight="1">
      <c r="A20" s="247" t="s">
        <v>1493</v>
      </c>
      <c r="B20" s="202" t="s">
        <v>1494</v>
      </c>
      <c r="C20" s="224">
        <f ca="1">ROUND((C5+C19)*F20,0)</f>
        <v>695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2973</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2944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29</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5316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5316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47338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173.72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92" t="s">
        <v>1544</v>
      </c>
    </row>
    <row r="43" spans="1:7" ht="13.5" customHeight="1">
      <c r="A43" s="734" t="s">
        <v>347</v>
      </c>
      <c r="B43" s="207" t="s">
        <v>1545</v>
      </c>
      <c r="C43" s="230">
        <f ca="1">ROUND(IF('数据-取费表'!B22&lt;=1,C39*F22*'数据-取费表'!B21/2,C39*(POWER((1+F22),'数据-取费表'!B21/2)-1)),0)</f>
        <v>0</v>
      </c>
      <c r="D43" s="230"/>
      <c r="E43" s="230"/>
      <c r="F43" s="231"/>
      <c r="G43" s="3393"/>
    </row>
    <row r="44" spans="1:7" ht="13.5" customHeight="1">
      <c r="A44" s="734" t="s">
        <v>348</v>
      </c>
      <c r="B44" s="207" t="s">
        <v>1546</v>
      </c>
      <c r="C44" s="230">
        <f ca="1">ROUND(IF('数据-取费表'!B22&lt;=1,C40*F22*'数据-取费表'!B21/2,C40*(POWER((1+F22),'数据-取费表'!B21/2)-1)),4)</f>
        <v>8.0000000000000004E-4</v>
      </c>
      <c r="D44" s="230"/>
      <c r="E44" s="230"/>
      <c r="F44" s="231"/>
      <c r="G44" s="3394"/>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88</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75</v>
      </c>
      <c r="D51" s="224"/>
      <c r="E51" s="224"/>
      <c r="F51" s="256"/>
      <c r="G51" s="226" t="s">
        <v>1560</v>
      </c>
    </row>
    <row r="52" spans="1:7" s="200" customFormat="1" ht="16.5" thickBot="1">
      <c r="A52" s="257" t="s">
        <v>1561</v>
      </c>
      <c r="B52" s="258"/>
      <c r="C52" s="259">
        <f ca="1">C31+C51</f>
        <v>47413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475C-0FA4-4CEB-86E4-BCA0120748B3}">
  <sheetPr>
    <tabColor rgb="FF92D050"/>
    <pageSetUpPr fitToPage="1"/>
  </sheetPr>
  <dimension ref="A1:AC132"/>
  <sheetViews>
    <sheetView view="pageBreakPreview" topLeftCell="A19" zoomScale="80" zoomScaleNormal="70" zoomScaleSheetLayoutView="80" workbookViewId="0">
      <selection activeCell="K28" sqref="K2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3392</v>
      </c>
      <c r="F1" s="1735" t="s">
        <v>3427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4.8599999999999997E-2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2.8</v>
      </c>
      <c r="C3" s="344" t="s">
        <v>1665</v>
      </c>
      <c r="D3" s="343">
        <f>IF(D1="",'数据-汇总表'!E3,SUMIF('数据-汇总表'!$C19:$C33,D1,'数据-汇总表'!$E19:$E33))</f>
        <v>173.72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1666</v>
      </c>
      <c r="B4" s="346"/>
      <c r="C4" s="3358" t="s">
        <v>1667</v>
      </c>
      <c r="D4" s="3359"/>
      <c r="E4" s="3360" t="s">
        <v>1668</v>
      </c>
      <c r="F4" s="3361"/>
      <c r="G4" s="3358" t="s">
        <v>1669</v>
      </c>
      <c r="H4" s="3359"/>
      <c r="I4" s="3358" t="s">
        <v>1670</v>
      </c>
      <c r="J4" s="3359"/>
      <c r="K4" s="537" t="s">
        <v>1671</v>
      </c>
      <c r="L4" s="2487"/>
      <c r="M4" s="2488"/>
      <c r="N4" s="2488"/>
      <c r="O4" s="2488"/>
      <c r="P4" s="3362" t="s">
        <v>1672</v>
      </c>
      <c r="Q4" s="3363"/>
      <c r="R4" s="3341" t="s">
        <v>1668</v>
      </c>
      <c r="S4" s="3342"/>
      <c r="T4" s="3341" t="s">
        <v>1669</v>
      </c>
      <c r="U4" s="3342"/>
      <c r="V4" s="3370" t="s">
        <v>1670</v>
      </c>
      <c r="W4" s="3370"/>
      <c r="X4" s="1809"/>
      <c r="Y4" s="3341" t="s">
        <v>1672</v>
      </c>
      <c r="Z4" s="3342"/>
      <c r="AA4" s="3336" t="s">
        <v>1668</v>
      </c>
      <c r="AB4" s="3336" t="s">
        <v>1669</v>
      </c>
      <c r="AC4" s="3355" t="s">
        <v>1670</v>
      </c>
    </row>
    <row r="5" spans="1:29" ht="15">
      <c r="A5" s="348"/>
      <c r="B5" s="349"/>
      <c r="C5" s="3347" t="s">
        <v>1673</v>
      </c>
      <c r="D5" s="3348"/>
      <c r="E5" s="3345" t="s">
        <v>3425</v>
      </c>
      <c r="F5" s="3346"/>
      <c r="G5" s="3351" t="s">
        <v>3425</v>
      </c>
      <c r="H5" s="3348"/>
      <c r="I5" s="3351" t="s">
        <v>3425</v>
      </c>
      <c r="J5" s="3348"/>
      <c r="K5" s="537"/>
      <c r="L5" s="2487"/>
      <c r="M5" s="2488"/>
      <c r="N5" s="2488"/>
      <c r="O5" s="2488"/>
      <c r="P5" s="3364"/>
      <c r="Q5" s="3365"/>
      <c r="R5" s="3343"/>
      <c r="S5" s="3344"/>
      <c r="T5" s="3343"/>
      <c r="U5" s="3344"/>
      <c r="V5" s="3371"/>
      <c r="W5" s="3371"/>
      <c r="X5" s="1265"/>
      <c r="Y5" s="3343"/>
      <c r="Z5" s="3344"/>
      <c r="AA5" s="3337"/>
      <c r="AB5" s="3337"/>
      <c r="AC5" s="3356"/>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366"/>
      <c r="Q6" s="3367"/>
      <c r="R6" s="3343"/>
      <c r="S6" s="3344"/>
      <c r="T6" s="3368"/>
      <c r="U6" s="3369"/>
      <c r="V6" s="3371"/>
      <c r="W6" s="3371"/>
      <c r="X6" s="1265"/>
      <c r="Y6" s="3368"/>
      <c r="Z6" s="3369"/>
      <c r="AA6" s="3338"/>
      <c r="AB6" s="3338"/>
      <c r="AC6" s="3357"/>
    </row>
    <row r="7" spans="1:29" s="102" customFormat="1" ht="15.75" thickBot="1">
      <c r="A7" s="352" t="s">
        <v>1679</v>
      </c>
      <c r="B7" s="353"/>
      <c r="C7" s="354">
        <f>'数据-取费表'!B2</f>
        <v>45054</v>
      </c>
      <c r="D7" s="355">
        <v>100</v>
      </c>
      <c r="E7" s="356">
        <f>C7</f>
        <v>45054</v>
      </c>
      <c r="F7" s="357">
        <f>SUMIF(59:59,YEAR(E7)&amp;"-"&amp;MONTH(E7),60:60)</f>
        <v>100</v>
      </c>
      <c r="G7" s="356">
        <f>C7</f>
        <v>45054</v>
      </c>
      <c r="H7" s="355">
        <f>SUMIF(59:59,YEAR(G7)&amp;"-"&amp;MONTH(G7),60:60)</f>
        <v>100</v>
      </c>
      <c r="I7" s="356">
        <f>C7</f>
        <v>45054</v>
      </c>
      <c r="J7" s="355">
        <f>SUMIF(59:59,YEAR(I7)&amp;"-"&amp;MONTH(I7),60:60)</f>
        <v>100</v>
      </c>
      <c r="K7" s="38"/>
      <c r="L7" s="2489"/>
      <c r="M7" s="2440"/>
      <c r="N7" s="2440"/>
      <c r="O7" s="2440"/>
      <c r="P7" s="3372" t="s">
        <v>1680</v>
      </c>
      <c r="Q7" s="3373"/>
      <c r="R7" s="664" t="s">
        <v>14</v>
      </c>
      <c r="S7" s="665">
        <f t="shared" ref="S7:S15" si="0">F7</f>
        <v>100</v>
      </c>
      <c r="T7" s="664" t="s">
        <v>14</v>
      </c>
      <c r="U7" s="665">
        <f t="shared" ref="U7:U15" si="1">H7</f>
        <v>100</v>
      </c>
      <c r="V7" s="664" t="s">
        <v>14</v>
      </c>
      <c r="W7" s="665">
        <f t="shared" ref="W7:W15" si="2">J7</f>
        <v>100</v>
      </c>
      <c r="X7" s="666"/>
      <c r="Y7" s="3339" t="s">
        <v>1680</v>
      </c>
      <c r="Z7" s="3340"/>
      <c r="AA7" s="50">
        <f>D7/F7</f>
        <v>1</v>
      </c>
      <c r="AB7" s="50">
        <f>D7/H7</f>
        <v>1</v>
      </c>
      <c r="AC7" s="802">
        <f>D7/J7</f>
        <v>1</v>
      </c>
    </row>
    <row r="8" spans="1:29" s="102" customFormat="1" ht="15.75" thickBot="1">
      <c r="A8" s="352" t="s">
        <v>1681</v>
      </c>
      <c r="B8" s="353"/>
      <c r="C8" s="358" t="s">
        <v>3400</v>
      </c>
      <c r="D8" s="355">
        <v>100</v>
      </c>
      <c r="E8" s="358" t="s">
        <v>3400</v>
      </c>
      <c r="F8" s="357">
        <f>SUMIF(62:62,E8,63:63)-SUMIF(62:62,C8,63:63)+100</f>
        <v>100</v>
      </c>
      <c r="G8" s="358" t="s">
        <v>3400</v>
      </c>
      <c r="H8" s="355">
        <f>SUMIF(62:62,G8,63:63)-SUMIF(62:62,C8,63:63)+100</f>
        <v>100</v>
      </c>
      <c r="I8" s="358" t="s">
        <v>3400</v>
      </c>
      <c r="J8" s="355">
        <f>SUMIF(62:62,I8,63:63)-SUMIF(62:62,C8,63:63)+100</f>
        <v>100</v>
      </c>
      <c r="K8" s="38"/>
      <c r="L8" s="2489"/>
      <c r="M8" s="2440"/>
      <c r="N8" s="2440"/>
      <c r="O8" s="2440"/>
      <c r="P8" s="3372" t="s">
        <v>1683</v>
      </c>
      <c r="Q8" s="3340"/>
      <c r="R8" s="664" t="s">
        <v>14</v>
      </c>
      <c r="S8" s="665">
        <f t="shared" si="0"/>
        <v>100</v>
      </c>
      <c r="T8" s="664" t="s">
        <v>14</v>
      </c>
      <c r="U8" s="665">
        <f t="shared" si="1"/>
        <v>100</v>
      </c>
      <c r="V8" s="664" t="s">
        <v>14</v>
      </c>
      <c r="W8" s="665">
        <f t="shared" si="2"/>
        <v>100</v>
      </c>
      <c r="X8" s="666"/>
      <c r="Y8" s="3339" t="s">
        <v>1683</v>
      </c>
      <c r="Z8" s="3340"/>
      <c r="AA8" s="50">
        <f t="shared" ref="AA8:AA47" si="3">D8/F8</f>
        <v>1</v>
      </c>
      <c r="AB8" s="50">
        <f t="shared" ref="AB8:AB47" si="4">D8/H8</f>
        <v>1</v>
      </c>
      <c r="AC8" s="802">
        <f t="shared" ref="AC8:AC47" si="5">D8/J8</f>
        <v>1</v>
      </c>
    </row>
    <row r="9" spans="1:29" s="102" customFormat="1">
      <c r="A9" s="359" t="s">
        <v>1684</v>
      </c>
      <c r="B9" s="60" t="s">
        <v>1685</v>
      </c>
      <c r="C9" s="3148" t="s">
        <v>3401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7">
      <c r="A10" s="363"/>
      <c r="B10" s="364" t="s">
        <v>1688</v>
      </c>
      <c r="C10" s="3133" t="s">
        <v>3402</v>
      </c>
      <c r="D10" s="119">
        <v>100</v>
      </c>
      <c r="E10" s="3133" t="s">
        <v>3402</v>
      </c>
      <c r="F10" s="119">
        <f>SUMIF(66:66,E10,67:67)-SUMIF(66:66,C10,67:67)+100</f>
        <v>100</v>
      </c>
      <c r="G10" s="3134" t="s">
        <v>3402</v>
      </c>
      <c r="H10" s="119">
        <f>SUMIF(66:66,G10,67:67)-SUMIF(66:66,C10,67:67)+100</f>
        <v>100</v>
      </c>
      <c r="I10" s="3133" t="s">
        <v>3402</v>
      </c>
      <c r="J10" s="119">
        <f>SUMIF(66:66,I10,67:67)-SUMIF(66:66,C10,67:67)+100</f>
        <v>100</v>
      </c>
      <c r="K10" s="38"/>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4"/>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4"/>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4"/>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4"/>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15">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t="s">
        <v>3389</v>
      </c>
      <c r="D16" s="387"/>
      <c r="E16" s="386" t="s">
        <v>3389</v>
      </c>
      <c r="F16" s="387"/>
      <c r="G16" s="386" t="s">
        <v>3389</v>
      </c>
      <c r="H16" s="389"/>
      <c r="I16" s="386" t="s">
        <v>3389</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814" t="s">
        <v>3389</v>
      </c>
      <c r="D18" s="389"/>
      <c r="E18" s="1814" t="s">
        <v>3389</v>
      </c>
      <c r="F18" s="389"/>
      <c r="G18" s="1814" t="s">
        <v>3389</v>
      </c>
      <c r="H18" s="387"/>
      <c r="I18" s="1814" t="s">
        <v>3389</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t="s">
        <v>3389</v>
      </c>
      <c r="D20" s="387"/>
      <c r="E20" s="1758" t="s">
        <v>3389</v>
      </c>
      <c r="F20" s="387"/>
      <c r="G20" s="1758" t="s">
        <v>3389</v>
      </c>
      <c r="H20" s="387"/>
      <c r="I20" s="1758" t="s">
        <v>3389</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t="s">
        <v>3395</v>
      </c>
      <c r="D22" s="387"/>
      <c r="E22" s="1814" t="s">
        <v>3395</v>
      </c>
      <c r="F22" s="387"/>
      <c r="G22" s="1814" t="s">
        <v>3395</v>
      </c>
      <c r="H22" s="387"/>
      <c r="I22" s="1814" t="s">
        <v>3395</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t="s">
        <v>3388</v>
      </c>
      <c r="D24" s="387"/>
      <c r="E24" s="1758" t="s">
        <v>3388</v>
      </c>
      <c r="F24" s="387"/>
      <c r="G24" s="1758" t="s">
        <v>3388</v>
      </c>
      <c r="H24" s="387"/>
      <c r="I24" s="1758" t="s">
        <v>3388</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
      <c r="A27" s="367"/>
      <c r="B27" s="401" t="s">
        <v>1783</v>
      </c>
      <c r="C27" s="558" t="s">
        <v>3407</v>
      </c>
      <c r="D27" s="374">
        <v>100</v>
      </c>
      <c r="E27" s="542" t="s">
        <v>3403</v>
      </c>
      <c r="F27" s="374">
        <f>SUMIF(89:89,E27,90:90)-SUMIF(89:89,C27,90:90)+100</f>
        <v>106</v>
      </c>
      <c r="G27" s="3153" t="s">
        <v>3405</v>
      </c>
      <c r="H27" s="374">
        <f>SUMIF(89:89,G27,90:90)-SUMIF(89:89,C27,90:90)+100</f>
        <v>103</v>
      </c>
      <c r="I27" s="542" t="s">
        <v>3405</v>
      </c>
      <c r="J27" s="374">
        <f>SUMIF(89:89,I27,90:90)-SUMIF(89:89,C27,90:90)+100</f>
        <v>103</v>
      </c>
      <c r="K27" s="538">
        <v>3</v>
      </c>
      <c r="L27" s="2493"/>
      <c r="M27" s="2488"/>
      <c r="N27" s="2488"/>
      <c r="O27" s="2488"/>
      <c r="P27" s="3375"/>
      <c r="Q27" s="1263" t="str">
        <f t="shared" ref="Q27:Q47" si="11">B27</f>
        <v>楼层</v>
      </c>
      <c r="R27" s="667" t="s">
        <v>14</v>
      </c>
      <c r="S27" s="668">
        <f>F27</f>
        <v>106</v>
      </c>
      <c r="T27" s="667" t="s">
        <v>14</v>
      </c>
      <c r="U27" s="668">
        <f>H27</f>
        <v>103</v>
      </c>
      <c r="V27" s="667" t="s">
        <v>14</v>
      </c>
      <c r="W27" s="668">
        <f>J27</f>
        <v>103</v>
      </c>
      <c r="X27" s="1265"/>
      <c r="Y27" s="3377"/>
      <c r="Z27" s="1264" t="str">
        <f>Q27</f>
        <v>楼层</v>
      </c>
      <c r="AA27" s="1264">
        <f t="shared" si="3"/>
        <v>0.94339622641509435</v>
      </c>
      <c r="AB27" s="1264">
        <f t="shared" si="4"/>
        <v>0.970873786407767</v>
      </c>
      <c r="AC27" s="1812">
        <f t="shared" si="5"/>
        <v>0.970873786407767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t="s">
        <v>3409</v>
      </c>
      <c r="D33" s="405">
        <v>100</v>
      </c>
      <c r="E33" s="1764" t="s">
        <v>3409</v>
      </c>
      <c r="F33" s="400">
        <f>SUMIF(101:101,E33,102:102)-SUMIF(101:101,C33,102:102)+100</f>
        <v>100</v>
      </c>
      <c r="G33" s="1764" t="s">
        <v>3409</v>
      </c>
      <c r="H33" s="374">
        <f>SUMIF(101:101,G33,102:102)-SUMIF(101:101,C33,102:102)+100</f>
        <v>100</v>
      </c>
      <c r="I33" s="1764" t="s">
        <v>3409</v>
      </c>
      <c r="J33" s="405">
        <f>SUMIF(101:101,I33,102:102)-SUMIF(101:101,C33,102:102)+100</f>
        <v>100</v>
      </c>
      <c r="K33" s="538">
        <v>3</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173.72</v>
      </c>
      <c r="D34" s="119">
        <v>100</v>
      </c>
      <c r="E34" s="369">
        <v>150</v>
      </c>
      <c r="F34" s="364">
        <f>LOOKUP(E34,104:104,105:105)-LOOKUP(C34,104:104,105:105)+100</f>
        <v>100</v>
      </c>
      <c r="G34" s="368">
        <v>137</v>
      </c>
      <c r="H34" s="119">
        <f>LOOKUP(G34,104:104,105:105)-LOOKUP(C34,104:104,105:105)+100</f>
        <v>100</v>
      </c>
      <c r="I34" s="368">
        <v>200</v>
      </c>
      <c r="J34" s="119">
        <f>LOOKUP(I34,104:104,105:105)-LOOKUP(C34,104:104,105:105)+100</f>
        <v>99</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99</v>
      </c>
      <c r="X34" s="671"/>
      <c r="Y34" s="3381"/>
      <c r="Z34" s="672" t="str">
        <f t="shared" si="15"/>
        <v>项目建筑规模</v>
      </c>
      <c r="AA34" s="1264">
        <f t="shared" si="3"/>
        <v>1</v>
      </c>
      <c r="AB34" s="1264">
        <f t="shared" si="4"/>
        <v>1</v>
      </c>
      <c r="AC34" s="1812">
        <f t="shared" si="5"/>
        <v>1.0101010101010102</v>
      </c>
    </row>
    <row r="35" spans="1:29" ht="15">
      <c r="A35" s="409"/>
      <c r="B35" s="364" t="s">
        <v>1698</v>
      </c>
      <c r="C35" s="399" t="s">
        <v>3380</v>
      </c>
      <c r="D35" s="374">
        <v>100</v>
      </c>
      <c r="E35" s="399" t="s">
        <v>3380</v>
      </c>
      <c r="F35" s="400">
        <f>SUMIF(106:106,E35,107:107)-SUMIF(106:106,C35,107:107)+100</f>
        <v>100</v>
      </c>
      <c r="G35" s="399" t="s">
        <v>3380</v>
      </c>
      <c r="H35" s="374">
        <f>SUMIF(106:106,G35,107:107)-SUMIF(106:106,C35,107:107)+100</f>
        <v>100</v>
      </c>
      <c r="I35" s="399" t="s">
        <v>3380</v>
      </c>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t="s">
        <v>3412</v>
      </c>
      <c r="D36" s="374">
        <v>100</v>
      </c>
      <c r="E36" s="399" t="s">
        <v>3412</v>
      </c>
      <c r="F36" s="400">
        <f>SUMIF(108:108,E36,109:109)-SUMIF(108:108,C36,109:109)+100</f>
        <v>100</v>
      </c>
      <c r="G36" s="399" t="s">
        <v>3412</v>
      </c>
      <c r="H36" s="374">
        <f>SUMIF(108:108,G36,109:109)-SUMIF(108:108,C36,109:109)+100</f>
        <v>100</v>
      </c>
      <c r="I36" s="399" t="s">
        <v>3412</v>
      </c>
      <c r="J36" s="374">
        <f>SUMIF(108:108,I36,109:109)-SUMIF(108:108,C36,109:109)+100</f>
        <v>100</v>
      </c>
      <c r="K36" s="538">
        <v>2</v>
      </c>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2</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
      <c r="A38" s="410"/>
      <c r="B38" s="364" t="s">
        <v>1818</v>
      </c>
      <c r="C38" s="399" t="s">
        <v>3414</v>
      </c>
      <c r="D38" s="119">
        <v>100</v>
      </c>
      <c r="E38" s="399" t="s">
        <v>3414</v>
      </c>
      <c r="F38" s="400">
        <f>SUMIF(113:113,E38,114:114)-SUMIF(113:113,C38,114:114)+100</f>
        <v>100</v>
      </c>
      <c r="G38" s="399" t="s">
        <v>3414</v>
      </c>
      <c r="H38" s="374">
        <f>SUMIF(113:113,G38,114:114)-SUMIF(113:113,C38,114:114)+100</f>
        <v>100</v>
      </c>
      <c r="I38" s="399" t="s">
        <v>3414</v>
      </c>
      <c r="J38" s="374">
        <f>SUMIF(113:113,I38,114:114)-SUMIF(113:113,C38,114:114)+100</f>
        <v>100</v>
      </c>
      <c r="K38" s="538">
        <v>2</v>
      </c>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t="s">
        <v>3416</v>
      </c>
      <c r="D39" s="374">
        <v>100</v>
      </c>
      <c r="E39" s="399" t="s">
        <v>3416</v>
      </c>
      <c r="F39" s="400">
        <f>SUMIF(115:115,E39,116:116)-SUMIF(115:115,C39,116:116)+100</f>
        <v>100</v>
      </c>
      <c r="G39" s="399" t="s">
        <v>3416</v>
      </c>
      <c r="H39" s="374">
        <f>SUMIF(115:115,G39,116:116)-SUMIF(115:115,C39,116:116)+100</f>
        <v>100</v>
      </c>
      <c r="I39" s="399" t="s">
        <v>3416</v>
      </c>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t="s">
        <v>3420</v>
      </c>
      <c r="D40" s="374">
        <v>100</v>
      </c>
      <c r="E40" s="399" t="s">
        <v>3420</v>
      </c>
      <c r="F40" s="400">
        <f>SUMIF(117:117,E40,118:118)-SUMIF(117:117,C40,118:118)+100</f>
        <v>100</v>
      </c>
      <c r="G40" s="399" t="s">
        <v>3420</v>
      </c>
      <c r="H40" s="374">
        <f>SUMIF(117:117,G40,118:118)-SUMIF(117:117,C40,118:118)+100</f>
        <v>100</v>
      </c>
      <c r="I40" s="399" t="s">
        <v>3420</v>
      </c>
      <c r="J40" s="374">
        <f>SUMIF(117:117,I40,118:118)-SUMIF(117:117,C40,118:118)+100</f>
        <v>100</v>
      </c>
      <c r="K40" s="538">
        <v>2</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t="s">
        <v>3423</v>
      </c>
      <c r="D41" s="374">
        <v>100</v>
      </c>
      <c r="E41" s="542" t="s">
        <v>3423</v>
      </c>
      <c r="F41" s="400">
        <f>SUMIF(119:119,E41,120:120)-SUMIF(119:119,C41,120:120)+100</f>
        <v>100</v>
      </c>
      <c r="G41" s="542" t="s">
        <v>3423</v>
      </c>
      <c r="H41" s="374">
        <f>SUMIF(119:119,G41,120:120)-SUMIF(119:119,C41,120:120)+100</f>
        <v>100</v>
      </c>
      <c r="I41" s="542" t="s">
        <v>3423</v>
      </c>
      <c r="J41" s="374">
        <f>SUMIF(119:119,I41,120:120)-SUMIF(119:119,C41,120:120)+100</f>
        <v>100</v>
      </c>
      <c r="K41" s="538">
        <v>2</v>
      </c>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ht="15">
      <c r="A48" s="416" t="s">
        <v>1708</v>
      </c>
      <c r="B48" s="417"/>
      <c r="C48" s="1081" t="s">
        <v>0</v>
      </c>
      <c r="D48" s="418"/>
      <c r="E48" s="3152">
        <v>3</v>
      </c>
      <c r="F48" s="420"/>
      <c r="G48" s="421">
        <v>2.8</v>
      </c>
      <c r="H48" s="422"/>
      <c r="I48" s="419">
        <v>3</v>
      </c>
      <c r="J48" s="422"/>
      <c r="K48" s="674"/>
      <c r="L48" s="2495"/>
      <c r="M48" s="2488"/>
      <c r="N48" s="2488"/>
      <c r="O48" s="2488"/>
      <c r="P48" s="3354" t="str">
        <f>A48</f>
        <v>成交单价（元/平方米）</v>
      </c>
      <c r="Q48" s="3383"/>
      <c r="R48" s="3371">
        <f>E48</f>
        <v>3</v>
      </c>
      <c r="S48" s="3371"/>
      <c r="T48" s="3371">
        <f>G48</f>
        <v>2.8</v>
      </c>
      <c r="U48" s="3371"/>
      <c r="V48" s="3371">
        <f>I48</f>
        <v>3</v>
      </c>
      <c r="W48" s="3371"/>
      <c r="X48" s="385"/>
      <c r="Y48" s="673"/>
      <c r="Z48" s="385"/>
      <c r="AA48" s="385"/>
      <c r="AB48" s="385"/>
      <c r="AC48" s="555"/>
    </row>
    <row r="49" spans="1:29" ht="15.75" thickBot="1">
      <c r="A49" s="423" t="s">
        <v>1709</v>
      </c>
      <c r="B49" s="424"/>
      <c r="C49" s="1082">
        <f>R50</f>
        <v>2.8</v>
      </c>
      <c r="D49" s="2141" t="s">
        <v>2138</v>
      </c>
      <c r="E49" s="1083">
        <f>R49</f>
        <v>2.8</v>
      </c>
      <c r="F49" s="2142"/>
      <c r="G49" s="1082">
        <f>T49</f>
        <v>2.7</v>
      </c>
      <c r="H49" s="2142"/>
      <c r="I49" s="1083">
        <f>V49</f>
        <v>2.9</v>
      </c>
      <c r="J49" s="2142"/>
      <c r="K49" s="2144">
        <f>F49+H49+J49</f>
        <v>0</v>
      </c>
      <c r="L49" s="2495"/>
      <c r="M49" s="2488"/>
      <c r="N49" s="2488"/>
      <c r="O49" s="2488"/>
      <c r="P49" s="3354" t="str">
        <f>A49</f>
        <v>比较价值（元/平方米）</v>
      </c>
      <c r="Q49" s="3383"/>
      <c r="R49" s="3371">
        <f>IF(F1="售价",ROUND(PRODUCT(R48,AA7:AA47),0),ROUND(PRODUCT(R48,AA7:AA47),1))</f>
        <v>2.8</v>
      </c>
      <c r="S49" s="3371"/>
      <c r="T49" s="3371">
        <f>IF(F1="售价",ROUND(PRODUCT(T48,AB7:AB47),0),ROUND(PRODUCT(T48,AB7:AB47),1))</f>
        <v>2.7</v>
      </c>
      <c r="U49" s="3371"/>
      <c r="V49" s="3371">
        <f>IF(F1="售价",ROUND(PRODUCT(V48,AC7:AC47),0),ROUND(PRODUCT(V48,AC7:AC47),1))</f>
        <v>2.9</v>
      </c>
      <c r="W49" s="3371"/>
      <c r="X49" s="385"/>
      <c r="Y49" s="385"/>
      <c r="Z49" s="385"/>
      <c r="AA49" s="385"/>
      <c r="AB49" s="385"/>
      <c r="AC49" s="555"/>
    </row>
    <row r="50" spans="1:29" ht="15.75" thickBot="1">
      <c r="A50" s="427" t="s">
        <v>1710</v>
      </c>
      <c r="B50" s="428"/>
      <c r="C50" s="351">
        <f>R50</f>
        <v>2.8</v>
      </c>
      <c r="D50" s="351"/>
      <c r="E50" s="351"/>
      <c r="F50" s="351"/>
      <c r="G50" s="351"/>
      <c r="H50" s="351"/>
      <c r="I50" s="351"/>
      <c r="J50" s="429"/>
      <c r="K50" s="675"/>
      <c r="L50" s="2495"/>
      <c r="M50" s="2488"/>
      <c r="N50" s="2488"/>
      <c r="O50" s="2488"/>
      <c r="P50" s="3384" t="str">
        <f>A50</f>
        <v>估价对象XX用房的比较价值（楼面单价，元/平方米）</v>
      </c>
      <c r="Q50" s="3385"/>
      <c r="R50" s="3386">
        <f>IF(F1="售价",ROUND(IF(D49="简单平均",AVERAGE(R49:V49),R49*F49+T49*H49+V49*J49),0),ROUND(IF(D49="简单平均",AVERAGE(R49:V49),R49*F49+T49*H49+V49*J49),1))</f>
        <v>2.8</v>
      </c>
      <c r="S50" s="3386"/>
      <c r="T50" s="3386"/>
      <c r="U50" s="3386"/>
      <c r="V50" s="3386"/>
      <c r="W50" s="338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1711</v>
      </c>
      <c r="D53" s="433"/>
      <c r="E53" s="434">
        <f>IF(E48&lt;E49,E49/E48-1,E48/E49-1)</f>
        <v>7.1428571428571397E-2</v>
      </c>
      <c r="F53" s="435" t="str">
        <f>IF(OR(E53&gt;=0.3,E53&lt;=-0.3),"超过30%","")</f>
        <v/>
      </c>
      <c r="G53" s="434">
        <f>IF(G48&lt;G49,G49/G48-1,G48/G49-1)</f>
        <v>3.7037037037036979E-2</v>
      </c>
      <c r="H53" s="435" t="str">
        <f>IF(OR(G53&gt;=0.3,G53&lt;=-0.3),"超过30%","")</f>
        <v/>
      </c>
      <c r="I53" s="434">
        <f>IF(I48&lt;I49,I49/I48-1,I48/I49-1)</f>
        <v>3.4482758620689724E-2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1712</v>
      </c>
      <c r="D54" s="436"/>
      <c r="E54" s="434">
        <f>IF(E49&lt;G49,G49/E49-1,E49/G49-1)</f>
        <v>3.7037037037036979E-2</v>
      </c>
      <c r="F54" s="435" t="str">
        <f>IF(OR(E54&gt;=0.2,E54&lt;=-0.2),"超过20%","")</f>
        <v/>
      </c>
      <c r="G54" s="434">
        <f>IF(G49&lt;I49,I49/G49-1,G49/I49-1)</f>
        <v>7.4074074074073959E-2</v>
      </c>
      <c r="H54" s="435" t="str">
        <f>IF(OR(G54&gt;=0.2,G54&lt;=-0.2),"超过20%","")</f>
        <v/>
      </c>
      <c r="I54" s="434">
        <f>IF(I49&lt;E49,E49/I49-1,I49/E49-1)</f>
        <v>3.5714285714285809E-2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1713</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1714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1718</v>
      </c>
      <c r="D62" s="3147" t="s">
        <v>3399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9" t="s">
        <v>3404</v>
      </c>
      <c r="D89" s="3149" t="s">
        <v>3406</v>
      </c>
      <c r="E89" s="3149" t="s">
        <v>3408</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50" t="s">
        <v>3410</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0(含)-200</v>
      </c>
      <c r="D103" s="509" t="str">
        <f t="shared" ref="D103:L103" si="23">D104&amp;"(含)"&amp;"-"&amp;E104</f>
        <v>200(含)-500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49" t="s">
        <v>3411</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49" t="s">
        <v>3413</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49" t="s">
        <v>3415</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49" t="s">
        <v>3417</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49" t="s">
        <v>3418</v>
      </c>
      <c r="D117" s="3149" t="s">
        <v>3419</v>
      </c>
      <c r="E117" s="3149" t="s">
        <v>3421</v>
      </c>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51" t="s">
        <v>3422</v>
      </c>
      <c r="D119" s="3151" t="s">
        <v>3424</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xr:uid="{CC2ECF1C-1B98-413A-B1C6-D73DE1C94B58}">
      <formula1>"项目模式,单套模式"</formula1>
    </dataValidation>
    <dataValidation type="list" allowBlank="1" showInputMessage="1" showErrorMessage="1" sqref="D49" xr:uid="{E2888EB7-20AD-4D8B-8712-E92CD50344FF}">
      <formula1>"简单平均,加权平均"</formula1>
    </dataValidation>
    <dataValidation type="list" allowBlank="1" showInputMessage="1" showErrorMessage="1" sqref="F2" xr:uid="{E8E8D192-84B6-4629-8E20-1696A9B3CBFE}">
      <formula1>估价方法</formula1>
    </dataValidation>
    <dataValidation type="list" allowBlank="1" showInputMessage="1" showErrorMessage="1" sqref="C2" xr:uid="{5F2FC4D4-8C2B-4543-B4C0-10DB165B8FE6}">
      <formula1>"需扣减承租人权益,——"</formula1>
    </dataValidation>
    <dataValidation type="list" allowBlank="1" showInputMessage="1" showErrorMessage="1" sqref="F1" xr:uid="{EFE00CF4-D900-4349-A617-5878B31CD0ED}">
      <formula1>"售价,租金"</formula1>
    </dataValidation>
    <dataValidation type="list" allowBlank="1" showInputMessage="1" showErrorMessage="1" sqref="C22 E22 G22 I22" xr:uid="{26D46459-702A-405A-BBED-71A7B9538151}">
      <formula1>基础设施水平</formula1>
    </dataValidation>
    <dataValidation type="list" allowBlank="1" showInputMessage="1" showErrorMessage="1" sqref="C8 E8 G8 I8" xr:uid="{A7C032C4-0B2A-4255-91D1-F7E7EA8A9C07}">
      <formula1>办公交易情况</formula1>
    </dataValidation>
    <dataValidation type="list" allowBlank="1" showInputMessage="1" showErrorMessage="1" sqref="C43 E43 G43 I43" xr:uid="{1A782E81-888F-46AC-B635-1AA200C08F47}">
      <formula1>办公内部装修</formula1>
    </dataValidation>
    <dataValidation type="list" allowBlank="1" showInputMessage="1" showErrorMessage="1" sqref="C41 E41 G41 I41" xr:uid="{315DFFB7-96D2-4B13-82F4-D582A4888132}">
      <formula1>办公层高</formula1>
    </dataValidation>
    <dataValidation type="list" allowBlank="1" showInputMessage="1" showErrorMessage="1" sqref="C40 E40 G40 I40" xr:uid="{EF3FBD33-A5FF-4079-B343-8E29D7800D11}">
      <formula1>办公基础设施水平</formula1>
    </dataValidation>
    <dataValidation type="list" allowBlank="1" showInputMessage="1" showErrorMessage="1" sqref="C39 E39 G39 I39" xr:uid="{830922AB-D414-4372-A8FA-6F2601EE0B79}">
      <formula1>办公物业管理</formula1>
    </dataValidation>
    <dataValidation type="list" allowBlank="1" showInputMessage="1" showErrorMessage="1" sqref="C38 E38 G38 I38" xr:uid="{914647F4-AA5C-4C05-A1DD-D7820E8E272D}">
      <formula1>写字楼等级</formula1>
    </dataValidation>
    <dataValidation type="list" allowBlank="1" showInputMessage="1" showErrorMessage="1" sqref="C36 E36 G36 I36" xr:uid="{1BAA436E-460D-4AE5-9CCA-35BA7DC83A4A}">
      <formula1>办公公共部分装修</formula1>
    </dataValidation>
    <dataValidation type="list" allowBlank="1" showInputMessage="1" showErrorMessage="1" sqref="C33 E33 G33 I33" xr:uid="{61163091-730C-44D4-8A63-49670FB166A1}">
      <formula1>办公建筑类型</formula1>
    </dataValidation>
    <dataValidation type="list" allowBlank="1" showInputMessage="1" showErrorMessage="1" sqref="C27 E27 G27 I27" xr:uid="{FCB88B66-8DB3-4A06-859E-CB119550477D}">
      <formula1>办公楼层</formula1>
    </dataValidation>
    <dataValidation type="list" allowBlank="1" showInputMessage="1" showErrorMessage="1" sqref="C28 E28 G28 I28" xr:uid="{0B240E9F-0890-4152-B9C0-F719529D5CC9}">
      <formula1>办公朝向</formula1>
    </dataValidation>
    <dataValidation type="list" allowBlank="1" showInputMessage="1" showErrorMessage="1" sqref="G26 C26 E26 I26" xr:uid="{954B37EB-9B18-4821-9C57-6DA1E0F96DDF}">
      <formula1>办公道路级别</formula1>
    </dataValidation>
    <dataValidation type="list" allowBlank="1" showInputMessage="1" showErrorMessage="1" sqref="C16 E16 G16 I16" xr:uid="{C686F788-4D8F-4229-A728-1ABDEB64C822}">
      <formula1>办公集聚程度</formula1>
    </dataValidation>
    <dataValidation type="list" allowBlank="1" showInputMessage="1" showErrorMessage="1" sqref="E9 G9 I9" xr:uid="{1047B01D-50F2-4EAC-BCD3-49B08DFFC4C8}">
      <formula1>办公用途</formula1>
    </dataValidation>
    <dataValidation type="list" allowBlank="1" showInputMessage="1" showErrorMessage="1" sqref="D1" xr:uid="{07678AE5-C872-4541-8467-16704D072574}">
      <formula1>项目类型</formula1>
    </dataValidation>
    <dataValidation type="list" allowBlank="1" showInputMessage="1" showErrorMessage="1" sqref="C44 E44 G44 I44" xr:uid="{F3B2424B-E4A2-4498-9DC0-4DFE42D40646}">
      <formula1>内部装修维护情况</formula1>
    </dataValidation>
    <dataValidation type="list" allowBlank="1" showInputMessage="1" showErrorMessage="1" sqref="E20 I20 G20 C20" xr:uid="{D3A20604-433F-4A4B-B999-98B26ED988DE}">
      <formula1>公共配套设施</formula1>
    </dataValidation>
    <dataValidation type="list" allowBlank="1" showInputMessage="1" showErrorMessage="1" sqref="E18 G18 I18 C18" xr:uid="{C5A47437-2C4E-463A-9377-88269E7968E6}">
      <formula1>交通便捷度</formula1>
    </dataValidation>
    <dataValidation type="list" allowBlank="1" showInputMessage="1" showErrorMessage="1" sqref="E24 G24 I24 C24" xr:uid="{0806782D-B89D-4E04-B45B-2DFA37D21E7D}">
      <formula1>环境</formula1>
    </dataValidation>
    <dataValidation type="list" allowBlank="1" showInputMessage="1" showErrorMessage="1" sqref="C35 E35 G35 I35" xr:uid="{C4C639D3-F86A-4478-BD66-180DDB749E56}">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BC36-284B-41CC-8B22-B4723D01B376}">
  <dimension ref="A1"/>
  <sheetViews>
    <sheetView topLeftCell="A88" workbookViewId="0">
      <selection activeCell="B115" sqref="B115"/>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0" zoomScaleNormal="70" zoomScaleSheetLayoutView="80" workbookViewId="0">
      <selection activeCell="E30" sqref="E3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333.31349999999998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19187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1896536</v>
      </c>
      <c r="D5" s="203" t="s">
        <v>1469</v>
      </c>
      <c r="E5" s="204" t="s">
        <v>1470</v>
      </c>
      <c r="F5" s="204" t="s">
        <v>1471</v>
      </c>
      <c r="G5" s="205"/>
    </row>
    <row r="6" spans="1:8" s="206" customFormat="1" ht="13.5" customHeight="1">
      <c r="A6" s="732" t="s">
        <v>1472</v>
      </c>
      <c r="B6" s="207" t="s">
        <v>1473</v>
      </c>
      <c r="C6" s="208">
        <f ca="1">基准地价修正!C33*D10</f>
        <v>1806688</v>
      </c>
      <c r="D6" s="209"/>
      <c r="E6" s="210"/>
      <c r="F6" s="210"/>
      <c r="G6" s="211"/>
    </row>
    <row r="7" spans="1:8" s="206" customFormat="1" ht="13.5" customHeight="1">
      <c r="A7" s="732" t="s">
        <v>1474</v>
      </c>
      <c r="B7" s="207" t="s">
        <v>1475</v>
      </c>
      <c r="C7" s="212">
        <f ca="1">ROUND(C6*F7,0)</f>
        <v>55104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34744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34744</v>
      </c>
      <c r="D10" s="795">
        <f ca="1">IF(B1="",'数据-汇总表'!E6,IF(INDIRECT("'数据-取费表'!c"&amp;$G$1)="住宅",INDIRECT("'数据-取费表'!s"&amp;$G$1),INDIRECT("'数据-取费表'!k"&amp;$G$1)+INDIRECT("'数据-取费表'!s"&amp;$G$1)))</f>
        <v>173.72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173.72</v>
      </c>
      <c r="E19" s="203">
        <f>'数据-取费表'!B31</f>
        <v>200</v>
      </c>
      <c r="F19" s="223"/>
      <c r="G19" s="1714" t="s">
        <v>3391</v>
      </c>
    </row>
    <row r="20" spans="1:7" s="206" customFormat="1" ht="13.5" customHeight="1">
      <c r="A20" s="247" t="s">
        <v>1574</v>
      </c>
      <c r="B20" s="202" t="s">
        <v>1575</v>
      </c>
      <c r="C20" s="224">
        <f ca="1">ROUND((C5+C19)*F20,0)</f>
        <v>37931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162253</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160679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1574</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290170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290170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2583774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670125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608020</v>
      </c>
      <c r="D34" s="209"/>
      <c r="E34" s="212"/>
      <c r="F34" s="249"/>
      <c r="G34" s="211"/>
    </row>
    <row r="35" spans="1:7" ht="13.5" customHeight="1">
      <c r="A35" s="734" t="s">
        <v>351</v>
      </c>
      <c r="B35" s="207" t="s">
        <v>1527</v>
      </c>
      <c r="C35" s="212">
        <f ca="1">ROUND(C34*F35,0)</f>
        <v>18241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34744</v>
      </c>
      <c r="D37" s="209">
        <f ca="1">D19</f>
        <v>173.72</v>
      </c>
      <c r="E37" s="241">
        <f>'数据-取费表'!B35</f>
        <v>200</v>
      </c>
      <c r="F37" s="251"/>
      <c r="G37" s="253"/>
    </row>
    <row r="38" spans="1:7" ht="13.5" customHeight="1">
      <c r="A38" s="734" t="s">
        <v>354</v>
      </c>
      <c r="B38" s="207" t="s">
        <v>1533</v>
      </c>
      <c r="C38" s="212">
        <f ca="1">ROUND(C34*F38,0)</f>
        <v>9120</v>
      </c>
      <c r="D38" s="212"/>
      <c r="E38" s="212"/>
      <c r="F38" s="251">
        <f>'数据-取费表'!B36</f>
        <v>1.4999999999999999E-2</v>
      </c>
      <c r="G38" s="211" t="s">
        <v>1528</v>
      </c>
    </row>
    <row r="39" spans="1:7" s="206" customFormat="1" ht="13.5" customHeight="1">
      <c r="A39" s="247" t="s">
        <v>1534</v>
      </c>
      <c r="B39" s="202" t="s">
        <v>1535</v>
      </c>
      <c r="C39" s="224">
        <f ca="1">ROUND(C33*F20,0)</f>
        <v>13403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28366</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27810</v>
      </c>
      <c r="D42" s="230"/>
      <c r="E42" s="230"/>
      <c r="F42" s="231"/>
      <c r="G42" s="3392" t="s">
        <v>1591</v>
      </c>
    </row>
    <row r="43" spans="1:7" ht="13.5" customHeight="1">
      <c r="A43" s="734" t="s">
        <v>347</v>
      </c>
      <c r="B43" s="207" t="s">
        <v>1545</v>
      </c>
      <c r="C43" s="230">
        <f ca="1">ROUND(IF('数据-取费表'!B22&lt;=1,C39*F22*'数据-取费表'!B20/2,C39*(POWER((1+F22),'数据-取费表'!B20/2)-1)),0)</f>
        <v>556</v>
      </c>
      <c r="D43" s="230"/>
      <c r="E43" s="230"/>
      <c r="F43" s="231"/>
      <c r="G43" s="3393"/>
    </row>
    <row r="44" spans="1:7" ht="13.5" customHeight="1">
      <c r="A44" s="734" t="s">
        <v>348</v>
      </c>
      <c r="B44" s="207" t="s">
        <v>1546</v>
      </c>
      <c r="C44" s="230">
        <f ca="1">ROUND(IF('数据-取费表'!B22&lt;=1,C40*F22*'数据-取费表'!B20/2,C40*(POWER((1+F22),'数据-取费表'!B20/2)-1)),4)</f>
        <v>8.0000000000000004E-4</v>
      </c>
      <c r="D44" s="230"/>
      <c r="E44" s="230"/>
      <c r="F44" s="231"/>
      <c r="G44" s="3394"/>
    </row>
    <row r="45" spans="1:7" s="206" customFormat="1" ht="13.5" customHeight="1">
      <c r="A45" s="247" t="s">
        <v>1547</v>
      </c>
      <c r="B45" s="236" t="s">
        <v>1513</v>
      </c>
      <c r="C45" s="237">
        <f ca="1">C46</f>
        <v>102529</v>
      </c>
      <c r="D45" s="227">
        <f ca="1">C47</f>
        <v>3.0000000000000001E-3</v>
      </c>
      <c r="E45" s="228" t="s">
        <v>1539</v>
      </c>
      <c r="F45" s="238">
        <f ca="1">F27</f>
        <v>0.15</v>
      </c>
      <c r="G45" s="239" t="s">
        <v>1548</v>
      </c>
    </row>
    <row r="46" spans="1:7" s="206" customFormat="1" ht="13.5" customHeight="1">
      <c r="A46" s="734" t="s">
        <v>346</v>
      </c>
      <c r="B46" s="240" t="s">
        <v>1549</v>
      </c>
      <c r="C46" s="241">
        <f ca="1">ROUND((C33+C39)*F27,0)</f>
        <v>102529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881601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749361</v>
      </c>
      <c r="D51" s="224"/>
      <c r="E51" s="224"/>
      <c r="F51" s="256"/>
      <c r="G51" s="226" t="s">
        <v>1560</v>
      </c>
    </row>
    <row r="52" spans="1:7" s="200" customFormat="1" ht="16.5" thickBot="1">
      <c r="A52" s="257" t="s">
        <v>1561</v>
      </c>
      <c r="B52" s="258"/>
      <c r="C52" s="259">
        <f ca="1">C31+C51</f>
        <v>3333135</v>
      </c>
      <c r="D52" s="258"/>
      <c r="E52" s="258"/>
      <c r="F52" s="258"/>
      <c r="G52" s="260"/>
    </row>
    <row r="55" spans="1:7" ht="15">
      <c r="B55" s="262" t="s">
        <v>1562</v>
      </c>
      <c r="C55" s="263"/>
    </row>
    <row r="56" spans="1:7">
      <c r="B56" s="265" t="s">
        <v>802</v>
      </c>
      <c r="C56" s="267">
        <f ca="1">1-C57</f>
        <v>0.77500000000000002</v>
      </c>
    </row>
    <row r="57" spans="1:7">
      <c r="B57" s="265" t="s">
        <v>803</v>
      </c>
      <c r="C57" s="266">
        <f ca="1">ROUND(C51/C52,3)</f>
        <v>0.22500000000000001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90" zoomScaleNormal="80" zoomScaleSheetLayoutView="90" workbookViewId="0">
      <selection activeCell="D24" sqref="D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Ⅵ-兴1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16219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3383</v>
      </c>
      <c r="F3" s="1848" t="s">
        <v>3384</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12784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02"/>
      <c r="B4" s="3403"/>
      <c r="C4" s="3403"/>
      <c r="D4" s="3404"/>
      <c r="E4" s="3404"/>
      <c r="F4" s="3404"/>
      <c r="G4" s="3404"/>
      <c r="H4" s="3404"/>
      <c r="I4" s="3404"/>
      <c r="J4" s="340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10804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11140</v>
      </c>
      <c r="D5" s="1252">
        <f>ROUND(C6*C17+C20,0)</f>
        <v>11140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9529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11140</v>
      </c>
      <c r="D6" s="1861"/>
      <c r="E6" s="1862"/>
      <c r="F6" s="1862"/>
      <c r="G6" s="1863"/>
      <c r="H6" s="1863"/>
      <c r="I6" s="1863"/>
      <c r="J6" s="1864"/>
      <c r="K6" s="1292"/>
      <c r="L6" s="1847" t="s">
        <v>1951</v>
      </c>
      <c r="M6" s="811">
        <f>SUMPRODUCT((区片价!B127:B189=I2)*(区片价!C3:G3=E2)*(区片价!C127:G189))</f>
        <v>11140</v>
      </c>
      <c r="N6" s="813">
        <f>SUMPRODUCT((因素修正幅度!B127:B189=I2)*(因素修正幅度!C3:G3=E2)*(因素修正幅度!C127:G189))</f>
        <v>0.13</v>
      </c>
      <c r="O6" s="1056"/>
      <c r="P6" s="1056"/>
      <c r="Q6" s="1056"/>
      <c r="R6" s="1129">
        <v>5</v>
      </c>
      <c r="S6" s="3064">
        <f>ROUND(SUMPRODUCT((B106:B110=R6)*(C105:N105=G2)*(C106:N110)),4)</f>
        <v>0.84799999999999998</v>
      </c>
      <c r="T6" s="3064">
        <f t="shared" si="0"/>
        <v>9158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3</v>
      </c>
      <c r="AA7" s="1133"/>
      <c r="AB7" s="1133"/>
      <c r="AC7" s="1134"/>
      <c r="AD7" s="1135"/>
      <c r="AE7" s="1135"/>
      <c r="AF7" s="1135"/>
      <c r="AG7" s="1135"/>
      <c r="AH7" s="1135"/>
      <c r="AI7" s="1135"/>
      <c r="AJ7" s="1136"/>
    </row>
    <row r="8" spans="1:36" ht="25.5">
      <c r="A8" s="3010"/>
      <c r="B8" s="162" t="s">
        <v>1957</v>
      </c>
      <c r="C8" s="1870" t="s">
        <v>3385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9" t="s">
        <v>1960</v>
      </c>
      <c r="X8" s="340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01"/>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0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v>1</v>
      </c>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f>ROUND(G18/I18,2)</f>
        <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06" t="s">
        <v>3247</v>
      </c>
      <c r="B20" s="159" t="s">
        <v>1994</v>
      </c>
      <c r="C20" s="3032">
        <f>ROUND(IF(F21="与级别开发程度一致",0,(G21-E21)/C21),0)</f>
        <v>0</v>
      </c>
      <c r="D20" s="3047" t="s">
        <v>1998</v>
      </c>
      <c r="E20" s="3048"/>
      <c r="F20" s="3412" t="s">
        <v>1995</v>
      </c>
      <c r="G20" s="341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0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3386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1896" t="s">
        <v>2002</v>
      </c>
      <c r="E23" s="717">
        <v>44197</v>
      </c>
      <c r="F23" s="1896" t="s">
        <v>2003</v>
      </c>
      <c r="G23" s="718">
        <f>'数据-取费表'!B2</f>
        <v>45054</v>
      </c>
      <c r="H23" s="3049" t="s">
        <v>3248</v>
      </c>
      <c r="I23" s="3050" t="str">
        <f>IF(H23="季度增幅（自定义）",SUMIF(N25:N28,E2,O25:O28),"")</f>
        <v/>
      </c>
      <c r="J23" s="3142" t="s">
        <v>3387</v>
      </c>
      <c r="K23" s="1061"/>
      <c r="L23" s="1897" t="s">
        <v>2004</v>
      </c>
      <c r="M23" s="1241">
        <f>ROUND(SUMIF(地价!B2:G2,E2,地价!B16:G16),0)</f>
        <v>350</v>
      </c>
      <c r="N23" s="1898" t="s">
        <v>2005</v>
      </c>
      <c r="O23" s="719">
        <f>ROUNDDOWN(DATEDIF(E23,G23,"M")/3,0)</f>
        <v>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0.92079999999999995</v>
      </c>
      <c r="D24" s="1902" t="s">
        <v>2007</v>
      </c>
      <c r="E24" s="1248">
        <f>存贷款利率!E22/100</f>
        <v>4.3499999999999997E-2</v>
      </c>
      <c r="F24" s="1902" t="s">
        <v>1999</v>
      </c>
      <c r="G24" s="724">
        <f>SUMIF(M30:Q30,E2,M33:Q33)</f>
        <v>5.5E-2</v>
      </c>
      <c r="H24" s="1902" t="s">
        <v>2008</v>
      </c>
      <c r="I24" s="725">
        <f>SUMIF('数据-取费表'!C6:C15,E2,'数据-取费表'!F6:F15)/COUNTIF('数据-取费表'!C6:C15,E2)</f>
        <v>36.39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0.96309999999999996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3249</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1.0297000000000001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10400</v>
      </c>
      <c r="D33" s="1940"/>
      <c r="E33" s="727">
        <f>ROUND(C33*D33/10000,0)</f>
        <v>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2600</v>
      </c>
      <c r="D34" s="1945"/>
      <c r="E34" s="727">
        <f>ROUND(IF(B25="楼层修正",SUM(V2:V16)*M40,C34*D34/10000),0)</f>
        <v>0</v>
      </c>
      <c r="F34" s="1946" t="s">
        <v>2032</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3257</v>
      </c>
      <c r="L36" s="3143">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0"/>
      <c r="B37" s="1955" t="s">
        <v>2036</v>
      </c>
      <c r="C37" s="167">
        <f>ROUND(D5*C22*C23*C24*C28*F37,0)</f>
        <v>6479</v>
      </c>
      <c r="D37" s="1940"/>
      <c r="E37" s="163">
        <f>ROUND(C37*D37/10000,0)</f>
        <v>0</v>
      </c>
      <c r="F37" s="163">
        <f>SUMIF(修正!A57:A68,G2,修正!B57:B68)</f>
        <v>0.6</v>
      </c>
      <c r="G37" s="163">
        <f>ROUND(IF(E2="工业",C37*$M$42,C37*$M$41),0)</f>
        <v>1620</v>
      </c>
      <c r="H37" s="163">
        <f>D37</f>
        <v>0</v>
      </c>
      <c r="I37" s="163">
        <f>ROUND(G37*H37/10000,0)</f>
        <v>0</v>
      </c>
      <c r="J37" s="2755"/>
      <c r="K37" s="3062" t="s">
        <v>3258</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1"/>
      <c r="B38" s="1884" t="s">
        <v>2037</v>
      </c>
      <c r="C38" s="167">
        <f>ROUND(D5*C22*C23*C24*C28*F38,0)</f>
        <v>3240</v>
      </c>
      <c r="D38" s="1940"/>
      <c r="E38" s="163">
        <f t="shared" ref="E38:E42" si="4">ROUND(C38*D38/10000,0)</f>
        <v>0</v>
      </c>
      <c r="F38" s="163">
        <f>SUMIF(修正!A57:A68,G2,修正!C57:C68)</f>
        <v>0.3</v>
      </c>
      <c r="G38" s="163">
        <f>ROUND(IF(E2="工业",C38*$M$42,C38*$M$41),0)</f>
        <v>810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1"/>
      <c r="B39" s="1884" t="s">
        <v>3251</v>
      </c>
      <c r="C39" s="167">
        <f>ROUND(D5*C22*C23*C24*C28*F39,0)</f>
        <v>2700</v>
      </c>
      <c r="D39" s="1940"/>
      <c r="E39" s="163">
        <f t="shared" si="4"/>
        <v>0</v>
      </c>
      <c r="F39" s="163">
        <f>SUMIF(修正!A57:A68,G2,修正!D57:D68)</f>
        <v>0.25</v>
      </c>
      <c r="G39" s="163">
        <f>ROUND(IF(E2="工业",C39*$M$42,C39*$M$41),0)</f>
        <v>675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2700</v>
      </c>
      <c r="D40" s="1940"/>
      <c r="E40" s="163">
        <f t="shared" si="4"/>
        <v>0</v>
      </c>
      <c r="F40" s="167">
        <f>SUMIF(修正!A57:A68,G2,修正!E57:E68)</f>
        <v>0.25</v>
      </c>
      <c r="G40" s="163">
        <f>ROUND(IF(E2="工业",C40*$M$42,C40*$M$41),0)</f>
        <v>675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1.0297000000000001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较好</v>
      </c>
      <c r="C61" s="1887" t="s">
        <v>3388</v>
      </c>
      <c r="D61" s="1002">
        <f t="shared" ref="D61:D69" si="12">SUMIF($J$60:$N$60,C61,J61:N61)</f>
        <v>0</v>
      </c>
      <c r="E61" s="702">
        <f>ROUND(SUM(D61:D69),4)</f>
        <v>2.9700000000000001E-2</v>
      </c>
      <c r="F61" s="1675">
        <f>IF(E2="办公",SUMIF(L1:L12,G2,N1:N12),"——")</f>
        <v>0.13</v>
      </c>
      <c r="G61" s="1000">
        <f>H61</f>
        <v>1.6199999999999999E-2</v>
      </c>
      <c r="H61" s="1003">
        <f t="shared" ref="H61:H69" si="13">IFERROR(ROUNDDOWN($F$61*I61/2,4),"——")</f>
        <v>1.6199999999999999E-2</v>
      </c>
      <c r="I61" s="3069">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较好</v>
      </c>
      <c r="C62" s="1887" t="s">
        <v>3388</v>
      </c>
      <c r="D62" s="1002">
        <f t="shared" si="12"/>
        <v>0</v>
      </c>
      <c r="E62" s="703"/>
      <c r="F62" s="1675"/>
      <c r="G62" s="1000">
        <f t="shared" ref="G62:G69" si="17">H62</f>
        <v>1.6899999999999998E-2</v>
      </c>
      <c r="H62" s="1003">
        <f t="shared" si="13"/>
        <v>1.6899999999999998E-2</v>
      </c>
      <c r="I62" s="3069">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t="s">
        <v>3389</v>
      </c>
      <c r="D63" s="1002">
        <f t="shared" si="12"/>
        <v>7.1000000000000004E-3</v>
      </c>
      <c r="E63" s="703"/>
      <c r="F63" s="1675"/>
      <c r="G63" s="1000">
        <f t="shared" si="17"/>
        <v>7.1000000000000004E-3</v>
      </c>
      <c r="H63" s="1003">
        <f t="shared" si="13"/>
        <v>7.1000000000000004E-3</v>
      </c>
      <c r="I63" s="3069">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3389</v>
      </c>
      <c r="D64" s="1002">
        <f t="shared" si="12"/>
        <v>3.2000000000000002E-3</v>
      </c>
      <c r="E64" s="703"/>
      <c r="F64" s="1675"/>
      <c r="G64" s="1000">
        <f t="shared" si="17"/>
        <v>3.2000000000000002E-3</v>
      </c>
      <c r="H64" s="1003">
        <f t="shared" si="13"/>
        <v>3.2000000000000002E-3</v>
      </c>
      <c r="I64" s="3069">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3388</v>
      </c>
      <c r="D65" s="1002">
        <f t="shared" si="12"/>
        <v>0</v>
      </c>
      <c r="E65" s="703"/>
      <c r="F65" s="1675"/>
      <c r="G65" s="1000">
        <f t="shared" si="17"/>
        <v>3.2000000000000002E-3</v>
      </c>
      <c r="H65" s="1003">
        <f t="shared" si="13"/>
        <v>3.2000000000000002E-3</v>
      </c>
      <c r="I65" s="3069">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3389</v>
      </c>
      <c r="D66" s="1002">
        <f t="shared" si="12"/>
        <v>3.8999999999999998E-3</v>
      </c>
      <c r="E66" s="703"/>
      <c r="F66" s="1675"/>
      <c r="G66" s="1000">
        <f t="shared" si="17"/>
        <v>3.8999999999999998E-3</v>
      </c>
      <c r="H66" s="1003">
        <f t="shared" si="13"/>
        <v>3.8999999999999998E-3</v>
      </c>
      <c r="I66" s="3069">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3389</v>
      </c>
      <c r="D67" s="1002">
        <f t="shared" si="12"/>
        <v>3.8999999999999998E-3</v>
      </c>
      <c r="E67" s="703"/>
      <c r="F67" s="1675"/>
      <c r="G67" s="1000">
        <f t="shared" si="17"/>
        <v>3.8999999999999998E-3</v>
      </c>
      <c r="H67" s="1003">
        <f t="shared" si="13"/>
        <v>3.8999999999999998E-3</v>
      </c>
      <c r="I67" s="3069">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3390</v>
      </c>
      <c r="D68" s="1002">
        <f t="shared" si="12"/>
        <v>1.1599999999999999E-2</v>
      </c>
      <c r="E68" s="703"/>
      <c r="F68" s="1675"/>
      <c r="G68" s="1000">
        <f t="shared" si="17"/>
        <v>5.7999999999999996E-3</v>
      </c>
      <c r="H68" s="1003">
        <f t="shared" si="13"/>
        <v>5.7999999999999996E-3</v>
      </c>
      <c r="I68" s="3069">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一般</v>
      </c>
      <c r="C69" s="1887" t="s">
        <v>3388</v>
      </c>
      <c r="D69" s="1002">
        <f t="shared" si="12"/>
        <v>0</v>
      </c>
      <c r="E69" s="704"/>
      <c r="F69" s="1675"/>
      <c r="G69" s="1000">
        <f t="shared" si="17"/>
        <v>4.4999999999999997E-3</v>
      </c>
      <c r="H69" s="1003">
        <f t="shared" si="13"/>
        <v>4.4999999999999997E-3</v>
      </c>
      <c r="I69" s="3070">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t="str">
        <f>估价对象房地状况!C21</f>
        <v>较好</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t="str">
        <f>估价对象房地状况!C22</f>
        <v>七通</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t="str">
        <f>估价对象房地状况!C20</f>
        <v>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3265</v>
      </c>
      <c r="B94" s="3072" t="str">
        <f>估价对象房地状况!C18</f>
        <v>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3266</v>
      </c>
      <c r="B96" s="3087" t="s">
        <v>3277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3268</v>
      </c>
      <c r="B98" s="3088" t="s">
        <v>3278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3269</v>
      </c>
      <c r="B99" s="3072" t="str">
        <f>估价对象房地状况!C21</f>
        <v>较好</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3270</v>
      </c>
      <c r="B100" s="3072" t="str">
        <f>估价对象房地状况!C22</f>
        <v>七通</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3271</v>
      </c>
      <c r="B101" s="3089" t="str">
        <f>估价对象房地状况!C20</f>
        <v>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08" t="s">
        <v>3286</v>
      </c>
      <c r="B103" s="3408"/>
      <c r="C103" s="3408"/>
      <c r="D103" s="3408"/>
      <c r="E103" s="3408"/>
      <c r="F103" s="3408"/>
      <c r="G103" s="3408"/>
      <c r="H103" s="3408"/>
      <c r="I103" s="3408"/>
      <c r="J103" s="3408"/>
      <c r="K103" s="1667"/>
      <c r="L103" s="1667"/>
      <c r="M103" s="1667"/>
      <c r="N103" s="1667"/>
    </row>
    <row r="104" spans="1:14">
      <c r="A104" s="3409" t="s">
        <v>3287</v>
      </c>
      <c r="B104" s="3409" t="s">
        <v>3288</v>
      </c>
      <c r="C104" s="3091" t="s">
        <v>3289</v>
      </c>
      <c r="D104" s="3092"/>
      <c r="E104" s="3092"/>
      <c r="F104" s="3092"/>
      <c r="G104" s="3092"/>
      <c r="H104" s="3092"/>
      <c r="I104" s="3092"/>
      <c r="J104" s="3093"/>
      <c r="K104" s="3094"/>
      <c r="L104" s="3094"/>
      <c r="M104" s="3094"/>
      <c r="N104" s="3094"/>
    </row>
    <row r="105" spans="1:14">
      <c r="A105" s="3409"/>
      <c r="B105" s="3409"/>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395"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9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9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9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9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96"/>
      <c r="B111" s="3095" t="s">
        <v>3260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9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98" t="s">
        <v>3303</v>
      </c>
      <c r="B113" s="3398"/>
      <c r="C113" s="3398"/>
      <c r="D113" s="3398"/>
      <c r="E113" s="3398"/>
      <c r="F113" s="3398"/>
      <c r="G113" s="3398"/>
      <c r="H113" s="3398"/>
      <c r="I113" s="3398"/>
      <c r="J113" s="339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3</v>
      </c>
      <c r="C116" s="3100" t="s">
        <v>3305</v>
      </c>
      <c r="D116" s="3101">
        <f>SUMPRODUCT((A118:A122=F116)*(B117:M117=H116)*B118:M122)</f>
        <v>0.89890000000000003</v>
      </c>
      <c r="E116" s="162" t="s">
        <v>3306</v>
      </c>
      <c r="F116" s="3102" t="str">
        <f>E2</f>
        <v>办公</v>
      </c>
      <c r="G116" s="162" t="s">
        <v>3307</v>
      </c>
      <c r="H116" s="3102" t="str">
        <f>G2</f>
        <v>六级</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0.96379999999999999</v>
      </c>
      <c r="C118" s="3090">
        <f>B118</f>
        <v>0.96379999999999999</v>
      </c>
      <c r="D118" s="3090">
        <f>ROUND(0.949-0.014*B116,4)</f>
        <v>0.90700000000000003</v>
      </c>
      <c r="E118" s="3090">
        <f>D118</f>
        <v>0.90700000000000003</v>
      </c>
      <c r="F118" s="3090">
        <f>E118</f>
        <v>0.90700000000000003</v>
      </c>
      <c r="G118" s="3090">
        <f>F118</f>
        <v>0.90700000000000003</v>
      </c>
      <c r="H118" s="3090">
        <f>G118</f>
        <v>0.90700000000000003</v>
      </c>
      <c r="I118" s="3090">
        <f>ROUND(0.8486-0.018*B116,4)</f>
        <v>0.79459999999999997</v>
      </c>
      <c r="J118" s="3090">
        <f t="shared" ref="J118:M122" si="36">I118</f>
        <v>0.79459999999999997</v>
      </c>
      <c r="K118" s="3090">
        <f t="shared" si="36"/>
        <v>0.79459999999999997</v>
      </c>
      <c r="L118" s="3090">
        <f t="shared" si="36"/>
        <v>0.79459999999999997</v>
      </c>
      <c r="M118" s="3110">
        <f t="shared" si="36"/>
        <v>0.79459999999999997</v>
      </c>
      <c r="N118" s="3098"/>
    </row>
    <row r="119" spans="1:14">
      <c r="A119" s="3058" t="s">
        <v>3321</v>
      </c>
      <c r="B119" s="3090">
        <f>ROUND(0.993-0.0112*B116,4)</f>
        <v>0.95940000000000003</v>
      </c>
      <c r="C119" s="3090">
        <f>B119</f>
        <v>0.95940000000000003</v>
      </c>
      <c r="D119" s="3090">
        <f>ROUND(0.9415-0.0142*B116,4)</f>
        <v>0.89890000000000003</v>
      </c>
      <c r="E119" s="3090">
        <f t="shared" ref="E119:H120" si="37">D119</f>
        <v>0.89890000000000003</v>
      </c>
      <c r="F119" s="3090">
        <f t="shared" si="37"/>
        <v>0.89890000000000003</v>
      </c>
      <c r="G119" s="3090">
        <f t="shared" si="37"/>
        <v>0.89890000000000003</v>
      </c>
      <c r="H119" s="3090">
        <f t="shared" si="37"/>
        <v>0.89890000000000003</v>
      </c>
      <c r="I119" s="3090">
        <f>ROUND(0.838-0.0182*B116,4)</f>
        <v>0.78339999999999999</v>
      </c>
      <c r="J119" s="3090">
        <f t="shared" si="36"/>
        <v>0.78339999999999999</v>
      </c>
      <c r="K119" s="3090">
        <f t="shared" si="36"/>
        <v>0.78339999999999999</v>
      </c>
      <c r="L119" s="3090">
        <f t="shared" si="36"/>
        <v>0.78339999999999999</v>
      </c>
      <c r="M119" s="3110">
        <f t="shared" si="36"/>
        <v>0.78339999999999999</v>
      </c>
      <c r="N119" s="3098"/>
    </row>
    <row r="120" spans="1:14">
      <c r="A120" s="3058" t="s">
        <v>3322</v>
      </c>
      <c r="B120" s="3090">
        <f>ROUND(0.9448-0.0115*B116,4)</f>
        <v>0.9103</v>
      </c>
      <c r="C120" s="3090">
        <f>B120</f>
        <v>0.9103</v>
      </c>
      <c r="D120" s="3090">
        <f>ROUND(0.937-0.0145*B116,4)</f>
        <v>0.89349999999999996</v>
      </c>
      <c r="E120" s="3090">
        <f t="shared" si="37"/>
        <v>0.89349999999999996</v>
      </c>
      <c r="F120" s="3090">
        <f t="shared" si="37"/>
        <v>0.89349999999999996</v>
      </c>
      <c r="G120" s="3090">
        <f t="shared" si="37"/>
        <v>0.89349999999999996</v>
      </c>
      <c r="H120" s="3090">
        <f t="shared" si="37"/>
        <v>0.89349999999999996</v>
      </c>
      <c r="I120" s="3090">
        <f>ROUND(0.7965-0.0185*B116,4)</f>
        <v>0.74099999999999999</v>
      </c>
      <c r="J120" s="3090">
        <f t="shared" si="36"/>
        <v>0.74099999999999999</v>
      </c>
      <c r="K120" s="3090">
        <f t="shared" si="36"/>
        <v>0.74099999999999999</v>
      </c>
      <c r="L120" s="3090">
        <f t="shared" si="36"/>
        <v>0.74099999999999999</v>
      </c>
      <c r="M120" s="3110">
        <f t="shared" si="36"/>
        <v>0.74099999999999999</v>
      </c>
      <c r="N120" s="3098"/>
    </row>
    <row r="121" spans="1:14" ht="13.5" thickBot="1">
      <c r="A121" s="3111" t="s">
        <v>3323</v>
      </c>
      <c r="B121" s="3112">
        <f>ROUND(0.7836-0.012*B116,4)</f>
        <v>0.74760000000000004</v>
      </c>
      <c r="C121" s="3112">
        <f>B121</f>
        <v>0.74760000000000004</v>
      </c>
      <c r="D121" s="3112">
        <f>ROUND(0.753-0.015*B116,4)</f>
        <v>0.70799999999999996</v>
      </c>
      <c r="E121" s="3112">
        <f>D121</f>
        <v>0.70799999999999996</v>
      </c>
      <c r="F121" s="3112">
        <f>E121</f>
        <v>0.70799999999999996</v>
      </c>
      <c r="G121" s="3112">
        <f>ROUND(0.6612-0.018*B116,4)</f>
        <v>0.60719999999999996</v>
      </c>
      <c r="H121" s="3112">
        <f>G121</f>
        <v>0.60719999999999996</v>
      </c>
      <c r="I121" s="3112">
        <f>ROUND(0.5905-0.019*B116,4)</f>
        <v>0.53349999999999997</v>
      </c>
      <c r="J121" s="3112">
        <f t="shared" si="36"/>
        <v>0.53349999999999997</v>
      </c>
      <c r="K121" s="3112">
        <f t="shared" si="36"/>
        <v>0.53349999999999997</v>
      </c>
      <c r="L121" s="3112">
        <f t="shared" si="36"/>
        <v>0.53349999999999997</v>
      </c>
      <c r="M121" s="3113">
        <f t="shared" si="36"/>
        <v>0.53349999999999997</v>
      </c>
      <c r="N121" s="3098"/>
    </row>
    <row r="122" spans="1:14">
      <c r="A122" s="3114" t="s">
        <v>2603</v>
      </c>
      <c r="B122" s="3090">
        <f>ROUND(0.9404-0.0106*B116,4)</f>
        <v>0.90859999999999996</v>
      </c>
      <c r="C122" s="3090">
        <f>B122</f>
        <v>0.90859999999999996</v>
      </c>
      <c r="D122" s="3090">
        <f>ROUND(0.8955-0.0135*B116,4)</f>
        <v>0.85499999999999998</v>
      </c>
      <c r="E122" s="3090">
        <f t="shared" ref="E122:H122" si="38">D122</f>
        <v>0.85499999999999998</v>
      </c>
      <c r="F122" s="3090">
        <f t="shared" si="38"/>
        <v>0.85499999999999998</v>
      </c>
      <c r="G122" s="3090">
        <f t="shared" si="38"/>
        <v>0.85499999999999998</v>
      </c>
      <c r="H122" s="3090">
        <f t="shared" si="38"/>
        <v>0.85499999999999998</v>
      </c>
      <c r="I122" s="3090">
        <f>ROUND(0.7632-0.0166*B116,4)</f>
        <v>0.71340000000000003</v>
      </c>
      <c r="J122" s="3090">
        <f t="shared" si="36"/>
        <v>0.71340000000000003</v>
      </c>
      <c r="K122" s="3090">
        <f t="shared" si="36"/>
        <v>0.71340000000000003</v>
      </c>
      <c r="L122" s="3090">
        <f t="shared" si="36"/>
        <v>0.71340000000000003</v>
      </c>
      <c r="M122" s="3110">
        <f t="shared" si="36"/>
        <v>0.71340000000000003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53" activeCellId="1" sqref="H44 P53"/>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39603</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2279703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173.72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173.72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-34741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173.72</v>
      </c>
      <c r="E20" s="21">
        <f>'数据-取费表'!B28</f>
        <v>200</v>
      </c>
      <c r="F20" s="756"/>
      <c r="G20" s="12"/>
      <c r="H20" s="761"/>
      <c r="I20" s="761"/>
      <c r="J20" s="761"/>
      <c r="K20" s="762"/>
    </row>
    <row r="21" spans="1:33" s="755" customFormat="1" ht="13.5" customHeight="1">
      <c r="A21" s="744" t="s">
        <v>357</v>
      </c>
      <c r="B21" s="765" t="s">
        <v>1628</v>
      </c>
      <c r="C21" s="766">
        <f ca="1">C16+C17+C18</f>
        <v>-34741</v>
      </c>
      <c r="D21" s="767"/>
      <c r="E21" s="273"/>
      <c r="F21" s="273"/>
      <c r="G21" s="123" t="s">
        <v>1629</v>
      </c>
      <c r="H21" s="759"/>
      <c r="I21" s="759"/>
      <c r="J21" s="759"/>
      <c r="K21" s="760"/>
    </row>
    <row r="22" spans="1:33" s="755" customFormat="1" ht="13.5" customHeight="1">
      <c r="A22" s="744" t="s">
        <v>1601</v>
      </c>
      <c r="B22" s="765" t="s">
        <v>1630</v>
      </c>
      <c r="C22" s="766">
        <f ca="1">ROUND(C21*F22,0)</f>
        <v>-695</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-5315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-5315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39603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53" activeCellId="1" sqref="H44 P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7" t="s">
        <v>694</v>
      </c>
      <c r="C6" s="1011">
        <f ca="1">ROUND(F6*F8*F7*(1-F9)/10000,0)</f>
        <v>0</v>
      </c>
      <c r="D6" s="147" t="s">
        <v>2109</v>
      </c>
      <c r="E6" s="294" t="s">
        <v>696</v>
      </c>
      <c r="F6" s="295">
        <f ca="1">INDIRECT("'数据-取费表'!u"&amp;$G$1)</f>
        <v>0</v>
      </c>
      <c r="G6" s="1292"/>
      <c r="H6" s="1006" t="s">
        <v>398</v>
      </c>
      <c r="I6" s="3387" t="s">
        <v>694</v>
      </c>
      <c r="J6" s="293">
        <f ca="1">ROUND(M6*M8*M7*(1-M9)/10000,0)</f>
        <v>0</v>
      </c>
      <c r="K6" s="147" t="s">
        <v>2108</v>
      </c>
      <c r="L6" s="294" t="s">
        <v>696</v>
      </c>
      <c r="M6" s="295">
        <f ca="1">INDIRECT("'数据-取费表'!z"&amp;$G$1)</f>
        <v>0</v>
      </c>
    </row>
    <row r="7" spans="1:37" ht="18" customHeight="1">
      <c r="A7" s="1010"/>
      <c r="B7" s="3388"/>
      <c r="C7" s="1012"/>
      <c r="D7" s="299"/>
      <c r="E7" s="1013" t="s">
        <v>697</v>
      </c>
      <c r="F7" s="295">
        <f ca="1">IF(INDIRECT("'数据-取费表'!ah"&amp;$G$1)="",INDIRECT("'数据-取费表'!k"&amp;$G$1),INDIRECT("'数据-取费表'!ah"&amp;$G$1))</f>
        <v>0</v>
      </c>
      <c r="G7" s="1292"/>
      <c r="H7" s="296"/>
      <c r="I7" s="3388"/>
      <c r="J7" s="298"/>
      <c r="K7" s="299"/>
      <c r="L7" s="294" t="s">
        <v>697</v>
      </c>
      <c r="M7" s="295">
        <f ca="1">F7</f>
        <v>0</v>
      </c>
    </row>
    <row r="8" spans="1:37" ht="18" customHeight="1">
      <c r="A8" s="296"/>
      <c r="B8" s="3388"/>
      <c r="C8" s="298"/>
      <c r="D8" s="299"/>
      <c r="E8" s="294" t="s">
        <v>698</v>
      </c>
      <c r="F8" s="295">
        <f ca="1">INDIRECT("'数据-取费表'!ai"&amp;$G$1)</f>
        <v>0</v>
      </c>
      <c r="G8" s="1292"/>
      <c r="H8" s="296"/>
      <c r="I8" s="3388"/>
      <c r="J8" s="298"/>
      <c r="K8" s="299"/>
      <c r="L8" s="294" t="s">
        <v>698</v>
      </c>
      <c r="M8" s="295">
        <f ca="1">INDIRECT("'数据-取费表'!ai"&amp;$G$1)</f>
        <v>0</v>
      </c>
    </row>
    <row r="9" spans="1:37" ht="18" customHeight="1">
      <c r="A9" s="296"/>
      <c r="B9" s="3389"/>
      <c r="C9" s="298"/>
      <c r="D9" s="299"/>
      <c r="E9" s="294" t="s">
        <v>699</v>
      </c>
      <c r="F9" s="304">
        <f ca="1">INDIRECT("'数据-取费表'!w"&amp;$G$1)</f>
        <v>0</v>
      </c>
      <c r="G9" s="1292"/>
      <c r="H9" s="296"/>
      <c r="I9" s="338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0" t="s">
        <v>837</v>
      </c>
      <c r="L53" s="339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53" activeCellId="1" sqref="H44 P53"/>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3351</v>
      </c>
      <c r="E2" s="3140"/>
      <c r="F2" s="2598"/>
      <c r="G2" s="2599"/>
      <c r="H2" s="2600"/>
      <c r="I2" s="2601"/>
      <c r="J2" s="3414" t="s">
        <v>2308</v>
      </c>
      <c r="K2" s="3415"/>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16" t="s">
        <v>2318</v>
      </c>
      <c r="K3" s="3417"/>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16" t="s">
        <v>2320</v>
      </c>
      <c r="K4" s="3417"/>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18" t="s">
        <v>2324</v>
      </c>
      <c r="B6" s="3419"/>
      <c r="C6" s="3420"/>
      <c r="D6" s="2622"/>
      <c r="E6" s="2623"/>
      <c r="F6" s="2624"/>
      <c r="G6" s="2625"/>
      <c r="H6" s="2600"/>
      <c r="I6" s="2601"/>
      <c r="J6" s="3421">
        <v>1</v>
      </c>
      <c r="K6" s="342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21"/>
      <c r="K7" s="342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25" t="s">
        <v>2338</v>
      </c>
      <c r="C8" s="3426"/>
      <c r="D8" s="2641" t="s">
        <v>2339</v>
      </c>
      <c r="E8" s="2642" t="s">
        <v>2340</v>
      </c>
      <c r="F8" s="2643" t="s">
        <v>2341</v>
      </c>
      <c r="G8" s="2644"/>
      <c r="H8" s="2600"/>
      <c r="I8" s="2601"/>
      <c r="J8" s="3421"/>
      <c r="K8" s="342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25" t="s">
        <v>2344</v>
      </c>
      <c r="C9" s="3426"/>
      <c r="D9" s="2641">
        <f>ROUND(D6*E9,0)</f>
        <v>0</v>
      </c>
      <c r="E9" s="2645"/>
      <c r="F9" s="2646" t="s">
        <v>2345</v>
      </c>
      <c r="G9" s="2625"/>
      <c r="H9" s="2600"/>
      <c r="I9" s="2601"/>
      <c r="J9" s="3421"/>
      <c r="K9" s="3423"/>
      <c r="L9" s="2635" t="s">
        <v>2346</v>
      </c>
      <c r="M9" s="2636"/>
      <c r="N9" s="2612"/>
      <c r="O9" s="2637"/>
      <c r="P9" s="2637"/>
      <c r="Q9" s="2638">
        <v>365</v>
      </c>
      <c r="R9" s="2639">
        <f t="shared" si="0"/>
        <v>0</v>
      </c>
      <c r="S9" s="2593"/>
      <c r="T9" s="2593"/>
      <c r="U9" s="2593"/>
      <c r="V9" s="2601"/>
    </row>
    <row r="10" spans="1:22" s="2605" customFormat="1" ht="13.15" customHeight="1">
      <c r="A10" s="2640">
        <v>2</v>
      </c>
      <c r="B10" s="3425" t="s">
        <v>2347</v>
      </c>
      <c r="C10" s="3426"/>
      <c r="D10" s="2641">
        <f>ROUND(D6*E10,0)</f>
        <v>0</v>
      </c>
      <c r="E10" s="2645"/>
      <c r="F10" s="2646" t="s">
        <v>2348</v>
      </c>
      <c r="G10" s="2625"/>
      <c r="H10" s="2600"/>
      <c r="I10" s="2601"/>
      <c r="J10" s="3421"/>
      <c r="K10" s="3423"/>
      <c r="L10" s="2635" t="s">
        <v>2349</v>
      </c>
      <c r="M10" s="2636"/>
      <c r="N10" s="2612"/>
      <c r="O10" s="2637"/>
      <c r="P10" s="2637"/>
      <c r="Q10" s="2638">
        <v>365</v>
      </c>
      <c r="R10" s="2639">
        <f t="shared" si="0"/>
        <v>0</v>
      </c>
      <c r="S10" s="2593"/>
      <c r="T10" s="2593"/>
      <c r="U10" s="2593"/>
      <c r="V10" s="2601"/>
    </row>
    <row r="11" spans="1:22" s="2605" customFormat="1" ht="13.15" customHeight="1">
      <c r="A11" s="2640">
        <v>3</v>
      </c>
      <c r="B11" s="3425" t="s">
        <v>2350</v>
      </c>
      <c r="C11" s="3426"/>
      <c r="D11" s="2641">
        <f>D12+D14+D15+D16</f>
        <v>0</v>
      </c>
      <c r="E11" s="2647" t="e">
        <f>D11/D6</f>
        <v>#DIV/0!</v>
      </c>
      <c r="F11" s="2643"/>
      <c r="G11" s="2644"/>
      <c r="H11" s="2600"/>
      <c r="I11" s="2601"/>
      <c r="J11" s="3421"/>
      <c r="K11" s="342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27" t="s">
        <v>2353</v>
      </c>
      <c r="C12" s="3428"/>
      <c r="D12" s="2649">
        <f>ROUND(D13*1.2%*(1-30%),0)</f>
        <v>0</v>
      </c>
      <c r="E12" s="2650">
        <v>1.2E-2</v>
      </c>
      <c r="F12" s="2643" t="s">
        <v>2354</v>
      </c>
      <c r="G12" s="2644"/>
      <c r="H12" s="2600"/>
      <c r="I12" s="2601"/>
      <c r="J12" s="3421"/>
      <c r="K12" s="342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21"/>
      <c r="K13" s="342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27" t="s">
        <v>2359</v>
      </c>
      <c r="C14" s="3428"/>
      <c r="D14" s="2649">
        <f>ROUND(E14*B5/10000,0)</f>
        <v>0</v>
      </c>
      <c r="E14" s="2638"/>
      <c r="F14" s="2643" t="s">
        <v>2360</v>
      </c>
      <c r="G14" s="2644"/>
      <c r="H14" s="2600"/>
      <c r="I14" s="2601"/>
      <c r="J14" s="3421"/>
      <c r="K14" s="342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27" t="s">
        <v>2363</v>
      </c>
      <c r="C15" s="3428"/>
      <c r="D15" s="2649">
        <f>ROUND(D6*E15,0)</f>
        <v>0</v>
      </c>
      <c r="E15" s="2650">
        <v>5.5E-2</v>
      </c>
      <c r="F15" s="2643" t="s">
        <v>2364</v>
      </c>
      <c r="G15" s="2625"/>
      <c r="H15" s="2600"/>
      <c r="I15" s="2601"/>
      <c r="J15" s="3421">
        <v>2</v>
      </c>
      <c r="K15" s="342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27" t="s">
        <v>2372</v>
      </c>
      <c r="C16" s="3428"/>
      <c r="D16" s="2660">
        <f>D6*E16</f>
        <v>0</v>
      </c>
      <c r="E16" s="2661"/>
      <c r="F16" s="2646" t="s">
        <v>2373</v>
      </c>
      <c r="G16" s="2625"/>
      <c r="H16" s="2600"/>
      <c r="I16" s="2601"/>
      <c r="J16" s="3421"/>
      <c r="K16" s="342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9" t="s">
        <v>2375</v>
      </c>
      <c r="C17" s="3430"/>
      <c r="D17" s="2663">
        <f>ROUND(D6*E17,0)</f>
        <v>0</v>
      </c>
      <c r="E17" s="2664"/>
      <c r="F17" s="2665" t="s">
        <v>2376</v>
      </c>
      <c r="G17" s="2625"/>
      <c r="H17" s="2600"/>
      <c r="I17" s="2601"/>
      <c r="J17" s="3421"/>
      <c r="K17" s="342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21"/>
      <c r="K18" s="342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21"/>
      <c r="K19" s="342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1">
        <v>3</v>
      </c>
      <c r="K20" s="342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21"/>
      <c r="K21" s="342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21"/>
      <c r="K22" s="342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21"/>
      <c r="K23" s="342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21"/>
      <c r="K24" s="342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3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3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14" t="s">
        <v>2308</v>
      </c>
      <c r="K32" s="3415"/>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16" t="s">
        <v>2318</v>
      </c>
      <c r="K33" s="3417"/>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16" t="s">
        <v>2320</v>
      </c>
      <c r="K34" s="341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21">
        <v>1</v>
      </c>
      <c r="K36" s="342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21"/>
      <c r="K37" s="342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1"/>
      <c r="K38" s="342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21"/>
      <c r="K39" s="342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21"/>
      <c r="K40" s="342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3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估价对象为北京市房地产，为所有。根据，估价对象（分摊）出让国有建设用地使用权面积为0平方米，建筑面积为173.72平方米。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估价对象为北京市房地产,属开发建设的，该项目尚在开发建设中。根据，估价对象（分摊）出让国有建设用地使用权面积为0平方米，规划建筑面积为173.72平方米。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2023年5月8日（评估专业人员实地查勘之日）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53" activeCellId="1" sqref="H44 P5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323.90210000000002</v>
      </c>
      <c r="C2" s="1729" t="s">
        <v>1651</v>
      </c>
      <c r="D2" s="1730" t="s">
        <v>1652</v>
      </c>
      <c r="E2" s="2393">
        <f>SUM(E6:E13)</f>
        <v>173.72</v>
      </c>
      <c r="F2" s="2480"/>
      <c r="G2" s="459"/>
      <c r="H2" s="459"/>
      <c r="I2" s="459"/>
      <c r="J2" s="459"/>
      <c r="K2" s="459"/>
      <c r="L2" s="459"/>
      <c r="M2" s="459"/>
      <c r="N2" s="459"/>
      <c r="O2" s="459"/>
      <c r="P2" s="459"/>
      <c r="Q2" s="459"/>
      <c r="R2" s="459"/>
      <c r="S2" s="459"/>
    </row>
    <row r="3" spans="1:22" ht="15.75">
      <c r="A3" s="1728" t="s">
        <v>686</v>
      </c>
      <c r="B3" s="2387">
        <f ca="1">ROUND(B2*10000/E2,0)</f>
        <v>18645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3" t="s">
        <v>1654</v>
      </c>
      <c r="C5" s="343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323.90210000000002</v>
      </c>
      <c r="C6" s="1729" t="s">
        <v>1651</v>
      </c>
      <c r="D6" s="2480"/>
      <c r="E6" s="2392">
        <f>IF(OR(A6=0,F6="否"),0,'数据-取费表'!K6+'数据-取费表'!S6)</f>
        <v>173.72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53" activeCellId="1" sqref="H44 P5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173.72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8" t="s">
        <v>1667</v>
      </c>
      <c r="D4" s="3359"/>
      <c r="E4" s="3360" t="s">
        <v>1668</v>
      </c>
      <c r="F4" s="3361"/>
      <c r="G4" s="3358" t="s">
        <v>1669</v>
      </c>
      <c r="H4" s="3359"/>
      <c r="I4" s="3358" t="s">
        <v>1670</v>
      </c>
      <c r="J4" s="3359"/>
      <c r="K4" s="1744" t="s">
        <v>1671</v>
      </c>
      <c r="L4" s="2487"/>
      <c r="M4" s="2488"/>
      <c r="N4" s="2488"/>
      <c r="O4" s="2488"/>
      <c r="P4" s="3439" t="s">
        <v>1672</v>
      </c>
      <c r="Q4" s="3440"/>
      <c r="R4" s="3436" t="s">
        <v>1668</v>
      </c>
      <c r="S4" s="3437"/>
      <c r="T4" s="3436" t="s">
        <v>1669</v>
      </c>
      <c r="U4" s="3437"/>
      <c r="V4" s="3371" t="s">
        <v>1670</v>
      </c>
      <c r="W4" s="3371"/>
      <c r="X4" s="1265"/>
      <c r="Y4" s="3436" t="s">
        <v>1672</v>
      </c>
      <c r="Z4" s="3437"/>
      <c r="AA4" s="3435" t="s">
        <v>1668</v>
      </c>
      <c r="AB4" s="3435" t="s">
        <v>1669</v>
      </c>
      <c r="AC4" s="3435" t="s">
        <v>1670</v>
      </c>
    </row>
    <row r="5" spans="1:29" ht="15">
      <c r="A5" s="348"/>
      <c r="B5" s="349"/>
      <c r="C5" s="3347" t="s">
        <v>1673</v>
      </c>
      <c r="D5" s="3348"/>
      <c r="E5" s="3438" t="s">
        <v>1674</v>
      </c>
      <c r="F5" s="3346"/>
      <c r="G5" s="3347" t="s">
        <v>1675</v>
      </c>
      <c r="H5" s="3348"/>
      <c r="I5" s="3347" t="s">
        <v>1676</v>
      </c>
      <c r="J5" s="3348"/>
      <c r="K5" s="1745"/>
      <c r="L5" s="2487"/>
      <c r="M5" s="2488"/>
      <c r="N5" s="2488"/>
      <c r="O5" s="2488"/>
      <c r="P5" s="3441"/>
      <c r="Q5" s="3365"/>
      <c r="R5" s="3343"/>
      <c r="S5" s="3344"/>
      <c r="T5" s="3343"/>
      <c r="U5" s="3344"/>
      <c r="V5" s="3371"/>
      <c r="W5" s="3371"/>
      <c r="X5" s="1265"/>
      <c r="Y5" s="3343"/>
      <c r="Z5" s="3344"/>
      <c r="AA5" s="3337"/>
      <c r="AB5" s="3337"/>
      <c r="AC5" s="3337"/>
    </row>
    <row r="6" spans="1:29" ht="15.75" thickBot="1">
      <c r="A6" s="350"/>
      <c r="B6" s="351"/>
      <c r="C6" s="3349" t="s">
        <v>1677</v>
      </c>
      <c r="D6" s="3350"/>
      <c r="E6" s="3352" t="s">
        <v>1677</v>
      </c>
      <c r="F6" s="3353"/>
      <c r="G6" s="3349" t="s">
        <v>1677</v>
      </c>
      <c r="H6" s="3350"/>
      <c r="I6" s="3349" t="s">
        <v>1677</v>
      </c>
      <c r="J6" s="3350"/>
      <c r="K6" s="1745" t="s">
        <v>1678</v>
      </c>
      <c r="L6" s="2487"/>
      <c r="M6" s="2488"/>
      <c r="N6" s="2488"/>
      <c r="O6" s="2488"/>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9" t="s">
        <v>1680</v>
      </c>
      <c r="Q7" s="3373"/>
      <c r="R7" s="664" t="s">
        <v>20</v>
      </c>
      <c r="S7" s="665">
        <f t="shared" ref="S7:S15" si="0">F7</f>
        <v>0</v>
      </c>
      <c r="T7" s="664" t="s">
        <v>20</v>
      </c>
      <c r="U7" s="665">
        <f t="shared" ref="U7:U15" si="1">H7</f>
        <v>0</v>
      </c>
      <c r="V7" s="664" t="s">
        <v>20</v>
      </c>
      <c r="W7" s="665">
        <f t="shared" ref="W7:W15" si="2">J7</f>
        <v>0</v>
      </c>
      <c r="X7" s="666"/>
      <c r="Y7" s="3339" t="s">
        <v>1680</v>
      </c>
      <c r="Z7" s="334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9" t="s">
        <v>1683</v>
      </c>
      <c r="Q8" s="3340"/>
      <c r="R8" s="664" t="s">
        <v>20</v>
      </c>
      <c r="S8" s="665">
        <f t="shared" si="0"/>
        <v>100</v>
      </c>
      <c r="T8" s="664" t="s">
        <v>20</v>
      </c>
      <c r="U8" s="665">
        <f t="shared" si="1"/>
        <v>100</v>
      </c>
      <c r="V8" s="664" t="s">
        <v>20</v>
      </c>
      <c r="W8" s="665">
        <f t="shared" si="2"/>
        <v>100</v>
      </c>
      <c r="X8" s="666"/>
      <c r="Y8" s="3339" t="s">
        <v>1683</v>
      </c>
      <c r="Z8" s="334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4"/>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4"/>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4"/>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4"/>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3" t="str">
        <f>A47</f>
        <v>成交单价（元/平方米）</v>
      </c>
      <c r="Q47" s="3383"/>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3" t="str">
        <f>A48</f>
        <v>比较价值（元/平方米）</v>
      </c>
      <c r="Q48" s="3383"/>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2023-5</v>
      </c>
      <c r="D58" s="1104">
        <f>EDATE(C58,-1)</f>
        <v>45017</v>
      </c>
      <c r="E58" s="1104">
        <f>EDATE(D58,-1)</f>
        <v>44986</v>
      </c>
      <c r="F58" s="1104">
        <f t="shared" ref="F58:O58" si="19">EDATE(E58,-1)</f>
        <v>44958</v>
      </c>
      <c r="G58" s="1104">
        <f t="shared" si="19"/>
        <v>44927</v>
      </c>
      <c r="H58" s="1104">
        <f t="shared" si="19"/>
        <v>44896</v>
      </c>
      <c r="I58" s="1104">
        <f t="shared" si="19"/>
        <v>44866</v>
      </c>
      <c r="J58" s="1104">
        <f t="shared" si="19"/>
        <v>44835</v>
      </c>
      <c r="K58" s="1104">
        <f t="shared" si="19"/>
        <v>44805</v>
      </c>
      <c r="L58" s="1104">
        <f t="shared" si="19"/>
        <v>44774</v>
      </c>
      <c r="M58" s="1104">
        <f t="shared" si="19"/>
        <v>44743</v>
      </c>
      <c r="N58" s="1104">
        <f t="shared" si="19"/>
        <v>44713</v>
      </c>
      <c r="O58" s="1104">
        <f t="shared" si="19"/>
        <v>44682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53" activeCellId="1" sqref="H44 P5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173.72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39" t="s">
        <v>1775</v>
      </c>
      <c r="Q4" s="3440"/>
      <c r="R4" s="3436" t="s">
        <v>1771</v>
      </c>
      <c r="S4" s="3437"/>
      <c r="T4" s="3436" t="s">
        <v>1772</v>
      </c>
      <c r="U4" s="3437"/>
      <c r="V4" s="3371" t="s">
        <v>1773</v>
      </c>
      <c r="W4" s="3371"/>
      <c r="X4" s="1265"/>
      <c r="Y4" s="3436" t="s">
        <v>1775</v>
      </c>
      <c r="Z4" s="3437"/>
      <c r="AA4" s="3435" t="s">
        <v>1771</v>
      </c>
      <c r="AB4" s="3371" t="s">
        <v>1772</v>
      </c>
      <c r="AC4" s="3435" t="s">
        <v>1773</v>
      </c>
    </row>
    <row r="5" spans="1:29" ht="15">
      <c r="A5" s="348"/>
      <c r="B5" s="349"/>
      <c r="C5" s="3347" t="s">
        <v>1673</v>
      </c>
      <c r="D5" s="3348"/>
      <c r="E5" s="3438" t="s">
        <v>1674</v>
      </c>
      <c r="F5" s="3346"/>
      <c r="G5" s="3347" t="s">
        <v>1675</v>
      </c>
      <c r="H5" s="3348"/>
      <c r="I5" s="3347" t="s">
        <v>1676</v>
      </c>
      <c r="J5" s="3348"/>
      <c r="K5" s="537"/>
      <c r="L5" s="2487"/>
      <c r="M5" s="2488"/>
      <c r="N5" s="2488"/>
      <c r="O5" s="2488"/>
      <c r="P5" s="3441"/>
      <c r="Q5" s="3365"/>
      <c r="R5" s="3343"/>
      <c r="S5" s="3344"/>
      <c r="T5" s="3343"/>
      <c r="U5" s="3344"/>
      <c r="V5" s="3371"/>
      <c r="W5" s="3371"/>
      <c r="X5" s="1265"/>
      <c r="Y5" s="3343"/>
      <c r="Z5" s="3344"/>
      <c r="AA5" s="3337"/>
      <c r="AB5" s="3371"/>
      <c r="AC5" s="3337"/>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442"/>
      <c r="Q6" s="3367"/>
      <c r="R6" s="3343"/>
      <c r="S6" s="3344"/>
      <c r="T6" s="3368"/>
      <c r="U6" s="3369"/>
      <c r="V6" s="3371"/>
      <c r="W6" s="3371"/>
      <c r="X6" s="1265"/>
      <c r="Y6" s="3368"/>
      <c r="Z6" s="3369"/>
      <c r="AA6" s="3338"/>
      <c r="AB6" s="3371"/>
      <c r="AC6" s="3338"/>
    </row>
    <row r="7" spans="1:29" s="102" customFormat="1" ht="15.75" thickBot="1">
      <c r="A7" s="352" t="s">
        <v>1679</v>
      </c>
      <c r="B7" s="353"/>
      <c r="C7" s="354">
        <f>'数据-取费表'!B2</f>
        <v>45054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9" t="s">
        <v>1680</v>
      </c>
      <c r="Q7" s="3373"/>
      <c r="R7" s="664" t="s">
        <v>14</v>
      </c>
      <c r="S7" s="665">
        <f t="shared" ref="S7:S15" si="0">F7</f>
        <v>0</v>
      </c>
      <c r="T7" s="664" t="s">
        <v>14</v>
      </c>
      <c r="U7" s="665">
        <f t="shared" ref="U7:U15" si="1">H7</f>
        <v>0</v>
      </c>
      <c r="V7" s="664" t="s">
        <v>14</v>
      </c>
      <c r="W7" s="665">
        <f t="shared" ref="W7:W15" si="2">J7</f>
        <v>0</v>
      </c>
      <c r="X7" s="666"/>
      <c r="Y7" s="3339" t="s">
        <v>1680</v>
      </c>
      <c r="Z7" s="334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9" t="s">
        <v>1683</v>
      </c>
      <c r="Q8" s="3340"/>
      <c r="R8" s="664" t="s">
        <v>14</v>
      </c>
      <c r="S8" s="665">
        <f t="shared" si="0"/>
        <v>100</v>
      </c>
      <c r="T8" s="664" t="s">
        <v>14</v>
      </c>
      <c r="U8" s="665">
        <f t="shared" si="1"/>
        <v>100</v>
      </c>
      <c r="V8" s="664" t="s">
        <v>14</v>
      </c>
      <c r="W8" s="665">
        <f t="shared" si="2"/>
        <v>100</v>
      </c>
      <c r="X8" s="666"/>
      <c r="Y8" s="3339" t="s">
        <v>1683</v>
      </c>
      <c r="Z8" s="334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4"/>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4"/>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4"/>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4"/>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3" t="str">
        <f>A47</f>
        <v>成交单价（元/平方米）</v>
      </c>
      <c r="Q47" s="3383"/>
      <c r="R47" s="3371">
        <f>E47</f>
        <v>0</v>
      </c>
      <c r="S47" s="3371"/>
      <c r="T47" s="3371">
        <f>G47</f>
        <v>0</v>
      </c>
      <c r="U47" s="3371"/>
      <c r="V47" s="3371">
        <f>I47</f>
        <v>0</v>
      </c>
      <c r="W47" s="337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3" t="str">
        <f>A48</f>
        <v>比较价值（元/平方米）</v>
      </c>
      <c r="Q48" s="3383"/>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2023-5</v>
      </c>
      <c r="D58" s="1104">
        <f>EDATE(C58,-1)</f>
        <v>45017</v>
      </c>
      <c r="E58" s="1104">
        <f t="shared" ref="E58:N58" si="16">EDATE(D58,-1)</f>
        <v>44986</v>
      </c>
      <c r="F58" s="1104">
        <f t="shared" si="16"/>
        <v>44958</v>
      </c>
      <c r="G58" s="1104">
        <f t="shared" si="16"/>
        <v>44927</v>
      </c>
      <c r="H58" s="1104">
        <f t="shared" si="16"/>
        <v>44896</v>
      </c>
      <c r="I58" s="1104">
        <f t="shared" si="16"/>
        <v>44866</v>
      </c>
      <c r="J58" s="1104">
        <f t="shared" si="16"/>
        <v>44835</v>
      </c>
      <c r="K58" s="1104">
        <f t="shared" si="16"/>
        <v>44805</v>
      </c>
      <c r="L58" s="1104">
        <f t="shared" si="16"/>
        <v>44774</v>
      </c>
      <c r="M58" s="1104">
        <f t="shared" si="16"/>
        <v>44743</v>
      </c>
      <c r="N58" s="1104">
        <f t="shared" si="16"/>
        <v>44713</v>
      </c>
      <c r="O58" s="1104">
        <f>EDATE(N58,-1)</f>
        <v>44682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173.72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860"/>
      <c r="M4" s="861"/>
      <c r="N4" s="861"/>
      <c r="O4" s="861"/>
      <c r="P4" s="3439" t="s">
        <v>1775</v>
      </c>
      <c r="Q4" s="3440"/>
      <c r="R4" s="3436" t="s">
        <v>1771</v>
      </c>
      <c r="S4" s="3437"/>
      <c r="T4" s="3436" t="s">
        <v>1772</v>
      </c>
      <c r="U4" s="3437"/>
      <c r="V4" s="3371" t="s">
        <v>1773</v>
      </c>
      <c r="W4" s="3371"/>
      <c r="X4" s="1265"/>
      <c r="Y4" s="3436" t="s">
        <v>1775</v>
      </c>
      <c r="Z4" s="3437"/>
      <c r="AA4" s="3435" t="s">
        <v>1771</v>
      </c>
      <c r="AB4" s="3337" t="s">
        <v>1772</v>
      </c>
      <c r="AC4" s="3435" t="s">
        <v>1773</v>
      </c>
    </row>
    <row r="5" spans="1:29" ht="15">
      <c r="A5" s="348"/>
      <c r="B5" s="349"/>
      <c r="C5" s="3347" t="s">
        <v>1673</v>
      </c>
      <c r="D5" s="3348"/>
      <c r="E5" s="3438" t="s">
        <v>1674</v>
      </c>
      <c r="F5" s="3346"/>
      <c r="G5" s="3347" t="s">
        <v>1675</v>
      </c>
      <c r="H5" s="3348"/>
      <c r="I5" s="3347" t="s">
        <v>1676</v>
      </c>
      <c r="J5" s="3348"/>
      <c r="K5" s="537"/>
      <c r="L5" s="860"/>
      <c r="M5" s="861"/>
      <c r="N5" s="861"/>
      <c r="O5" s="861"/>
      <c r="P5" s="3441"/>
      <c r="Q5" s="3365"/>
      <c r="R5" s="3343"/>
      <c r="S5" s="3344"/>
      <c r="T5" s="3343"/>
      <c r="U5" s="3344"/>
      <c r="V5" s="3371"/>
      <c r="W5" s="3371"/>
      <c r="X5" s="1265"/>
      <c r="Y5" s="3343"/>
      <c r="Z5" s="3344"/>
      <c r="AA5" s="3337"/>
      <c r="AB5" s="3337"/>
      <c r="AC5" s="3337"/>
    </row>
    <row r="6" spans="1:29" ht="15.75" thickBot="1">
      <c r="A6" s="350"/>
      <c r="B6" s="351"/>
      <c r="C6" s="3349" t="s">
        <v>1677</v>
      </c>
      <c r="D6" s="3350"/>
      <c r="E6" s="3352" t="s">
        <v>1677</v>
      </c>
      <c r="F6" s="3353"/>
      <c r="G6" s="3349" t="s">
        <v>1677</v>
      </c>
      <c r="H6" s="3350"/>
      <c r="I6" s="3349" t="s">
        <v>1677</v>
      </c>
      <c r="J6" s="3350"/>
      <c r="K6" s="537" t="s">
        <v>1678</v>
      </c>
      <c r="L6" s="860"/>
      <c r="M6" s="861"/>
      <c r="N6" s="861"/>
      <c r="O6" s="861"/>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SUMIF(52:52,YEAR(E7)&amp;"-"&amp;MONTH(E7),53:53)</f>
        <v>0</v>
      </c>
      <c r="G7" s="356"/>
      <c r="H7" s="355">
        <f>SUMIF(52:52,YEAR(G7)&amp;"-"&amp;MONTH(G7),53:53)</f>
        <v>0</v>
      </c>
      <c r="I7" s="356"/>
      <c r="J7" s="355">
        <f>SUMIF(52:52,YEAR(I7)&amp;"-"&amp;MONTH(I7),53:53)</f>
        <v>0</v>
      </c>
      <c r="K7" s="38"/>
      <c r="L7" s="862"/>
      <c r="M7" s="863"/>
      <c r="N7" s="863"/>
      <c r="O7" s="863"/>
      <c r="P7" s="3339" t="s">
        <v>1680</v>
      </c>
      <c r="Q7" s="3373"/>
      <c r="R7" s="664" t="s">
        <v>14</v>
      </c>
      <c r="S7" s="665">
        <f t="shared" ref="S7:S15" si="0">F7</f>
        <v>0</v>
      </c>
      <c r="T7" s="664" t="s">
        <v>14</v>
      </c>
      <c r="U7" s="665">
        <f t="shared" ref="U7:U15" si="1">H7</f>
        <v>0</v>
      </c>
      <c r="V7" s="664" t="s">
        <v>14</v>
      </c>
      <c r="W7" s="665">
        <f t="shared" ref="W7:W15" si="2">J7</f>
        <v>0</v>
      </c>
      <c r="X7" s="666"/>
      <c r="Y7" s="3339" t="s">
        <v>1680</v>
      </c>
      <c r="Z7" s="334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9" t="s">
        <v>1683</v>
      </c>
      <c r="Q8" s="3340"/>
      <c r="R8" s="664" t="s">
        <v>14</v>
      </c>
      <c r="S8" s="665">
        <f t="shared" si="0"/>
        <v>100</v>
      </c>
      <c r="T8" s="664" t="s">
        <v>14</v>
      </c>
      <c r="U8" s="665">
        <f t="shared" si="1"/>
        <v>100</v>
      </c>
      <c r="V8" s="664" t="s">
        <v>14</v>
      </c>
      <c r="W8" s="665">
        <f t="shared" si="2"/>
        <v>100</v>
      </c>
      <c r="X8" s="666"/>
      <c r="Y8" s="3339" t="s">
        <v>1683</v>
      </c>
      <c r="Z8" s="334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3" t="str">
        <f>A41</f>
        <v>成交单价（元/平方米）</v>
      </c>
      <c r="Q41" s="3383"/>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2023-5</v>
      </c>
      <c r="D52" s="1104">
        <f>EDATE(C52,-1)</f>
        <v>45017</v>
      </c>
      <c r="E52" s="1104">
        <f t="shared" ref="E52:O52" si="16">EDATE(D52,-1)</f>
        <v>44986</v>
      </c>
      <c r="F52" s="1104">
        <f t="shared" si="16"/>
        <v>44958</v>
      </c>
      <c r="G52" s="1104">
        <f t="shared" si="16"/>
        <v>44927</v>
      </c>
      <c r="H52" s="1104">
        <f t="shared" si="16"/>
        <v>44896</v>
      </c>
      <c r="I52" s="1104">
        <f t="shared" si="16"/>
        <v>44866</v>
      </c>
      <c r="J52" s="1104">
        <f t="shared" si="16"/>
        <v>44835</v>
      </c>
      <c r="K52" s="1104">
        <f t="shared" si="16"/>
        <v>44805</v>
      </c>
      <c r="L52" s="1104">
        <f t="shared" si="16"/>
        <v>44774</v>
      </c>
      <c r="M52" s="1104">
        <f t="shared" si="16"/>
        <v>44743</v>
      </c>
      <c r="N52" s="1104">
        <f t="shared" si="16"/>
        <v>44713</v>
      </c>
      <c r="O52" s="1104">
        <f t="shared" si="16"/>
        <v>44682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39" t="s">
        <v>1775</v>
      </c>
      <c r="Q4" s="3440"/>
      <c r="R4" s="3436" t="s">
        <v>1771</v>
      </c>
      <c r="S4" s="3437"/>
      <c r="T4" s="3436" t="s">
        <v>1772</v>
      </c>
      <c r="U4" s="3437"/>
      <c r="V4" s="3371" t="s">
        <v>1773</v>
      </c>
      <c r="W4" s="3371"/>
      <c r="X4" s="1265"/>
      <c r="Y4" s="3436" t="s">
        <v>1775</v>
      </c>
      <c r="Z4" s="3437"/>
      <c r="AA4" s="3435" t="s">
        <v>1771</v>
      </c>
      <c r="AB4" s="3337" t="s">
        <v>1772</v>
      </c>
      <c r="AC4" s="3435" t="s">
        <v>1773</v>
      </c>
    </row>
    <row r="5" spans="1:29" ht="15">
      <c r="A5" s="348"/>
      <c r="B5" s="349"/>
      <c r="C5" s="3347" t="s">
        <v>1673</v>
      </c>
      <c r="D5" s="3348"/>
      <c r="E5" s="3438" t="s">
        <v>1674</v>
      </c>
      <c r="F5" s="3346"/>
      <c r="G5" s="3347" t="s">
        <v>1675</v>
      </c>
      <c r="H5" s="3348"/>
      <c r="I5" s="3347" t="s">
        <v>1676</v>
      </c>
      <c r="J5" s="3348"/>
      <c r="K5" s="537"/>
      <c r="L5" s="2487"/>
      <c r="M5" s="2488"/>
      <c r="N5" s="2488"/>
      <c r="O5" s="2488"/>
      <c r="P5" s="3441"/>
      <c r="Q5" s="3365"/>
      <c r="R5" s="3343"/>
      <c r="S5" s="3344"/>
      <c r="T5" s="3343"/>
      <c r="U5" s="3344"/>
      <c r="V5" s="3371"/>
      <c r="W5" s="3371"/>
      <c r="X5" s="1265"/>
      <c r="Y5" s="3343"/>
      <c r="Z5" s="3344"/>
      <c r="AA5" s="3337"/>
      <c r="AB5" s="3337"/>
      <c r="AC5" s="3337"/>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9" t="s">
        <v>1680</v>
      </c>
      <c r="Q7" s="3373"/>
      <c r="R7" s="664" t="s">
        <v>14</v>
      </c>
      <c r="S7" s="665">
        <f t="shared" ref="S7:S14" si="0">F7</f>
        <v>0</v>
      </c>
      <c r="T7" s="664" t="s">
        <v>14</v>
      </c>
      <c r="U7" s="665">
        <f t="shared" ref="U7:U14" si="1">H7</f>
        <v>0</v>
      </c>
      <c r="V7" s="664" t="s">
        <v>14</v>
      </c>
      <c r="W7" s="665">
        <f t="shared" ref="W7:W14" si="2">J7</f>
        <v>0</v>
      </c>
      <c r="X7" s="666"/>
      <c r="Y7" s="3339" t="s">
        <v>1680</v>
      </c>
      <c r="Z7" s="334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9" t="s">
        <v>1683</v>
      </c>
      <c r="Q8" s="3340"/>
      <c r="R8" s="664" t="s">
        <v>14</v>
      </c>
      <c r="S8" s="665">
        <f t="shared" si="0"/>
        <v>100</v>
      </c>
      <c r="T8" s="664" t="s">
        <v>14</v>
      </c>
      <c r="U8" s="665">
        <f t="shared" si="1"/>
        <v>100</v>
      </c>
      <c r="V8" s="664" t="s">
        <v>14</v>
      </c>
      <c r="W8" s="665">
        <f t="shared" si="2"/>
        <v>100</v>
      </c>
      <c r="X8" s="666"/>
      <c r="Y8" s="3339" t="s">
        <v>1683</v>
      </c>
      <c r="Z8" s="334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3"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3"/>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ht="15">
      <c r="A37" s="416" t="s">
        <v>1844</v>
      </c>
      <c r="B37" s="1821" t="s">
        <v>3346</v>
      </c>
      <c r="C37" s="1081" t="s">
        <v>0</v>
      </c>
      <c r="D37" s="418"/>
      <c r="E37" s="419"/>
      <c r="F37" s="420"/>
      <c r="G37" s="421"/>
      <c r="H37" s="422"/>
      <c r="I37" s="419"/>
      <c r="J37" s="422"/>
      <c r="K37" s="545"/>
      <c r="L37" s="2495"/>
      <c r="M37" s="2488"/>
      <c r="N37" s="2488"/>
      <c r="O37" s="2488"/>
      <c r="P37" s="3383" t="str">
        <f>A37</f>
        <v>成交单价</v>
      </c>
      <c r="Q37" s="3383"/>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3" t="str">
        <f>A38</f>
        <v>比较价值（元/平方米）</v>
      </c>
      <c r="Q38" s="3383"/>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3" t="str">
        <f>A39</f>
        <v>估价对象XX用房的比较价值（楼面单价，元/平方米）</v>
      </c>
      <c r="Q39" s="3444"/>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2023-5</v>
      </c>
      <c r="D48" s="1104">
        <f>EDATE(C48,-1)</f>
        <v>45017</v>
      </c>
      <c r="E48" s="1104">
        <f t="shared" ref="E48:O48" si="16">EDATE(D48,-1)</f>
        <v>44986</v>
      </c>
      <c r="F48" s="1104">
        <f t="shared" si="16"/>
        <v>44958</v>
      </c>
      <c r="G48" s="1104">
        <f t="shared" si="16"/>
        <v>44927</v>
      </c>
      <c r="H48" s="1104">
        <f t="shared" si="16"/>
        <v>44896</v>
      </c>
      <c r="I48" s="1104">
        <f t="shared" si="16"/>
        <v>44866</v>
      </c>
      <c r="J48" s="1104">
        <f t="shared" si="16"/>
        <v>44835</v>
      </c>
      <c r="K48" s="1104">
        <f t="shared" si="16"/>
        <v>44805</v>
      </c>
      <c r="L48" s="1104">
        <f t="shared" si="16"/>
        <v>44774</v>
      </c>
      <c r="M48" s="1104">
        <f t="shared" si="16"/>
        <v>44743</v>
      </c>
      <c r="N48" s="1104">
        <f t="shared" si="16"/>
        <v>44713</v>
      </c>
      <c r="O48" s="1104">
        <f t="shared" si="16"/>
        <v>44682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39" t="s">
        <v>1775</v>
      </c>
      <c r="Q4" s="3440"/>
      <c r="R4" s="3436" t="s">
        <v>1771</v>
      </c>
      <c r="S4" s="3437"/>
      <c r="T4" s="3436" t="s">
        <v>1772</v>
      </c>
      <c r="U4" s="3437"/>
      <c r="V4" s="3371" t="s">
        <v>1773</v>
      </c>
      <c r="W4" s="3371"/>
      <c r="X4" s="1265"/>
      <c r="Y4" s="3436" t="s">
        <v>1775</v>
      </c>
      <c r="Z4" s="3437"/>
      <c r="AA4" s="3435" t="s">
        <v>1771</v>
      </c>
      <c r="AB4" s="3337" t="s">
        <v>1772</v>
      </c>
      <c r="AC4" s="3435" t="s">
        <v>1773</v>
      </c>
    </row>
    <row r="5" spans="1:29" ht="15">
      <c r="A5" s="348"/>
      <c r="B5" s="349"/>
      <c r="C5" s="3347" t="s">
        <v>1673</v>
      </c>
      <c r="D5" s="3348"/>
      <c r="E5" s="3438" t="s">
        <v>1674</v>
      </c>
      <c r="F5" s="3346"/>
      <c r="G5" s="3347" t="s">
        <v>1675</v>
      </c>
      <c r="H5" s="3348"/>
      <c r="I5" s="3347" t="s">
        <v>1676</v>
      </c>
      <c r="J5" s="3348"/>
      <c r="K5" s="537"/>
      <c r="L5" s="2487"/>
      <c r="M5" s="2488"/>
      <c r="N5" s="2488"/>
      <c r="O5" s="2488"/>
      <c r="P5" s="3441"/>
      <c r="Q5" s="3365"/>
      <c r="R5" s="3343"/>
      <c r="S5" s="3344"/>
      <c r="T5" s="3343"/>
      <c r="U5" s="3344"/>
      <c r="V5" s="3371"/>
      <c r="W5" s="3371"/>
      <c r="X5" s="1265"/>
      <c r="Y5" s="3343"/>
      <c r="Z5" s="3344"/>
      <c r="AA5" s="3337"/>
      <c r="AB5" s="3337"/>
      <c r="AC5" s="3337"/>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9" t="s">
        <v>1680</v>
      </c>
      <c r="Q7" s="3373"/>
      <c r="R7" s="664" t="s">
        <v>14</v>
      </c>
      <c r="S7" s="665">
        <f t="shared" ref="S7:S14" si="0">F7</f>
        <v>0</v>
      </c>
      <c r="T7" s="664" t="s">
        <v>14</v>
      </c>
      <c r="U7" s="665">
        <f t="shared" ref="U7:U14" si="1">H7</f>
        <v>0</v>
      </c>
      <c r="V7" s="664" t="s">
        <v>14</v>
      </c>
      <c r="W7" s="665">
        <f t="shared" ref="W7:W14" si="2">J7</f>
        <v>0</v>
      </c>
      <c r="X7" s="666"/>
      <c r="Y7" s="3339" t="s">
        <v>1680</v>
      </c>
      <c r="Z7" s="334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9" t="s">
        <v>1683</v>
      </c>
      <c r="Q8" s="3340"/>
      <c r="R8" s="664" t="s">
        <v>14</v>
      </c>
      <c r="S8" s="665">
        <f t="shared" si="0"/>
        <v>100</v>
      </c>
      <c r="T8" s="664" t="s">
        <v>14</v>
      </c>
      <c r="U8" s="665">
        <f t="shared" si="1"/>
        <v>100</v>
      </c>
      <c r="V8" s="664" t="s">
        <v>14</v>
      </c>
      <c r="W8" s="665">
        <f t="shared" si="2"/>
        <v>100</v>
      </c>
      <c r="X8" s="666"/>
      <c r="Y8" s="3339" t="s">
        <v>1683</v>
      </c>
      <c r="Z8" s="334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3"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3"/>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3"/>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3"/>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3"/>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3" t="str">
        <f>A35</f>
        <v>成交单价（元/平方米）</v>
      </c>
      <c r="Q35" s="3383"/>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3" t="str">
        <f>A36</f>
        <v>比较价值（元/平方米）</v>
      </c>
      <c r="Q36" s="3383"/>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3" t="str">
        <f>A37</f>
        <v>估价对象XX用房的比较价值（楼面单价，元/平方米）</v>
      </c>
      <c r="Q37" s="3444"/>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2023-5</v>
      </c>
      <c r="D46" s="1104">
        <f>EDATE(C46,-1)</f>
        <v>45017</v>
      </c>
      <c r="E46" s="1104">
        <f t="shared" ref="E46:O46" si="16">EDATE(D46,-1)</f>
        <v>44986</v>
      </c>
      <c r="F46" s="1104">
        <f t="shared" si="16"/>
        <v>44958</v>
      </c>
      <c r="G46" s="1104">
        <f t="shared" si="16"/>
        <v>44927</v>
      </c>
      <c r="H46" s="1104">
        <f t="shared" si="16"/>
        <v>44896</v>
      </c>
      <c r="I46" s="1104">
        <f t="shared" si="16"/>
        <v>44866</v>
      </c>
      <c r="J46" s="1104">
        <f t="shared" si="16"/>
        <v>44835</v>
      </c>
      <c r="K46" s="1104">
        <f t="shared" si="16"/>
        <v>44805</v>
      </c>
      <c r="L46" s="1104">
        <f t="shared" si="16"/>
        <v>44774</v>
      </c>
      <c r="M46" s="1104">
        <f t="shared" si="16"/>
        <v>44743</v>
      </c>
      <c r="N46" s="1104">
        <f t="shared" si="16"/>
        <v>44713</v>
      </c>
      <c r="O46" s="1104">
        <f t="shared" si="16"/>
        <v>44682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39" t="s">
        <v>1775</v>
      </c>
      <c r="Q4" s="3440"/>
      <c r="R4" s="3436" t="s">
        <v>1771</v>
      </c>
      <c r="S4" s="3437"/>
      <c r="T4" s="3436" t="s">
        <v>1772</v>
      </c>
      <c r="U4" s="3437"/>
      <c r="V4" s="3371" t="s">
        <v>1773</v>
      </c>
      <c r="W4" s="3371"/>
      <c r="X4" s="1265"/>
      <c r="Y4" s="3436" t="s">
        <v>1775</v>
      </c>
      <c r="Z4" s="3437"/>
      <c r="AA4" s="3435" t="s">
        <v>1771</v>
      </c>
      <c r="AB4" s="3337" t="s">
        <v>1772</v>
      </c>
      <c r="AC4" s="3435" t="s">
        <v>1773</v>
      </c>
    </row>
    <row r="5" spans="1:29" ht="15">
      <c r="A5" s="348"/>
      <c r="B5" s="349"/>
      <c r="C5" s="3347" t="s">
        <v>1673</v>
      </c>
      <c r="D5" s="3348"/>
      <c r="E5" s="3438" t="s">
        <v>1674</v>
      </c>
      <c r="F5" s="3346"/>
      <c r="G5" s="3347" t="s">
        <v>1675</v>
      </c>
      <c r="H5" s="3348"/>
      <c r="I5" s="3347" t="s">
        <v>1676</v>
      </c>
      <c r="J5" s="3348"/>
      <c r="K5" s="537"/>
      <c r="L5" s="2487"/>
      <c r="M5" s="2488"/>
      <c r="N5" s="2488"/>
      <c r="O5" s="2488"/>
      <c r="P5" s="3441"/>
      <c r="Q5" s="3365"/>
      <c r="R5" s="3343"/>
      <c r="S5" s="3344"/>
      <c r="T5" s="3343"/>
      <c r="U5" s="3344"/>
      <c r="V5" s="3371"/>
      <c r="W5" s="3371"/>
      <c r="X5" s="1265"/>
      <c r="Y5" s="3343"/>
      <c r="Z5" s="3344"/>
      <c r="AA5" s="3337"/>
      <c r="AB5" s="3337"/>
      <c r="AC5" s="3337"/>
    </row>
    <row r="6" spans="1:29" ht="15.75" thickBot="1">
      <c r="A6" s="350"/>
      <c r="B6" s="351"/>
      <c r="C6" s="3349" t="s">
        <v>1677</v>
      </c>
      <c r="D6" s="3350"/>
      <c r="E6" s="3352" t="s">
        <v>1677</v>
      </c>
      <c r="F6" s="3353"/>
      <c r="G6" s="3349" t="s">
        <v>1677</v>
      </c>
      <c r="H6" s="3350"/>
      <c r="I6" s="3349" t="s">
        <v>1677</v>
      </c>
      <c r="J6" s="3350"/>
      <c r="K6" s="537" t="s">
        <v>1678</v>
      </c>
      <c r="L6" s="2487"/>
      <c r="M6" s="2488"/>
      <c r="N6" s="2488"/>
      <c r="O6" s="2488"/>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9" t="s">
        <v>1680</v>
      </c>
      <c r="Q7" s="3373"/>
      <c r="R7" s="664" t="s">
        <v>14</v>
      </c>
      <c r="S7" s="665">
        <f t="shared" ref="S7:S15" si="0">F7</f>
        <v>0</v>
      </c>
      <c r="T7" s="664" t="s">
        <v>14</v>
      </c>
      <c r="U7" s="665">
        <f t="shared" ref="U7:U15" si="1">H7</f>
        <v>0</v>
      </c>
      <c r="V7" s="664" t="s">
        <v>14</v>
      </c>
      <c r="W7" s="665">
        <f t="shared" ref="W7:W15" si="2">J7</f>
        <v>0</v>
      </c>
      <c r="X7" s="666"/>
      <c r="Y7" s="3339" t="s">
        <v>1680</v>
      </c>
      <c r="Z7" s="334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9" t="s">
        <v>1683</v>
      </c>
      <c r="Q8" s="3340"/>
      <c r="R8" s="664" t="s">
        <v>14</v>
      </c>
      <c r="S8" s="665">
        <f t="shared" si="0"/>
        <v>0</v>
      </c>
      <c r="T8" s="664" t="s">
        <v>14</v>
      </c>
      <c r="U8" s="665">
        <f t="shared" si="1"/>
        <v>0</v>
      </c>
      <c r="V8" s="664" t="s">
        <v>14</v>
      </c>
      <c r="W8" s="665">
        <f t="shared" si="2"/>
        <v>0</v>
      </c>
      <c r="X8" s="666"/>
      <c r="Y8" s="3339" t="s">
        <v>1683</v>
      </c>
      <c r="Z8" s="334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3"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90"/>
      <c r="M10" s="2491"/>
      <c r="N10" s="2491"/>
      <c r="O10" s="2542"/>
      <c r="P10" s="3383"/>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3"/>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3"/>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3"/>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3"/>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15">
      <c r="A19" s="367"/>
      <c r="B19" s="390" t="s">
        <v>1811</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27">
      <c r="A25" s="348"/>
      <c r="B25" s="586" t="s">
        <v>1872</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3" t="str">
        <f>A46</f>
        <v>成交单价</v>
      </c>
      <c r="Q46" s="3383"/>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3" t="str">
        <f>A47</f>
        <v>比较价值（元/平方米）</v>
      </c>
      <c r="Q47" s="3383"/>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3" t="str">
        <f>A48</f>
        <v>估价对象XX用房的比较价值（楼面单价，元/平方米）</v>
      </c>
      <c r="Q48" s="3444"/>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8"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173.72</v>
      </c>
      <c r="F56" s="833" t="e">
        <f t="shared" ref="F56:F64" si="15">ROUND(B56*E56/10000,0)</f>
        <v>#DIV/0!</v>
      </c>
      <c r="G56" s="3354"/>
      <c r="H56" s="338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173.72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2023-5-1</v>
      </c>
      <c r="D67" s="656">
        <f>EDATE(C67,-3)</f>
        <v>44958</v>
      </c>
      <c r="E67" s="656">
        <f>EDATE(D67,-3)</f>
        <v>44866</v>
      </c>
      <c r="F67" s="656">
        <f t="shared" ref="F67:O67" si="18">EDATE(E67,-3)</f>
        <v>44774</v>
      </c>
      <c r="G67" s="656">
        <f t="shared" si="18"/>
        <v>44682</v>
      </c>
      <c r="H67" s="656">
        <f t="shared" si="18"/>
        <v>44593</v>
      </c>
      <c r="I67" s="656">
        <f t="shared" si="18"/>
        <v>44501</v>
      </c>
      <c r="J67" s="656">
        <f t="shared" si="18"/>
        <v>44409</v>
      </c>
      <c r="K67" s="656">
        <f t="shared" si="18"/>
        <v>44317</v>
      </c>
      <c r="L67" s="656">
        <f t="shared" si="18"/>
        <v>44228</v>
      </c>
      <c r="M67" s="656">
        <f t="shared" si="18"/>
        <v>44136</v>
      </c>
      <c r="N67" s="656">
        <f t="shared" si="18"/>
        <v>44044</v>
      </c>
      <c r="O67" s="656">
        <f t="shared" si="18"/>
        <v>43952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39" t="s">
        <v>1775</v>
      </c>
      <c r="Q4" s="3440"/>
      <c r="R4" s="3436" t="s">
        <v>1771</v>
      </c>
      <c r="S4" s="3437"/>
      <c r="T4" s="3436" t="s">
        <v>1772</v>
      </c>
      <c r="U4" s="3437"/>
      <c r="V4" s="3371" t="s">
        <v>1773</v>
      </c>
      <c r="W4" s="3371"/>
      <c r="X4" s="1265"/>
      <c r="Y4" s="3436" t="s">
        <v>1775</v>
      </c>
      <c r="Z4" s="3437"/>
      <c r="AA4" s="3435" t="s">
        <v>1771</v>
      </c>
      <c r="AB4" s="3337" t="s">
        <v>1772</v>
      </c>
      <c r="AC4" s="3435" t="s">
        <v>1773</v>
      </c>
    </row>
    <row r="5" spans="1:29" ht="15">
      <c r="A5" s="348"/>
      <c r="B5" s="349"/>
      <c r="C5" s="3347" t="s">
        <v>1673</v>
      </c>
      <c r="D5" s="3348"/>
      <c r="E5" s="3438" t="s">
        <v>1674</v>
      </c>
      <c r="F5" s="3346"/>
      <c r="G5" s="3347" t="s">
        <v>1675</v>
      </c>
      <c r="H5" s="3348"/>
      <c r="I5" s="3347" t="s">
        <v>1676</v>
      </c>
      <c r="J5" s="3348"/>
      <c r="K5" s="537"/>
      <c r="L5" s="2487"/>
      <c r="M5" s="2488"/>
      <c r="N5" s="2488"/>
      <c r="O5" s="2488"/>
      <c r="P5" s="3441"/>
      <c r="Q5" s="3365"/>
      <c r="R5" s="3343"/>
      <c r="S5" s="3344"/>
      <c r="T5" s="3343"/>
      <c r="U5" s="3344"/>
      <c r="V5" s="3371"/>
      <c r="W5" s="3371"/>
      <c r="X5" s="1265"/>
      <c r="Y5" s="3343"/>
      <c r="Z5" s="3344"/>
      <c r="AA5" s="3337"/>
      <c r="AB5" s="3337"/>
      <c r="AC5" s="3337"/>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42"/>
      <c r="Q6" s="3367"/>
      <c r="R6" s="3343"/>
      <c r="S6" s="3344"/>
      <c r="T6" s="3368"/>
      <c r="U6" s="3369"/>
      <c r="V6" s="3371"/>
      <c r="W6" s="3371"/>
      <c r="X6" s="1265"/>
      <c r="Y6" s="3368"/>
      <c r="Z6" s="3369"/>
      <c r="AA6" s="3338"/>
      <c r="AB6" s="3338"/>
      <c r="AC6" s="3338"/>
    </row>
    <row r="7" spans="1:29" s="102" customFormat="1" ht="15.75" thickBot="1">
      <c r="A7" s="352" t="s">
        <v>1679</v>
      </c>
      <c r="B7" s="353"/>
      <c r="C7" s="354">
        <f>'数据-取费表'!B2</f>
        <v>45054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9" t="s">
        <v>1680</v>
      </c>
      <c r="Q7" s="3373"/>
      <c r="R7" s="664" t="s">
        <v>14</v>
      </c>
      <c r="S7" s="665">
        <f t="shared" ref="S7:S15" si="0">F7</f>
        <v>0</v>
      </c>
      <c r="T7" s="664" t="s">
        <v>14</v>
      </c>
      <c r="U7" s="665">
        <f t="shared" ref="U7:U15" si="1">H7</f>
        <v>0</v>
      </c>
      <c r="V7" s="664" t="s">
        <v>14</v>
      </c>
      <c r="W7" s="665">
        <f t="shared" ref="W7:W15" si="2">J7</f>
        <v>0</v>
      </c>
      <c r="X7" s="666"/>
      <c r="Y7" s="3339" t="s">
        <v>1680</v>
      </c>
      <c r="Z7" s="334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9" t="s">
        <v>1683</v>
      </c>
      <c r="Q8" s="3340"/>
      <c r="R8" s="664" t="s">
        <v>14</v>
      </c>
      <c r="S8" s="665">
        <f t="shared" si="0"/>
        <v>0</v>
      </c>
      <c r="T8" s="664" t="s">
        <v>14</v>
      </c>
      <c r="U8" s="665">
        <f t="shared" si="1"/>
        <v>0</v>
      </c>
      <c r="V8" s="664" t="s">
        <v>14</v>
      </c>
      <c r="W8" s="665">
        <f t="shared" si="2"/>
        <v>0</v>
      </c>
      <c r="X8" s="666"/>
      <c r="Y8" s="3339" t="s">
        <v>1683</v>
      </c>
      <c r="Z8" s="334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3"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90"/>
      <c r="M10" s="2491"/>
      <c r="N10" s="2491"/>
      <c r="O10" s="2542"/>
      <c r="P10" s="3383"/>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3"/>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3"/>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3"/>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3"/>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3" t="str">
        <f>A41</f>
        <v>成交单价</v>
      </c>
      <c r="Q41" s="3383"/>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3" t="str">
        <f>A42</f>
        <v>比较价值（元/平方米）</v>
      </c>
      <c r="Q42" s="3383"/>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3" t="str">
        <f>A43</f>
        <v>估价对象XX用房的比较价值（楼面单价，元/平方米）</v>
      </c>
      <c r="Q43" s="3444"/>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8"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173.72</v>
      </c>
      <c r="F51" s="611" t="e">
        <f t="shared" ref="F51:F60" si="15">ROUND(B51*E51/10000,0)</f>
        <v>#DIV/0!</v>
      </c>
      <c r="G51" s="3354"/>
      <c r="H51" s="338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2023-5-1</v>
      </c>
      <c r="D63" s="656">
        <f>EDATE(C63,-3)</f>
        <v>44958</v>
      </c>
      <c r="E63" s="656">
        <f>EDATE(D63,-3)</f>
        <v>44866</v>
      </c>
      <c r="F63" s="656">
        <f t="shared" ref="F63:O63" si="18">EDATE(E63,-3)</f>
        <v>44774</v>
      </c>
      <c r="G63" s="656">
        <f t="shared" si="18"/>
        <v>44682</v>
      </c>
      <c r="H63" s="656">
        <f t="shared" si="18"/>
        <v>44593</v>
      </c>
      <c r="I63" s="656">
        <f t="shared" si="18"/>
        <v>44501</v>
      </c>
      <c r="J63" s="656">
        <f t="shared" si="18"/>
        <v>44409</v>
      </c>
      <c r="K63" s="656">
        <f t="shared" si="18"/>
        <v>44317</v>
      </c>
      <c r="L63" s="656">
        <f t="shared" si="18"/>
        <v>44228</v>
      </c>
      <c r="M63" s="656">
        <f t="shared" si="18"/>
        <v>44136</v>
      </c>
      <c r="N63" s="656">
        <f t="shared" si="18"/>
        <v>44044</v>
      </c>
      <c r="O63" s="656">
        <f t="shared" si="18"/>
        <v>43952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425</v>
      </c>
    </row>
    <row r="6" spans="1:5" ht="15.75">
      <c r="B6" s="3156"/>
      <c r="C6" s="1392" t="s">
        <v>911</v>
      </c>
      <c r="D6" s="797" t="str">
        <f ca="1">NUMBERSTRING(INT(D5*10000),2)&amp;"元整"</f>
        <v>肆佰贰拾伍万元整</v>
      </c>
    </row>
    <row r="7" spans="1:5" ht="15.75">
      <c r="B7" s="3161"/>
      <c r="C7" s="1393" t="s">
        <v>912</v>
      </c>
      <c r="D7" s="798">
        <f ca="1">结果表!H102</f>
        <v>24473</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425</v>
      </c>
    </row>
    <row r="14" spans="1:5" ht="15.75">
      <c r="B14" s="3156"/>
      <c r="C14" s="1392" t="s">
        <v>911</v>
      </c>
      <c r="D14" s="797" t="str">
        <f ca="1">NUMBERSTRING(INT(D13*10000),2)&amp;"元整"</f>
        <v>肆佰贰拾伍万元整</v>
      </c>
    </row>
    <row r="15" spans="1:5" ht="15">
      <c r="B15" s="3161"/>
      <c r="C15" s="1393" t="s">
        <v>921</v>
      </c>
      <c r="D15" s="806">
        <f ca="1">结果表!H108</f>
        <v>24473</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1"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4" t="s">
        <v>2622</v>
      </c>
      <c r="B27" s="3461" t="s">
        <v>2603</v>
      </c>
      <c r="C27" s="2843" t="s">
        <v>2443</v>
      </c>
      <c r="D27" s="2844"/>
      <c r="E27" s="2845">
        <v>1</v>
      </c>
      <c r="F27" s="2846" t="s">
        <v>2444</v>
      </c>
      <c r="G27" s="2846"/>
    </row>
    <row r="28" spans="1:13" ht="19.5" customHeight="1">
      <c r="A28" s="3465"/>
      <c r="B28" s="3462"/>
      <c r="C28" s="2847" t="s">
        <v>2445</v>
      </c>
      <c r="D28" s="2848"/>
      <c r="E28" s="2849">
        <v>1</v>
      </c>
      <c r="F28" s="2846" t="s">
        <v>2446</v>
      </c>
      <c r="G28" s="2846"/>
    </row>
    <row r="29" spans="1:13" ht="19.5" customHeight="1">
      <c r="A29" s="3465"/>
      <c r="B29" s="3462"/>
      <c r="C29" s="2847" t="s">
        <v>2447</v>
      </c>
      <c r="D29" s="2848"/>
      <c r="E29" s="2849">
        <v>0.8</v>
      </c>
      <c r="F29" s="2846" t="s">
        <v>2448</v>
      </c>
      <c r="G29" s="2846"/>
    </row>
    <row r="30" spans="1:13" ht="19.5" customHeight="1">
      <c r="A30" s="3465"/>
      <c r="B30" s="3462"/>
      <c r="C30" s="2847" t="s">
        <v>2449</v>
      </c>
      <c r="D30" s="2848"/>
      <c r="E30" s="2849">
        <v>0.8</v>
      </c>
      <c r="F30" s="2846" t="s">
        <v>2450</v>
      </c>
      <c r="G30" s="2846"/>
    </row>
    <row r="31" spans="1:13" ht="19.5" customHeight="1">
      <c r="A31" s="3465"/>
      <c r="B31" s="3462"/>
      <c r="C31" s="2847" t="s">
        <v>2451</v>
      </c>
      <c r="D31" s="2848"/>
      <c r="E31" s="2849">
        <v>0.8</v>
      </c>
      <c r="F31" s="2846" t="s">
        <v>2452</v>
      </c>
      <c r="G31" s="2846"/>
    </row>
    <row r="32" spans="1:13" ht="19.5" customHeight="1">
      <c r="A32" s="3465"/>
      <c r="B32" s="3462"/>
      <c r="C32" s="2847" t="s">
        <v>2453</v>
      </c>
      <c r="D32" s="2848"/>
      <c r="E32" s="2849">
        <v>0.7</v>
      </c>
      <c r="F32" s="2846" t="s">
        <v>2454</v>
      </c>
      <c r="G32" s="2846"/>
    </row>
    <row r="33" spans="1:7" ht="19.5" customHeight="1">
      <c r="A33" s="3465"/>
      <c r="B33" s="3462"/>
      <c r="C33" s="2847" t="s">
        <v>2455</v>
      </c>
      <c r="D33" s="2848"/>
      <c r="E33" s="2849">
        <v>0.8</v>
      </c>
      <c r="F33" s="2846" t="s">
        <v>2456</v>
      </c>
      <c r="G33" s="2846"/>
    </row>
    <row r="34" spans="1:7" ht="19.5" customHeight="1">
      <c r="A34" s="3465"/>
      <c r="B34" s="3462"/>
      <c r="C34" s="2847" t="s">
        <v>2457</v>
      </c>
      <c r="D34" s="2848"/>
      <c r="E34" s="2849">
        <v>0.6</v>
      </c>
      <c r="F34" s="2846" t="s">
        <v>2458</v>
      </c>
      <c r="G34" s="2846"/>
    </row>
    <row r="35" spans="1:7" ht="19.5" customHeight="1">
      <c r="A35" s="3465"/>
      <c r="B35" s="3462"/>
      <c r="C35" s="2847" t="s">
        <v>2459</v>
      </c>
      <c r="D35" s="2848"/>
      <c r="E35" s="2849">
        <v>0.2</v>
      </c>
      <c r="F35" s="2846" t="s">
        <v>2460</v>
      </c>
      <c r="G35" s="2846"/>
    </row>
    <row r="36" spans="1:7" ht="19.5" customHeight="1">
      <c r="A36" s="3465"/>
      <c r="B36" s="3462"/>
      <c r="C36" s="2847" t="s">
        <v>2461</v>
      </c>
      <c r="D36" s="2848"/>
      <c r="E36" s="2849">
        <v>0.2</v>
      </c>
      <c r="F36" s="2846" t="s">
        <v>2462</v>
      </c>
      <c r="G36" s="2846"/>
    </row>
    <row r="37" spans="1:7" ht="19.5" customHeight="1">
      <c r="A37" s="3465"/>
      <c r="B37" s="3467" t="s">
        <v>2623</v>
      </c>
      <c r="C37" s="2847" t="s">
        <v>2463</v>
      </c>
      <c r="D37" s="2848"/>
      <c r="E37" s="2849">
        <v>0.6</v>
      </c>
      <c r="F37" s="2846" t="s">
        <v>2464</v>
      </c>
      <c r="G37" s="2846"/>
    </row>
    <row r="38" spans="1:7" ht="19.5" customHeight="1">
      <c r="A38" s="3465"/>
      <c r="B38" s="3462"/>
      <c r="C38" s="2847" t="s">
        <v>2465</v>
      </c>
      <c r="D38" s="2848"/>
      <c r="E38" s="2849">
        <v>0.6</v>
      </c>
      <c r="F38" s="2846" t="s">
        <v>2466</v>
      </c>
      <c r="G38" s="2846"/>
    </row>
    <row r="39" spans="1:7" ht="19.5" customHeight="1" thickBot="1">
      <c r="A39" s="3466"/>
      <c r="B39" s="346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1"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7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7"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7"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71"/>
      <c r="C89" s="2832" t="s">
        <v>2675</v>
      </c>
      <c r="D89" s="2832" t="s">
        <v>2676</v>
      </c>
      <c r="E89" s="2858">
        <v>0.1</v>
      </c>
      <c r="F89" s="2858">
        <v>15</v>
      </c>
    </row>
    <row r="90" spans="1:6" ht="13.5">
      <c r="A90" s="2858">
        <v>18</v>
      </c>
      <c r="B90" s="3467"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71"/>
      <c r="C106" s="2832" t="s">
        <v>2710</v>
      </c>
      <c r="D106" s="2832" t="s">
        <v>2711</v>
      </c>
      <c r="E106" s="2858">
        <v>0.1</v>
      </c>
      <c r="F106" s="2858">
        <v>15</v>
      </c>
    </row>
    <row r="107" spans="1:6" ht="24">
      <c r="A107" s="2858">
        <v>35</v>
      </c>
      <c r="B107" s="3467"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71"/>
      <c r="C112" s="2858" t="s">
        <v>2723</v>
      </c>
      <c r="D112" s="2832" t="s">
        <v>2724</v>
      </c>
      <c r="E112" s="2858">
        <v>0.1</v>
      </c>
      <c r="F112" s="2858">
        <v>15</v>
      </c>
    </row>
    <row r="113" spans="1:6" ht="13.5">
      <c r="A113" s="2858">
        <v>41</v>
      </c>
      <c r="B113" s="3472" t="s">
        <v>2725</v>
      </c>
      <c r="C113" s="2858" t="s">
        <v>2726</v>
      </c>
      <c r="D113" s="2832" t="s">
        <v>2727</v>
      </c>
      <c r="E113" s="2858">
        <v>0.1</v>
      </c>
      <c r="F113" s="2858">
        <v>15</v>
      </c>
    </row>
    <row r="114" spans="1:6" ht="13.5">
      <c r="A114" s="2858">
        <v>42</v>
      </c>
      <c r="B114" s="3472"/>
      <c r="C114" s="2858" t="s">
        <v>2728</v>
      </c>
      <c r="D114" s="2832" t="s">
        <v>2729</v>
      </c>
      <c r="E114" s="2858">
        <v>0.1</v>
      </c>
      <c r="F114" s="2858">
        <v>15</v>
      </c>
    </row>
    <row r="115" spans="1:6" ht="24">
      <c r="A115" s="2858">
        <v>43</v>
      </c>
      <c r="B115" s="3472"/>
      <c r="C115" s="2858" t="s">
        <v>2730</v>
      </c>
      <c r="D115" s="2832" t="s">
        <v>2731</v>
      </c>
      <c r="E115" s="2858">
        <v>0.1</v>
      </c>
      <c r="F115" s="2858">
        <v>15</v>
      </c>
    </row>
    <row r="116" spans="1:6" ht="13.5">
      <c r="A116" s="2858">
        <v>44</v>
      </c>
      <c r="B116" s="3467" t="s">
        <v>2732</v>
      </c>
      <c r="C116" s="2858" t="s">
        <v>2733</v>
      </c>
      <c r="D116" s="2832" t="s">
        <v>2734</v>
      </c>
      <c r="E116" s="2858">
        <v>0.1</v>
      </c>
      <c r="F116" s="2858">
        <v>15</v>
      </c>
    </row>
    <row r="117" spans="1:6" ht="24">
      <c r="A117" s="2858">
        <v>45</v>
      </c>
      <c r="B117" s="3471"/>
      <c r="C117" s="2832" t="s">
        <v>2735</v>
      </c>
      <c r="D117" s="2832" t="s">
        <v>2736</v>
      </c>
      <c r="E117" s="2858">
        <v>0.1</v>
      </c>
      <c r="F117" s="2858">
        <v>15</v>
      </c>
    </row>
    <row r="118" spans="1:6" ht="24">
      <c r="A118" s="2858">
        <v>46</v>
      </c>
      <c r="B118" s="3467" t="s">
        <v>2737</v>
      </c>
      <c r="C118" s="2858" t="s">
        <v>2738</v>
      </c>
      <c r="D118" s="2832" t="s">
        <v>2739</v>
      </c>
      <c r="E118" s="2858">
        <v>0.1</v>
      </c>
      <c r="F118" s="2858">
        <v>15</v>
      </c>
    </row>
    <row r="119" spans="1:6" ht="24">
      <c r="A119" s="2858">
        <v>47</v>
      </c>
      <c r="B119" s="3471"/>
      <c r="C119" s="2858" t="s">
        <v>2740</v>
      </c>
      <c r="D119" s="2832" t="s">
        <v>2741</v>
      </c>
      <c r="E119" s="2858">
        <v>0.1</v>
      </c>
      <c r="F119" s="2858">
        <v>15</v>
      </c>
    </row>
    <row r="120" spans="1:6" ht="13.5">
      <c r="A120" s="2858">
        <v>48</v>
      </c>
      <c r="B120" s="3467" t="s">
        <v>2742</v>
      </c>
      <c r="C120" s="2858" t="s">
        <v>2743</v>
      </c>
      <c r="D120" s="2832" t="s">
        <v>2744</v>
      </c>
      <c r="E120" s="2858">
        <v>0.1</v>
      </c>
      <c r="F120" s="2858">
        <v>15</v>
      </c>
    </row>
    <row r="121" spans="1:6" ht="13.5">
      <c r="A121" s="2858">
        <v>49</v>
      </c>
      <c r="B121" s="3471"/>
      <c r="C121" s="2858" t="s">
        <v>2745</v>
      </c>
      <c r="D121" s="2832" t="s">
        <v>2746</v>
      </c>
      <c r="E121" s="2858">
        <v>0.1</v>
      </c>
      <c r="F121" s="2858">
        <v>15</v>
      </c>
    </row>
    <row r="122" spans="1:6" ht="24">
      <c r="A122" s="2858">
        <v>50</v>
      </c>
      <c r="B122" s="3472" t="s">
        <v>2747</v>
      </c>
      <c r="C122" s="2858" t="s">
        <v>2748</v>
      </c>
      <c r="D122" s="2832" t="s">
        <v>2749</v>
      </c>
      <c r="E122" s="2858">
        <v>0.1</v>
      </c>
      <c r="F122" s="2858">
        <v>15</v>
      </c>
    </row>
    <row r="123" spans="1:6" ht="24">
      <c r="A123" s="2858">
        <v>51</v>
      </c>
      <c r="B123" s="3472"/>
      <c r="C123" s="2858" t="s">
        <v>2750</v>
      </c>
      <c r="D123" s="2832" t="s">
        <v>2751</v>
      </c>
      <c r="E123" s="2858">
        <v>0.1</v>
      </c>
      <c r="F123" s="2858">
        <v>15</v>
      </c>
    </row>
    <row r="124" spans="1:6" ht="24">
      <c r="A124" s="2858">
        <v>52</v>
      </c>
      <c r="B124" s="3472" t="s">
        <v>2752</v>
      </c>
      <c r="C124" s="2858" t="s">
        <v>2753</v>
      </c>
      <c r="D124" s="2832" t="s">
        <v>2754</v>
      </c>
      <c r="E124" s="2858">
        <v>0.1</v>
      </c>
      <c r="F124" s="2858">
        <v>15</v>
      </c>
    </row>
    <row r="125" spans="1:6" ht="24">
      <c r="A125" s="2858">
        <v>53</v>
      </c>
      <c r="B125" s="347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2" t="s">
        <v>2760</v>
      </c>
      <c r="C127" s="2858" t="s">
        <v>2761</v>
      </c>
      <c r="D127" s="2832" t="s">
        <v>2762</v>
      </c>
      <c r="E127" s="2858">
        <v>0.1</v>
      </c>
      <c r="F127" s="2858">
        <v>15</v>
      </c>
    </row>
    <row r="128" spans="1:6" ht="13.5">
      <c r="A128" s="2858">
        <v>56</v>
      </c>
      <c r="B128" s="3472"/>
      <c r="C128" s="2858" t="s">
        <v>2763</v>
      </c>
      <c r="D128" s="2832" t="s">
        <v>2764</v>
      </c>
      <c r="E128" s="2858">
        <v>0.1</v>
      </c>
      <c r="F128" s="2858">
        <v>15</v>
      </c>
    </row>
    <row r="129" spans="1:6" ht="24">
      <c r="A129" s="2858">
        <v>57</v>
      </c>
      <c r="B129" s="3472"/>
      <c r="C129" s="2858" t="s">
        <v>2765</v>
      </c>
      <c r="D129" s="2832" t="s">
        <v>2766</v>
      </c>
      <c r="E129" s="2858">
        <v>0.1</v>
      </c>
      <c r="F129" s="2858">
        <v>15</v>
      </c>
    </row>
    <row r="130" spans="1:6" ht="24">
      <c r="A130" s="2858">
        <v>58</v>
      </c>
      <c r="B130" s="3472" t="s">
        <v>2767</v>
      </c>
      <c r="C130" s="2858" t="s">
        <v>2768</v>
      </c>
      <c r="D130" s="2832" t="s">
        <v>2769</v>
      </c>
      <c r="E130" s="2858">
        <v>0.1</v>
      </c>
      <c r="F130" s="2858">
        <v>15</v>
      </c>
    </row>
    <row r="131" spans="1:6" ht="13.5">
      <c r="A131" s="2858">
        <v>59</v>
      </c>
      <c r="B131" s="3472"/>
      <c r="C131" s="2858" t="s">
        <v>2770</v>
      </c>
      <c r="D131" s="2832" t="s">
        <v>2771</v>
      </c>
      <c r="E131" s="2858">
        <v>0.1</v>
      </c>
      <c r="F131" s="2858">
        <v>15</v>
      </c>
    </row>
    <row r="132" spans="1:6" ht="13.5">
      <c r="A132" s="2858">
        <v>60</v>
      </c>
      <c r="B132" s="3467" t="s">
        <v>2772</v>
      </c>
      <c r="C132" s="2858" t="s">
        <v>2773</v>
      </c>
      <c r="D132" s="2832" t="s">
        <v>2774</v>
      </c>
      <c r="E132" s="2858">
        <v>0.1</v>
      </c>
      <c r="F132" s="2858">
        <v>15</v>
      </c>
    </row>
    <row r="133" spans="1:6" ht="13.5">
      <c r="A133" s="2858">
        <v>61</v>
      </c>
      <c r="B133" s="34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2" t="s">
        <v>2780</v>
      </c>
      <c r="C135" s="2858" t="s">
        <v>2781</v>
      </c>
      <c r="D135" s="2832" t="s">
        <v>2782</v>
      </c>
      <c r="E135" s="2858">
        <v>0.1</v>
      </c>
      <c r="F135" s="2858">
        <v>15</v>
      </c>
    </row>
    <row r="136" spans="1:6" ht="13.5">
      <c r="A136" s="2858">
        <v>64</v>
      </c>
      <c r="B136" s="347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0.96309999999999996</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0.91610000000000003</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28156</v>
      </c>
      <c r="C2" s="2" t="s">
        <v>106</v>
      </c>
      <c r="D2" s="191"/>
      <c r="E2" s="191"/>
      <c r="F2" s="191"/>
      <c r="G2" s="191"/>
    </row>
    <row r="3" spans="1:7" s="192" customFormat="1" ht="18" customHeight="1" thickBot="1">
      <c r="A3" s="195" t="s">
        <v>58</v>
      </c>
      <c r="B3" s="196">
        <f ca="1">ROUND(B2*10000/'数据-汇总表'!E3,0)</f>
        <v>1620769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173.72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173.72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28081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173.72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92" t="s">
        <v>94</v>
      </c>
    </row>
    <row r="43" spans="1:7" ht="13.5" customHeight="1">
      <c r="A43" s="734" t="s">
        <v>347</v>
      </c>
      <c r="B43" s="207" t="s">
        <v>426</v>
      </c>
      <c r="C43" s="230">
        <f ca="1">ROUND(IF('数据-取费表'!B22&lt;=1,C39*F22*'数据-取费表'!B21/2,C39*(POWER((1+F22),'数据-取费表'!B21/2)-1)),0)</f>
        <v>0</v>
      </c>
      <c r="D43" s="230"/>
      <c r="E43" s="230"/>
      <c r="F43" s="231"/>
      <c r="G43" s="3393"/>
    </row>
    <row r="44" spans="1:7" ht="13.5" customHeight="1">
      <c r="A44" s="734" t="s">
        <v>348</v>
      </c>
      <c r="B44" s="207" t="s">
        <v>428</v>
      </c>
      <c r="C44" s="230">
        <f ca="1">ROUND(IF('数据-取费表'!B22&lt;=1,C40*F22*'数据-取费表'!B21/2,C40*(POWER((1+F22),'数据-取费表'!B21/2)-1)),4)</f>
        <v>8.0000000000000004E-4</v>
      </c>
      <c r="D44" s="230"/>
      <c r="E44" s="230"/>
      <c r="F44" s="231"/>
      <c r="G44" s="3394"/>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88</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75</v>
      </c>
      <c r="D51" s="224"/>
      <c r="E51" s="224"/>
      <c r="F51" s="256"/>
      <c r="G51" s="226" t="s">
        <v>37</v>
      </c>
    </row>
    <row r="52" spans="1:7" s="200" customFormat="1" ht="16.5" thickBot="1">
      <c r="A52" s="257" t="s">
        <v>38</v>
      </c>
      <c r="B52" s="258"/>
      <c r="C52" s="259">
        <f ca="1">C31+C51</f>
        <v>28156</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5" t="s">
        <v>2832</v>
      </c>
      <c r="B1" s="3475"/>
      <c r="C1" s="3475"/>
      <c r="D1" s="3475"/>
      <c r="E1" s="3475"/>
      <c r="F1" s="3475"/>
      <c r="G1" s="3476"/>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73" t="s">
        <v>2859</v>
      </c>
      <c r="B3" s="2945"/>
      <c r="C3" s="2946" t="s">
        <v>2802</v>
      </c>
      <c r="D3" s="2946" t="s">
        <v>2860</v>
      </c>
      <c r="E3" s="2946" t="s">
        <v>2804</v>
      </c>
      <c r="F3" s="2946" t="s">
        <v>2861</v>
      </c>
      <c r="G3" s="2946" t="s">
        <v>2622</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74"/>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7" t="s">
        <v>3174</v>
      </c>
      <c r="B1" s="3477"/>
    </row>
    <row r="2" spans="1:7" ht="14.25" thickBot="1">
      <c r="A2" s="2969"/>
      <c r="B2" s="2969"/>
    </row>
    <row r="3" spans="1:7" ht="14.25" thickBot="1">
      <c r="A3" s="2969"/>
      <c r="B3" s="2969"/>
      <c r="C3" s="2970" t="s">
        <v>2802</v>
      </c>
      <c r="D3" s="2970" t="s">
        <v>2860</v>
      </c>
      <c r="E3" s="2970" t="s">
        <v>2804</v>
      </c>
      <c r="F3" s="2970" t="s">
        <v>2861</v>
      </c>
      <c r="G3" s="2970" t="s">
        <v>2622</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8" t="s">
        <v>3225</v>
      </c>
      <c r="B1" s="3478"/>
      <c r="C1" s="3478"/>
      <c r="D1" s="3478"/>
      <c r="E1" s="3478"/>
      <c r="F1" s="3479"/>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2938">
        <f>基准地价修正!G23</f>
        <v>45054</v>
      </c>
      <c r="B1" s="2930" t="s">
        <v>2831</v>
      </c>
      <c r="C1" s="2931"/>
      <c r="D1" s="2931"/>
      <c r="E1" s="2931"/>
      <c r="F1" s="2931"/>
      <c r="G1" s="2931"/>
      <c r="H1" s="2931"/>
      <c r="I1" s="2931"/>
      <c r="J1" s="2897"/>
      <c r="K1" s="2931" t="s">
        <v>454</v>
      </c>
      <c r="L1" s="2931"/>
      <c r="M1" s="2931"/>
      <c r="N1" s="2931"/>
      <c r="O1" s="2931"/>
      <c r="P1" s="2931"/>
      <c r="Q1" s="2897"/>
      <c r="R1" s="3480" t="s">
        <v>456</v>
      </c>
      <c r="S1" s="3481"/>
      <c r="T1" s="3481"/>
      <c r="U1" s="3481"/>
      <c r="V1" s="3481"/>
      <c r="W1" s="3481"/>
      <c r="X1" s="2897"/>
      <c r="Y1" s="3480" t="s">
        <v>457</v>
      </c>
      <c r="Z1" s="3481"/>
      <c r="AA1" s="3481"/>
      <c r="AB1" s="3481"/>
      <c r="AC1" s="3481"/>
      <c r="AD1" s="3481"/>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ROUND(AVERAGEIF(D4:D16,"&lt;&gt;0"),2)</f>
        <v>0.82</v>
      </c>
      <c r="E3" s="2887">
        <f t="shared" ref="E3:H3" si="0">ROUND(AVERAGEIF(E4:E16,"&lt;&gt;0"),2)</f>
        <v>0.38</v>
      </c>
      <c r="F3" s="2887">
        <f t="shared" si="0"/>
        <v>0.2</v>
      </c>
      <c r="G3" s="2887">
        <f t="shared" si="0"/>
        <v>0.89</v>
      </c>
      <c r="H3" s="2887">
        <f t="shared" si="0"/>
        <v>0.64</v>
      </c>
      <c r="I3" s="2887">
        <f>F3</f>
        <v>0.2</v>
      </c>
      <c r="J3" s="2888"/>
      <c r="K3" s="2889">
        <f>ROUND(AVERAGEIF(K4:K16,"&lt;&gt;0"),4)</f>
        <v>8.2000000000000007E-3</v>
      </c>
      <c r="L3" s="2890">
        <f t="shared" ref="L3:O3" si="1">ROUND(AVERAGEIF(L4:L16,"&lt;&gt;0"),4)</f>
        <v>3.8E-3</v>
      </c>
      <c r="M3" s="2890">
        <f t="shared" si="1"/>
        <v>2E-3</v>
      </c>
      <c r="N3" s="2890">
        <f t="shared" si="1"/>
        <v>8.8999999999999999E-3</v>
      </c>
      <c r="O3" s="2890">
        <f t="shared" si="1"/>
        <v>6.4000000000000003E-3</v>
      </c>
      <c r="P3" s="2890">
        <f>M3</f>
        <v>2E-3</v>
      </c>
      <c r="Q3" s="2888"/>
      <c r="R3" s="2891">
        <f>ROUND(SUMPRODUCT(PRODUCT(1+K4:K16)),4)</f>
        <v>1.0763</v>
      </c>
      <c r="S3" s="2892">
        <f t="shared" ref="S3:V3" si="2">ROUND(SUMPRODUCT(PRODUCT(1+L4:L16)),4)</f>
        <v>1.0343</v>
      </c>
      <c r="T3" s="2892">
        <f t="shared" si="2"/>
        <v>1.0177</v>
      </c>
      <c r="U3" s="2892">
        <f t="shared" si="2"/>
        <v>1.0833999999999999</v>
      </c>
      <c r="V3" s="2892">
        <f t="shared" si="2"/>
        <v>1.0592999999999999</v>
      </c>
      <c r="W3" s="2891">
        <f>T3</f>
        <v>1.0177</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3361</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1.0659000000000001</v>
      </c>
      <c r="S5" s="2027">
        <f>ROUND(IF(项目基本情况!$B$8="出让",SUMPRODUCT(PRODUCT(1+L5:$L$16)),SUMPRODUCT(PRODUCT(1+L5:$L$15))),4)</f>
        <v>1.0326</v>
      </c>
      <c r="T5" s="2027">
        <f>ROUND(IF(项目基本情况!$B$8="出让",SUMPRODUCT(PRODUCT(1+M5:$M$16)),SUMPRODUCT(PRODUCT(1+M5:$M$15))),4)</f>
        <v>1.0203</v>
      </c>
      <c r="U5" s="2027">
        <f>ROUND(IF(项目基本情况!$B$8="出让",SUMPRODUCT(PRODUCT(1+N5:$N$16)),SUMPRODUCT(PRODUCT(1+N5:$N$15))),4)</f>
        <v>1.0714999999999999</v>
      </c>
      <c r="V5" s="2027">
        <f>ROUND(IF(项目基本情况!$B$8="出让",SUMPRODUCT(PRODUCT(1+O5:$O$16)),SUMPRODUCT(PRODUCT(1+O5:$O$15))),4)</f>
        <v>1.0555000000000001</v>
      </c>
      <c r="W5" s="2027">
        <f>T5</f>
        <v>1.0203</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3362</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1.0659000000000001</v>
      </c>
      <c r="S6" s="2027">
        <f>ROUND(IF(项目基本情况!$B$8="出让",SUMPRODUCT(PRODUCT(1+L6:$L$16)),SUMPRODUCT(PRODUCT(1+L6:$L$15))),4)</f>
        <v>1.0326</v>
      </c>
      <c r="T6" s="2027">
        <f>ROUND(IF(项目基本情况!$B$8="出让",SUMPRODUCT(PRODUCT(1+M6:$M$16)),SUMPRODUCT(PRODUCT(1+M6:$M$15))),4)</f>
        <v>1.0203</v>
      </c>
      <c r="U6" s="2027">
        <f>ROUND(IF(项目基本情况!$B$8="出让",SUMPRODUCT(PRODUCT(1+N6:$N$16)),SUMPRODUCT(PRODUCT(1+N6:$N$15))),4)</f>
        <v>1.0714999999999999</v>
      </c>
      <c r="V6" s="2027">
        <f>ROUND(IF(项目基本情况!$B$8="出让",SUMPRODUCT(PRODUCT(1+O6:$O$16)),SUMPRODUCT(PRODUCT(1+O6:$O$15))),4)</f>
        <v>1.0555000000000001</v>
      </c>
      <c r="W6" s="2027">
        <f t="shared" ref="W6:W8" si="14">T6</f>
        <v>1.0203</v>
      </c>
      <c r="X6" s="2907"/>
      <c r="Y6" s="2028"/>
      <c r="Z6" s="2028"/>
      <c r="AA6" s="2028"/>
      <c r="AB6" s="2028"/>
      <c r="AC6" s="2028"/>
      <c r="AD6" s="2028"/>
    </row>
    <row r="7" spans="1:30" s="2045" customFormat="1" ht="12.75">
      <c r="A7" s="2906" t="s">
        <v>3360</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1.0659000000000001</v>
      </c>
      <c r="S7" s="2027">
        <f>ROUND(IF(项目基本情况!$B$8="出让",SUMPRODUCT(PRODUCT(1+L7:$L$16)),SUMPRODUCT(PRODUCT(1+L7:$L$15))),4)</f>
        <v>1.0326</v>
      </c>
      <c r="T7" s="2027">
        <f>ROUND(IF(项目基本情况!$B$8="出让",SUMPRODUCT(PRODUCT(1+M7:$M$16)),SUMPRODUCT(PRODUCT(1+M7:$M$15))),4)</f>
        <v>1.0203</v>
      </c>
      <c r="U7" s="2027">
        <f>ROUND(IF(项目基本情况!$B$8="出让",SUMPRODUCT(PRODUCT(1+N7:$N$16)),SUMPRODUCT(PRODUCT(1+N7:$N$15))),4)</f>
        <v>1.0714999999999999</v>
      </c>
      <c r="V7" s="2027">
        <f>ROUND(IF(项目基本情况!$B$8="出让",SUMPRODUCT(PRODUCT(1+O7:$O$16)),SUMPRODUCT(PRODUCT(1+O7:$O$15))),4)</f>
        <v>1.0555000000000001</v>
      </c>
      <c r="W7" s="2027">
        <f t="shared" si="14"/>
        <v>1.0203</v>
      </c>
      <c r="X7" s="2907"/>
      <c r="Y7" s="2028"/>
      <c r="Z7" s="2028"/>
      <c r="AA7" s="2028"/>
      <c r="AB7" s="2028"/>
      <c r="AC7" s="2028"/>
      <c r="AD7" s="2028"/>
    </row>
    <row r="8" spans="1:30" s="2917" customFormat="1" ht="12.75">
      <c r="A8" s="2908" t="s">
        <v>3363</v>
      </c>
      <c r="B8" s="2909">
        <v>2023</v>
      </c>
      <c r="C8" s="2910">
        <v>1</v>
      </c>
      <c r="D8" s="2911">
        <v>0.89</v>
      </c>
      <c r="E8" s="2911">
        <v>0.74</v>
      </c>
      <c r="F8" s="2911">
        <v>0.56999999999999995</v>
      </c>
      <c r="G8" s="2911">
        <v>0.92</v>
      </c>
      <c r="H8" s="2912">
        <v>0.5</v>
      </c>
      <c r="I8" s="2913">
        <f t="shared" si="4"/>
        <v>0.56999999999999995</v>
      </c>
      <c r="J8" s="2914"/>
      <c r="K8" s="2915">
        <f t="shared" si="8"/>
        <v>8.8999999999999999E-3</v>
      </c>
      <c r="L8" s="2916">
        <f t="shared" si="9"/>
        <v>7.4000000000000003E-3</v>
      </c>
      <c r="M8" s="2916">
        <f t="shared" si="10"/>
        <v>5.6999999999999993E-3</v>
      </c>
      <c r="N8" s="2916">
        <f t="shared" si="11"/>
        <v>9.1999999999999998E-3</v>
      </c>
      <c r="O8" s="2916">
        <f t="shared" si="12"/>
        <v>5.0000000000000001E-3</v>
      </c>
      <c r="P8" s="2916">
        <f t="shared" si="13"/>
        <v>5.6999999999999993E-3</v>
      </c>
      <c r="Q8" s="2914"/>
      <c r="R8" s="2914">
        <f>ROUND(IF(项目基本情况!$B$8="出让",SUMPRODUCT(PRODUCT(1+K8:$K$16)),SUMPRODUCT(PRODUCT(1+K8:$K$15))),4)</f>
        <v>1.0659000000000001</v>
      </c>
      <c r="S8" s="2914">
        <f>ROUND(IF(项目基本情况!$B$8="出让",SUMPRODUCT(PRODUCT(1+L8:$L$16)),SUMPRODUCT(PRODUCT(1+L8:$L$15))),4)</f>
        <v>1.0326</v>
      </c>
      <c r="T8" s="2914">
        <f>ROUND(IF(项目基本情况!$B$8="出让",SUMPRODUCT(PRODUCT(1+M8:$M$16)),SUMPRODUCT(PRODUCT(1+M8:$M$15))),4)</f>
        <v>1.0203</v>
      </c>
      <c r="U8" s="2914">
        <f>ROUND(IF(项目基本情况!$B$8="出让",SUMPRODUCT(PRODUCT(1+N8:$N$16)),SUMPRODUCT(PRODUCT(1+N8:$N$15))),4)</f>
        <v>1.0714999999999999</v>
      </c>
      <c r="V8" s="2914">
        <f>ROUND(IF(项目基本情况!$B$8="出让",SUMPRODUCT(PRODUCT(1+O8:$O$16)),SUMPRODUCT(PRODUCT(1+O8:$O$15))),4)</f>
        <v>1.0555000000000001</v>
      </c>
      <c r="W8" s="2914">
        <f t="shared" si="14"/>
        <v>1.0203</v>
      </c>
      <c r="X8" s="2914"/>
      <c r="Y8" s="2916"/>
      <c r="Z8" s="2916"/>
      <c r="AA8" s="2916"/>
      <c r="AB8" s="2916"/>
      <c r="AC8" s="2916"/>
      <c r="AD8" s="2916"/>
    </row>
    <row r="9" spans="1:30" s="2045" customFormat="1" ht="12.75">
      <c r="A9" s="2906" t="s">
        <v>3364</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3356</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3347</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2811</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2812</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2813</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2814</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2815</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3358</v>
      </c>
    </row>
    <row r="19" spans="1:30">
      <c r="I19" s="1405" t="s">
        <v>2816</v>
      </c>
    </row>
    <row r="21" spans="1:30" s="2009" customFormat="1" ht="12.75">
      <c r="B21" s="2930" t="s">
        <v>2817</v>
      </c>
      <c r="C21" s="2931"/>
      <c r="D21" s="2931"/>
      <c r="E21" s="2931"/>
      <c r="F21" s="2931"/>
      <c r="G21" s="2931"/>
      <c r="H21" s="2931"/>
      <c r="I21" s="2931"/>
      <c r="J21" s="2897"/>
      <c r="K21" s="2931" t="s">
        <v>2818</v>
      </c>
      <c r="L21" s="2931"/>
      <c r="M21" s="2931"/>
      <c r="N21" s="2931"/>
      <c r="O21" s="2931"/>
      <c r="P21" s="2931"/>
      <c r="Q21" s="2897"/>
      <c r="R21" s="3480" t="s">
        <v>2819</v>
      </c>
      <c r="S21" s="3481"/>
      <c r="T21" s="3481"/>
      <c r="U21" s="3481"/>
      <c r="V21" s="3481"/>
      <c r="W21" s="3481"/>
      <c r="X21" s="2897"/>
      <c r="Y21" s="3480" t="s">
        <v>2820</v>
      </c>
      <c r="Z21" s="3481"/>
      <c r="AA21" s="3481"/>
      <c r="AB21" s="3481"/>
      <c r="AC21" s="3481"/>
      <c r="AD21" s="3481"/>
    </row>
    <row r="22" spans="1:30" s="2010" customFormat="1" ht="14.25" thickBot="1">
      <c r="B22" s="2882"/>
      <c r="C22" s="2883"/>
      <c r="D22" s="2011" t="s">
        <v>2821</v>
      </c>
      <c r="E22" s="2012" t="s">
        <v>2822</v>
      </c>
      <c r="F22" s="2012" t="s">
        <v>2823</v>
      </c>
      <c r="G22" s="2012" t="s">
        <v>2824</v>
      </c>
      <c r="H22" s="2012"/>
      <c r="I22" s="2012" t="s">
        <v>2825</v>
      </c>
      <c r="J22" s="2884"/>
      <c r="K22" s="2011" t="s">
        <v>2821</v>
      </c>
      <c r="L22" s="2012" t="s">
        <v>2822</v>
      </c>
      <c r="M22" s="2012" t="s">
        <v>2823</v>
      </c>
      <c r="N22" s="2012" t="s">
        <v>2824</v>
      </c>
      <c r="O22" s="2012"/>
      <c r="P22" s="2012" t="s">
        <v>2825</v>
      </c>
      <c r="Q22" s="2884"/>
      <c r="R22" s="2011" t="s">
        <v>2821</v>
      </c>
      <c r="S22" s="2012" t="s">
        <v>2822</v>
      </c>
      <c r="T22" s="2012" t="s">
        <v>2823</v>
      </c>
      <c r="U22" s="2012" t="s">
        <v>2824</v>
      </c>
      <c r="V22" s="2012"/>
      <c r="W22" s="2012" t="s">
        <v>2825</v>
      </c>
      <c r="X22" s="2884"/>
      <c r="Y22" s="2011" t="s">
        <v>2821</v>
      </c>
      <c r="Z22" s="2012" t="s">
        <v>2822</v>
      </c>
      <c r="AA22" s="2012" t="s">
        <v>2823</v>
      </c>
      <c r="AB22" s="2012" t="s">
        <v>2824</v>
      </c>
      <c r="AC22" s="2012"/>
      <c r="AD22" s="2012" t="s">
        <v>2825</v>
      </c>
    </row>
    <row r="23" spans="1:30" s="2887" customFormat="1" ht="12.75">
      <c r="A23" s="2885" t="s">
        <v>2826</v>
      </c>
      <c r="B23" s="2886"/>
      <c r="E23" s="2887">
        <f t="shared" ref="E23:G23" si="22">ROUND(AVERAGEIF(E24:E36,"&lt;&gt;0"),2)</f>
        <v>0.42</v>
      </c>
      <c r="F23" s="2887">
        <f t="shared" si="22"/>
        <v>0.3</v>
      </c>
      <c r="G23" s="2887">
        <f t="shared" si="22"/>
        <v>0.73</v>
      </c>
      <c r="I23" s="2887">
        <f>F23</f>
        <v>0.3</v>
      </c>
      <c r="J23" s="2888"/>
      <c r="K23" s="2889"/>
      <c r="L23" s="2890">
        <f t="shared" ref="L23:N23" si="23">ROUND(AVERAGEIF(L24:L36,"&lt;&gt;0"),4)</f>
        <v>4.1999999999999997E-3</v>
      </c>
      <c r="M23" s="2890">
        <f t="shared" si="23"/>
        <v>3.0000000000000001E-3</v>
      </c>
      <c r="N23" s="2890">
        <f t="shared" si="23"/>
        <v>7.3000000000000001E-3</v>
      </c>
      <c r="O23" s="2890"/>
      <c r="P23" s="2890">
        <f>M23</f>
        <v>3.0000000000000001E-3</v>
      </c>
      <c r="Q23" s="2888"/>
      <c r="R23" s="2891"/>
      <c r="S23" s="2892">
        <f>ROUND(SUMPRODUCT(PRODUCT(1+L24:L36)),4)</f>
        <v>1.038</v>
      </c>
      <c r="T23" s="2892">
        <f t="shared" ref="T23:U23" si="24">ROUND(SUMPRODUCT(PRODUCT(1+M24:M36)),4)</f>
        <v>1.0273000000000001</v>
      </c>
      <c r="U23" s="2892">
        <f t="shared" si="24"/>
        <v>1.0677000000000001</v>
      </c>
      <c r="V23" s="2892"/>
      <c r="W23" s="2891">
        <f>T23</f>
        <v>1.0273000000000001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3361</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1.0344</v>
      </c>
      <c r="T25" s="2027">
        <f>ROUND(IF([2]项目基本情况!$B$8="出让",SUMPRODUCT(PRODUCT(1+M25:M$36)),SUMPRODUCT(PRODUCT(1+M25:M$35))),4)</f>
        <v>1.0224</v>
      </c>
      <c r="U25" s="2027">
        <f>ROUND(IF([2]项目基本情况!$B$8="出让",SUMPRODUCT(PRODUCT(1+N25:N$36)),SUMPRODUCT(PRODUCT(1+N25:N$35))),4)</f>
        <v>1.0573999999999999</v>
      </c>
      <c r="V25" s="2027"/>
      <c r="W25" s="2027">
        <f>T25</f>
        <v>1.0224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3362</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1.0344</v>
      </c>
      <c r="T26" s="2027">
        <f>ROUND(IF([2]项目基本情况!$B$8="出让",SUMPRODUCT(PRODUCT(1+M26:M$36)),SUMPRODUCT(PRODUCT(1+M26:M$35))),4)</f>
        <v>1.0224</v>
      </c>
      <c r="U26" s="2027">
        <f>ROUND(IF([2]项目基本情况!$B$8="出让",SUMPRODUCT(PRODUCT(1+N26:N$36)),SUMPRODUCT(PRODUCT(1+N26:N$35))),4)</f>
        <v>1.0573999999999999</v>
      </c>
      <c r="V26" s="2027"/>
      <c r="W26" s="2027">
        <f t="shared" ref="W26:W28" si="32">T26</f>
        <v>1.0224</v>
      </c>
      <c r="X26" s="2907"/>
      <c r="Y26" s="2028"/>
      <c r="Z26" s="2903"/>
      <c r="AA26" s="2028"/>
      <c r="AB26" s="2028"/>
      <c r="AC26" s="2905"/>
      <c r="AD26" s="2028"/>
    </row>
    <row r="27" spans="1:30" s="2045" customFormat="1" ht="12.75">
      <c r="A27" s="2906" t="s">
        <v>3360</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1.0344</v>
      </c>
      <c r="T27" s="2027">
        <f>ROUND(IF([2]项目基本情况!$B$8="出让",SUMPRODUCT(PRODUCT(1+M27:M$36)),SUMPRODUCT(PRODUCT(1+M27:M$35))),4)</f>
        <v>1.0224</v>
      </c>
      <c r="U27" s="2027">
        <f>ROUND(IF([2]项目基本情况!$B$8="出让",SUMPRODUCT(PRODUCT(1+N27:N$36)),SUMPRODUCT(PRODUCT(1+N27:N$35))),4)</f>
        <v>1.0573999999999999</v>
      </c>
      <c r="V27" s="2027"/>
      <c r="W27" s="2027">
        <f t="shared" si="32"/>
        <v>1.0224</v>
      </c>
      <c r="X27" s="2907"/>
      <c r="Y27" s="2028"/>
      <c r="Z27" s="2903"/>
      <c r="AA27" s="2028"/>
      <c r="AB27" s="2028"/>
      <c r="AC27" s="2905"/>
      <c r="AD27" s="2028"/>
    </row>
    <row r="28" spans="1:30" s="2917" customFormat="1" ht="12.75">
      <c r="A28" s="2908" t="s">
        <v>3363</v>
      </c>
      <c r="B28" s="2909">
        <v>2023</v>
      </c>
      <c r="C28" s="2910">
        <v>1</v>
      </c>
      <c r="D28" s="2911"/>
      <c r="E28" s="2911">
        <v>0.55000000000000004</v>
      </c>
      <c r="F28" s="2911">
        <v>0.59</v>
      </c>
      <c r="G28" s="2911">
        <v>0.64</v>
      </c>
      <c r="H28" s="2912"/>
      <c r="I28" s="2913">
        <f t="shared" si="26"/>
        <v>0.59</v>
      </c>
      <c r="J28" s="2914"/>
      <c r="K28" s="2915"/>
      <c r="L28" s="2916">
        <f t="shared" si="28"/>
        <v>5.5000000000000005E-3</v>
      </c>
      <c r="M28" s="2916">
        <f t="shared" si="29"/>
        <v>5.8999999999999999E-3</v>
      </c>
      <c r="N28" s="2916">
        <f t="shared" si="30"/>
        <v>6.4000000000000003E-3</v>
      </c>
      <c r="O28" s="2916"/>
      <c r="P28" s="2916">
        <f t="shared" si="31"/>
        <v>5.8999999999999999E-3</v>
      </c>
      <c r="Q28" s="2914"/>
      <c r="R28" s="2914"/>
      <c r="S28" s="2914">
        <f>ROUND(IF([2]项目基本情况!$B$8="出让",SUMPRODUCT(PRODUCT(1+L28:L$36)),SUMPRODUCT(PRODUCT(1+L28:L$35))),4)</f>
        <v>1.0344</v>
      </c>
      <c r="T28" s="2914">
        <f>ROUND(IF([2]项目基本情况!$B$8="出让",SUMPRODUCT(PRODUCT(1+M28:M$36)),SUMPRODUCT(PRODUCT(1+M28:M$35))),4)</f>
        <v>1.0224</v>
      </c>
      <c r="U28" s="2914">
        <f>ROUND(IF([2]项目基本情况!$B$8="出让",SUMPRODUCT(PRODUCT(1+N28:N$36)),SUMPRODUCT(PRODUCT(1+N28:N$35))),4)</f>
        <v>1.0573999999999999</v>
      </c>
      <c r="V28" s="2914"/>
      <c r="W28" s="2914">
        <f t="shared" si="32"/>
        <v>1.0224</v>
      </c>
      <c r="X28" s="2914"/>
      <c r="Y28" s="2916"/>
      <c r="Z28" s="2932"/>
      <c r="AA28" s="2933"/>
      <c r="AB28" s="2916"/>
      <c r="AC28" s="2934"/>
      <c r="AD28" s="2916"/>
    </row>
    <row r="29" spans="1:30" s="2045" customFormat="1" ht="12.75">
      <c r="A29" s="2906" t="s">
        <v>3364</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3357</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3347</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2827</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2828</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2829</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2830</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2815</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45054</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2301</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7"/>
      <c r="B3" s="3167"/>
      <c r="C3" s="3167"/>
      <c r="D3" s="801" t="s">
        <v>925</v>
      </c>
      <c r="E3" s="801" t="s">
        <v>931</v>
      </c>
      <c r="F3" s="801" t="s">
        <v>925</v>
      </c>
      <c r="G3" s="801" t="s">
        <v>926</v>
      </c>
      <c r="H3" s="801" t="s">
        <v>925</v>
      </c>
      <c r="I3" s="801" t="s">
        <v>926</v>
      </c>
    </row>
    <row r="4" spans="1:9" ht="15">
      <c r="A4" s="1403" t="str">
        <f>项目基本情况!S2</f>
        <v>北京市房地产</v>
      </c>
      <c r="B4" s="801">
        <f>项目基本情况!C17</f>
        <v>173.72</v>
      </c>
      <c r="C4" s="801">
        <f>项目基本情况!C18</f>
        <v>0</v>
      </c>
      <c r="D4" s="801">
        <f ca="1">结果表!D118</f>
        <v>329</v>
      </c>
      <c r="E4" s="801">
        <f ca="1">结果表!E118</f>
        <v>18967</v>
      </c>
      <c r="F4" s="801">
        <f ca="1">结果表!F118</f>
        <v>96</v>
      </c>
      <c r="G4" s="801">
        <f ca="1">结果表!G118</f>
        <v>5506</v>
      </c>
      <c r="H4" s="801">
        <f ca="1">结果表!H118</f>
        <v>425</v>
      </c>
      <c r="I4" s="801">
        <f ca="1">结果表!I118</f>
        <v>24473</v>
      </c>
    </row>
    <row r="5" spans="1:9" ht="30" customHeight="1">
      <c r="A5" s="3167" t="s">
        <v>927</v>
      </c>
      <c r="B5" s="3167"/>
      <c r="C5" s="3167"/>
      <c r="D5" s="3167" t="str">
        <f ca="1">结果表!D119</f>
        <v>叁佰贰拾玖万元整</v>
      </c>
      <c r="E5" s="3167"/>
      <c r="F5" s="3167" t="str">
        <f ca="1">结果表!F119</f>
        <v>玖拾陆万元整</v>
      </c>
      <c r="G5" s="3167"/>
      <c r="H5" s="3167" t="str">
        <f ca="1">结果表!H119</f>
        <v>肆佰贰拾伍万元整</v>
      </c>
      <c r="I5" s="3167"/>
    </row>
    <row r="6" spans="1:9" ht="15.75">
      <c r="A6" s="3168" t="str">
        <f>结果表!A120</f>
        <v>估价师知悉的法定优先受偿款</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75">
      <c r="A8" s="3168" t="str">
        <f>结果表!A122</f>
        <v>房地产抵押价值</v>
      </c>
      <c r="B8" s="3168"/>
      <c r="C8" s="3168"/>
      <c r="D8" s="3168">
        <f ca="1">结果表!D122</f>
        <v>425</v>
      </c>
      <c r="E8" s="3168"/>
      <c r="F8" s="3168"/>
      <c r="G8" s="3168"/>
      <c r="H8" s="3168"/>
      <c r="I8" s="3168"/>
    </row>
    <row r="9" spans="1:9" ht="15">
      <c r="A9" s="3167" t="s">
        <v>927</v>
      </c>
      <c r="B9" s="3167"/>
      <c r="C9" s="3167"/>
      <c r="D9" s="3167" t="str">
        <f ca="1">结果表!D123</f>
        <v>肆佰贰拾伍万元整</v>
      </c>
      <c r="E9" s="3167"/>
      <c r="F9" s="3167"/>
      <c r="G9" s="3167"/>
      <c r="H9" s="3167"/>
      <c r="I9" s="3167"/>
    </row>
    <row r="10" spans="1:9" ht="15.75">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75">
      <c r="A12" s="3168" t="str">
        <f>结果表!A126</f>
        <v/>
      </c>
      <c r="B12" s="3168"/>
      <c r="C12" s="3168"/>
      <c r="D12" s="3168" t="str">
        <f>结果表!D126</f>
        <v>——</v>
      </c>
      <c r="E12" s="3168"/>
      <c r="F12" s="3168"/>
      <c r="G12" s="3168"/>
      <c r="H12" s="3168"/>
      <c r="I12" s="3168"/>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4" t="s">
        <v>949</v>
      </c>
      <c r="B1" s="3174"/>
      <c r="C1" s="3174"/>
      <c r="D1" s="3174"/>
    </row>
    <row r="2" spans="1:4" ht="18">
      <c r="A2" s="3175" t="s">
        <v>933</v>
      </c>
      <c r="B2" s="3175"/>
      <c r="C2" s="3175"/>
      <c r="D2" s="317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5" t="s">
        <v>939</v>
      </c>
      <c r="B6" s="3175"/>
      <c r="C6" s="3175"/>
      <c r="D6" s="317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6"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45055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成本法</vt:lpstr>
      <vt:lpstr>比较法-办公 (租金)</vt:lpstr>
      <vt:lpstr>租金</vt:lpstr>
      <vt:lpstr>成本法 (元)</vt:lpstr>
      <vt:lpstr>基准地价修正</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2023-05-09T01:48:40Z</dcterms:modified>
</cp:coreProperties>
</file>