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E:\2025\进行中\2025-1-0108-F01平谷公园壹号中行顺义支行-吴琼-单套-1,2-郑、魏\"/>
    </mc:Choice>
  </mc:AlternateContent>
  <xr:revisionPtr revIDLastSave="0" documentId="13_ncr:1_{47DCCB5B-36AE-429A-B24F-FFF8374D96FD}"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案例" sheetId="80" r:id="rId34"/>
    <sheet name="基准地价（汇总）" sheetId="76" state="hidden" r:id="rId35"/>
    <sheet name="修正" sheetId="45" state="hidden" r:id="rId36"/>
    <sheet name="容积率修正" sheetId="46" state="hidden" r:id="rId37"/>
    <sheet name="成本法（废）" sheetId="11" state="hidden" r:id="rId38"/>
    <sheet name="成本法 (元)" sheetId="69" r:id="rId39"/>
    <sheet name="基准地价修正" sheetId="4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7" i="31" l="1"/>
  <c r="T5" i="31"/>
  <c r="D3" i="31"/>
  <c r="E3" i="31"/>
  <c r="F3" i="31"/>
  <c r="D4" i="31"/>
  <c r="E4" i="31"/>
  <c r="F4" i="31"/>
  <c r="C4" i="31"/>
  <c r="C3" i="31"/>
  <c r="K67" i="34"/>
  <c r="J67" i="34" s="1"/>
  <c r="I67" i="34" s="1"/>
  <c r="H67" i="34" s="1"/>
  <c r="G67" i="34" s="1"/>
  <c r="F67" i="34" s="1"/>
  <c r="E67" i="34" s="1"/>
  <c r="D67" i="34" s="1"/>
  <c r="C67" i="34" s="1"/>
  <c r="A26" i="31"/>
  <c r="A27" i="31"/>
  <c r="A25" i="31"/>
  <c r="J49" i="67"/>
  <c r="C19" i="6"/>
  <c r="N19" i="1"/>
  <c r="N6" i="1" s="1"/>
  <c r="B59" i="1"/>
  <c r="B21" i="1"/>
  <c r="D3" i="4"/>
  <c r="C60" i="78"/>
  <c r="D60" i="78" s="1"/>
  <c r="D53" i="78"/>
  <c r="D52" i="78"/>
  <c r="D51" i="78" s="1"/>
  <c r="B51" i="78"/>
  <c r="B56" i="78" s="1"/>
  <c r="Y6" i="1" l="1"/>
  <c r="C37" i="34"/>
  <c r="B55" i="78"/>
  <c r="D55" i="78" s="1"/>
  <c r="C51" i="78"/>
  <c r="C56" i="78" s="1"/>
  <c r="C58" i="78" s="1"/>
  <c r="B62" i="78"/>
  <c r="B54" i="78"/>
  <c r="D54" i="78" s="1"/>
  <c r="I37" i="34" l="1"/>
  <c r="G37" i="34"/>
  <c r="E37" i="34"/>
  <c r="D56" i="78"/>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Z3" i="79"/>
  <c r="S17" i="79"/>
  <c r="T19" i="79"/>
  <c r="W19" i="79" s="1"/>
  <c r="AA28" i="79"/>
  <c r="AD28" i="79" s="1"/>
  <c r="U40" i="79"/>
  <c r="AD41"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E34" i="71"/>
  <c r="X31" i="71"/>
  <c r="D50" i="71"/>
  <c r="P28" i="71"/>
  <c r="E28" i="71" s="1"/>
  <c r="U68" i="71"/>
  <c r="E67" i="71"/>
  <c r="P67" i="71" s="1"/>
  <c r="Q28" i="71"/>
  <c r="F28" i="71" s="1"/>
  <c r="D58" i="71"/>
  <c r="C63" i="71"/>
  <c r="C64" i="71" s="1"/>
  <c r="D62" i="71"/>
  <c r="D68" i="71"/>
  <c r="C67" i="71"/>
  <c r="D67" i="71" s="1"/>
  <c r="D72" i="71"/>
  <c r="E79" i="71"/>
  <c r="E78" i="71"/>
  <c r="F27" i="71"/>
  <c r="F26" i="71" s="1"/>
  <c r="D63" i="71"/>
  <c r="D59"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S25" i="40"/>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H1" i="69"/>
  <c r="AC25" i="40"/>
  <c r="W25" i="40"/>
  <c r="U25" i="40"/>
  <c r="W18" i="36"/>
  <c r="U21" i="34"/>
  <c r="AB21" i="33"/>
  <c r="AC18" i="35"/>
  <c r="J21" i="37"/>
  <c r="W21" i="37" s="1"/>
  <c r="J21" i="34"/>
  <c r="W21" i="34" s="1"/>
  <c r="J21" i="33"/>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s="1"/>
  <c r="Q26" i="36"/>
  <c r="Z26" i="36" s="1"/>
  <c r="H26" i="36"/>
  <c r="AB26" i="36" s="1"/>
  <c r="Q25" i="36"/>
  <c r="Z25" i="36" s="1"/>
  <c r="Q24" i="36"/>
  <c r="Z24" i="36"/>
  <c r="Q23" i="36"/>
  <c r="Z23" i="36"/>
  <c r="F23" i="36"/>
  <c r="AA23" i="36" s="1"/>
  <c r="Q22" i="36"/>
  <c r="Z22" i="36" s="1"/>
  <c r="J22" i="36"/>
  <c r="AC22" i="36" s="1"/>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c r="B73" i="35"/>
  <c r="J23" i="35" s="1"/>
  <c r="AC23" i="35" s="1"/>
  <c r="H23" i="35"/>
  <c r="U23" i="35" s="1"/>
  <c r="B57" i="35"/>
  <c r="B61" i="35"/>
  <c r="F13" i="35" s="1"/>
  <c r="B59" i="35"/>
  <c r="F12" i="35" s="1"/>
  <c r="B131" i="34"/>
  <c r="J47" i="34" s="1"/>
  <c r="B129" i="34"/>
  <c r="H46" i="34" s="1"/>
  <c r="B127" i="34"/>
  <c r="B99" i="34"/>
  <c r="B97" i="34"/>
  <c r="J31" i="34" s="1"/>
  <c r="B95" i="34"/>
  <c r="B93" i="34"/>
  <c r="J29" i="34" s="1"/>
  <c r="AC29" i="34" s="1"/>
  <c r="B75" i="34"/>
  <c r="B73" i="34"/>
  <c r="H13" i="34" s="1"/>
  <c r="U13" i="34" s="1"/>
  <c r="B71" i="34"/>
  <c r="B130" i="33"/>
  <c r="B128" i="33"/>
  <c r="B126" i="33"/>
  <c r="J44" i="33" s="1"/>
  <c r="W44" i="33" s="1"/>
  <c r="B98" i="33"/>
  <c r="J31" i="33" s="1"/>
  <c r="B96" i="33"/>
  <c r="J30" i="33" s="1"/>
  <c r="B94" i="33"/>
  <c r="B74" i="33"/>
  <c r="F14" i="33" s="1"/>
  <c r="AA14" i="33" s="1"/>
  <c r="B72" i="33"/>
  <c r="F13" i="33" s="1"/>
  <c r="S13" i="33" s="1"/>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s="1"/>
  <c r="B96" i="21"/>
  <c r="B94" i="21"/>
  <c r="B92" i="21"/>
  <c r="F28" i="21" s="1"/>
  <c r="AA28" i="21" s="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F45" i="39"/>
  <c r="S45" i="39" s="1"/>
  <c r="J45" i="39"/>
  <c r="W45" i="39" s="1"/>
  <c r="H36" i="39"/>
  <c r="AB36" i="39" s="1"/>
  <c r="J36" i="39"/>
  <c r="AC36" i="39" s="1"/>
  <c r="U9" i="39"/>
  <c r="W25" i="37"/>
  <c r="U30" i="37"/>
  <c r="F39" i="37"/>
  <c r="S39" i="37" s="1"/>
  <c r="F29" i="36"/>
  <c r="AA29" i="36" s="1"/>
  <c r="F16" i="36"/>
  <c r="AA16" i="36" s="1"/>
  <c r="U31" i="36"/>
  <c r="J33" i="36"/>
  <c r="AC33" i="36" s="1"/>
  <c r="H22" i="35"/>
  <c r="AB22" i="35" s="1"/>
  <c r="W28" i="35"/>
  <c r="U31" i="35"/>
  <c r="W22" i="35"/>
  <c r="U34" i="35"/>
  <c r="F36" i="34"/>
  <c r="S36" i="34" s="1"/>
  <c r="J35" i="34"/>
  <c r="AC35" i="34" s="1"/>
  <c r="H39" i="33"/>
  <c r="AB39" i="33"/>
  <c r="U35" i="33"/>
  <c r="S40" i="33"/>
  <c r="H39" i="37"/>
  <c r="AB39" i="37" s="1"/>
  <c r="S27" i="35"/>
  <c r="F11" i="40"/>
  <c r="AA11" i="40" s="1"/>
  <c r="H11" i="40"/>
  <c r="AB11" i="40"/>
  <c r="W8" i="40"/>
  <c r="U9"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AA24" i="36"/>
  <c r="F14" i="35"/>
  <c r="AA14" i="35" s="1"/>
  <c r="F23" i="35"/>
  <c r="AA23" i="35" s="1"/>
  <c r="J32" i="35"/>
  <c r="AC32" i="35" s="1"/>
  <c r="J16" i="35"/>
  <c r="AC16" i="35" s="1"/>
  <c r="H16" i="35"/>
  <c r="U16" i="35" s="1"/>
  <c r="F16" i="35"/>
  <c r="S16" i="35" s="1"/>
  <c r="H14" i="35"/>
  <c r="AB14" i="35" s="1"/>
  <c r="J29" i="35"/>
  <c r="H33" i="35"/>
  <c r="J20" i="35"/>
  <c r="W20" i="35" s="1"/>
  <c r="F35" i="37"/>
  <c r="S35" i="37" s="1"/>
  <c r="J34" i="37"/>
  <c r="W34" i="37"/>
  <c r="AB34" i="37"/>
  <c r="J33" i="37"/>
  <c r="AC33" i="37" s="1"/>
  <c r="H40" i="34"/>
  <c r="U40" i="34" s="1"/>
  <c r="E114" i="34"/>
  <c r="H36" i="34"/>
  <c r="U36" i="34" s="1"/>
  <c r="F37" i="34"/>
  <c r="F28" i="34"/>
  <c r="AA28" i="34" s="1"/>
  <c r="F25" i="34"/>
  <c r="S25" i="34" s="1"/>
  <c r="F19" i="34"/>
  <c r="AA19" i="34" s="1"/>
  <c r="H17" i="34"/>
  <c r="H15" i="34"/>
  <c r="AB15" i="34" s="1"/>
  <c r="J28" i="34"/>
  <c r="F41" i="33"/>
  <c r="AA41" i="33" s="1"/>
  <c r="S38" i="33"/>
  <c r="E113" i="33"/>
  <c r="F113" i="33" s="1"/>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B30" i="36"/>
  <c r="F29" i="35"/>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J19" i="34"/>
  <c r="AC19" i="34" s="1"/>
  <c r="F17" i="34"/>
  <c r="AA17" i="34" s="1"/>
  <c r="J17" i="34"/>
  <c r="W17" i="34" s="1"/>
  <c r="S41" i="33"/>
  <c r="G113" i="33"/>
  <c r="H113" i="33" s="1"/>
  <c r="I113" i="33" s="1"/>
  <c r="J113" i="33" s="1"/>
  <c r="K113" i="33" s="1"/>
  <c r="L113" i="33" s="1"/>
  <c r="M113" i="33" s="1"/>
  <c r="H37" i="33"/>
  <c r="AB37" i="33" s="1"/>
  <c r="H15" i="33"/>
  <c r="AB15" i="33" s="1"/>
  <c r="H11" i="33"/>
  <c r="AB11" i="33" s="1"/>
  <c r="F28" i="40"/>
  <c r="AA28" i="40" s="1"/>
  <c r="S42" i="34"/>
  <c r="AC38" i="34"/>
  <c r="J37" i="34"/>
  <c r="AC37" i="34" s="1"/>
  <c r="J11" i="33"/>
  <c r="W11" i="33" s="1"/>
  <c r="S28" i="34"/>
  <c r="M123" i="21"/>
  <c r="J42" i="21"/>
  <c r="AC42" i="21"/>
  <c r="H42" i="21"/>
  <c r="U42" i="21"/>
  <c r="J10" i="35"/>
  <c r="AC10" i="35" s="1"/>
  <c r="J14" i="21"/>
  <c r="W14" i="21" s="1"/>
  <c r="F14" i="21"/>
  <c r="S14" i="21" s="1"/>
  <c r="H14" i="21"/>
  <c r="U14" i="21" s="1"/>
  <c r="H28" i="21"/>
  <c r="AB28" i="21" s="1"/>
  <c r="J28" i="21"/>
  <c r="W28" i="21" s="1"/>
  <c r="H30" i="21"/>
  <c r="U30" i="21" s="1"/>
  <c r="F30" i="21"/>
  <c r="S30" i="21" s="1"/>
  <c r="J30" i="21"/>
  <c r="AC30" i="21"/>
  <c r="H44" i="21"/>
  <c r="U44" i="21" s="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13" i="21"/>
  <c r="AC13" i="21" s="1"/>
  <c r="AB27" i="21"/>
  <c r="F27" i="21"/>
  <c r="AA27" i="21" s="1"/>
  <c r="J31" i="21"/>
  <c r="AC31" i="21" s="1"/>
  <c r="F31" i="21"/>
  <c r="S31" i="21" s="1"/>
  <c r="J13" i="33"/>
  <c r="AC13" i="33" s="1"/>
  <c r="H13" i="33"/>
  <c r="U13" i="33" s="1"/>
  <c r="J29" i="33"/>
  <c r="H29" i="33"/>
  <c r="U29" i="33"/>
  <c r="F29" i="33"/>
  <c r="S29" i="33" s="1"/>
  <c r="H31" i="33"/>
  <c r="F31" i="33"/>
  <c r="H45" i="33"/>
  <c r="J45" i="33"/>
  <c r="W45" i="33" s="1"/>
  <c r="F45" i="33"/>
  <c r="S45" i="33" s="1"/>
  <c r="J14" i="34"/>
  <c r="W14" i="34" s="1"/>
  <c r="F14" i="34"/>
  <c r="H14" i="34"/>
  <c r="U14" i="34" s="1"/>
  <c r="H30" i="34"/>
  <c r="H32" i="34"/>
  <c r="F32" i="34"/>
  <c r="S32" i="34" s="1"/>
  <c r="J32" i="34"/>
  <c r="W32" i="34" s="1"/>
  <c r="F46" i="34"/>
  <c r="S46" i="34" s="1"/>
  <c r="J46" i="34"/>
  <c r="F11" i="35"/>
  <c r="S11" i="35" s="1"/>
  <c r="J26" i="36"/>
  <c r="W26" i="36" s="1"/>
  <c r="H28" i="36"/>
  <c r="U28" i="36" s="1"/>
  <c r="H32" i="36"/>
  <c r="AB32"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H36" i="37"/>
  <c r="AB36" i="37" s="1"/>
  <c r="F107" i="37"/>
  <c r="J37" i="37"/>
  <c r="AC37" i="37" s="1"/>
  <c r="H37" i="37"/>
  <c r="U37" i="37" s="1"/>
  <c r="J40" i="37"/>
  <c r="W40" i="37" s="1"/>
  <c r="H14" i="33"/>
  <c r="U14" i="33" s="1"/>
  <c r="S14" i="33"/>
  <c r="J14" i="33"/>
  <c r="H30" i="33"/>
  <c r="F30" i="33"/>
  <c r="AA30" i="33" s="1"/>
  <c r="H44" i="33"/>
  <c r="AC44" i="33"/>
  <c r="F44" i="33"/>
  <c r="S44" i="33" s="1"/>
  <c r="H46" i="33"/>
  <c r="AB46" i="33"/>
  <c r="J13" i="34"/>
  <c r="W13" i="34" s="1"/>
  <c r="F13" i="34"/>
  <c r="AA13" i="34" s="1"/>
  <c r="F29" i="34"/>
  <c r="S29" i="34" s="1"/>
  <c r="H29" i="34"/>
  <c r="AB29" i="34" s="1"/>
  <c r="AC31" i="34"/>
  <c r="H31" i="34"/>
  <c r="F31" i="34"/>
  <c r="S31" i="34" s="1"/>
  <c r="H45" i="34"/>
  <c r="U45" i="34" s="1"/>
  <c r="H47" i="34"/>
  <c r="U47" i="34" s="1"/>
  <c r="F47" i="34"/>
  <c r="S47" i="34" s="1"/>
  <c r="AC47" i="34"/>
  <c r="J13" i="35"/>
  <c r="H13" i="35"/>
  <c r="U13" i="35" s="1"/>
  <c r="J25" i="35"/>
  <c r="W25" i="35"/>
  <c r="H25" i="35"/>
  <c r="J35" i="35"/>
  <c r="J25" i="36"/>
  <c r="F25" i="36"/>
  <c r="S25" i="36" s="1"/>
  <c r="H13" i="37"/>
  <c r="AB13" i="37" s="1"/>
  <c r="F13" i="37"/>
  <c r="J13" i="37"/>
  <c r="W13" i="37" s="1"/>
  <c r="J28" i="37"/>
  <c r="AC28" i="37" s="1"/>
  <c r="H28" i="37"/>
  <c r="J38" i="37"/>
  <c r="AC38" i="37" s="1"/>
  <c r="F38" i="37"/>
  <c r="F43" i="39"/>
  <c r="H43" i="39"/>
  <c r="J14" i="39"/>
  <c r="AC14" i="39" s="1"/>
  <c r="F14" i="39"/>
  <c r="H14" i="39"/>
  <c r="AB14" i="39" s="1"/>
  <c r="H12" i="40"/>
  <c r="AB12" i="40" s="1"/>
  <c r="H30" i="40"/>
  <c r="AB30" i="40" s="1"/>
  <c r="J35" i="40"/>
  <c r="AC35" i="40" s="1"/>
  <c r="J37" i="40"/>
  <c r="AC37" i="40" s="1"/>
  <c r="F13" i="40"/>
  <c r="AA13" i="40" s="1"/>
  <c r="F14" i="37"/>
  <c r="F27" i="37"/>
  <c r="H13" i="39"/>
  <c r="H14" i="40"/>
  <c r="AB14" i="40" s="1"/>
  <c r="J14" i="40"/>
  <c r="W14" i="40" s="1"/>
  <c r="F14" i="40"/>
  <c r="J14" i="37"/>
  <c r="J27" i="37"/>
  <c r="AC27" i="37"/>
  <c r="AA44" i="33"/>
  <c r="U46" i="33"/>
  <c r="J36" i="37"/>
  <c r="AC36" i="37" s="1"/>
  <c r="J10" i="36"/>
  <c r="AC10" i="36" s="1"/>
  <c r="AB30" i="21"/>
  <c r="W31" i="34"/>
  <c r="AC28" i="21"/>
  <c r="BA586" i="3"/>
  <c r="F17" i="21"/>
  <c r="H17" i="21"/>
  <c r="AB17" i="21" s="1"/>
  <c r="F15" i="21"/>
  <c r="S15" i="21" s="1"/>
  <c r="J41" i="39"/>
  <c r="W41" i="39" s="1"/>
  <c r="G540" i="3"/>
  <c r="G536" i="3"/>
  <c r="G528" i="3"/>
  <c r="G527" i="3"/>
  <c r="G514" i="3"/>
  <c r="G510" i="3"/>
  <c r="G504" i="3"/>
  <c r="G500" i="3"/>
  <c r="G584" i="3"/>
  <c r="G580" i="3"/>
  <c r="G564" i="3"/>
  <c r="G560" i="3"/>
  <c r="BL580" i="3"/>
  <c r="BL576" i="3"/>
  <c r="BL560" i="3"/>
  <c r="AZ560" i="3" s="1"/>
  <c r="BL554" i="3"/>
  <c r="BL538" i="3"/>
  <c r="BL530" i="3"/>
  <c r="BL512" i="3"/>
  <c r="BL506" i="3"/>
  <c r="BL582" i="3"/>
  <c r="BL578" i="3"/>
  <c r="BL562" i="3"/>
  <c r="BL556" i="3"/>
  <c r="BL540" i="3"/>
  <c r="G533" i="3"/>
  <c r="G529" i="3"/>
  <c r="G525" i="3"/>
  <c r="BL524" i="3"/>
  <c r="BL504" i="3"/>
  <c r="BL500" i="3"/>
  <c r="G493" i="3"/>
  <c r="BA582" i="3"/>
  <c r="AZ582" i="3" s="1"/>
  <c r="BA578" i="3"/>
  <c r="BA570" i="3"/>
  <c r="BA568" i="3"/>
  <c r="BA562" i="3"/>
  <c r="BA560" i="3"/>
  <c r="BA554" i="3"/>
  <c r="AZ554" i="3" s="1"/>
  <c r="BA552" i="3"/>
  <c r="BA542" i="3"/>
  <c r="BA540" i="3"/>
  <c r="BA534" i="3"/>
  <c r="BA528" i="3"/>
  <c r="BA524" i="3"/>
  <c r="BA516" i="3"/>
  <c r="BA514" i="3"/>
  <c r="BA508" i="3"/>
  <c r="BA504" i="3"/>
  <c r="AZ504" i="3" s="1"/>
  <c r="BA496" i="3"/>
  <c r="BA587" i="3"/>
  <c r="BA579" i="3"/>
  <c r="BA577" i="3"/>
  <c r="BA575" i="3"/>
  <c r="AZ575" i="3" s="1"/>
  <c r="BA569" i="3"/>
  <c r="BA567" i="3"/>
  <c r="BA565" i="3"/>
  <c r="AZ565" i="3" s="1"/>
  <c r="BA561" i="3"/>
  <c r="BA559" i="3"/>
  <c r="BA555" i="3"/>
  <c r="BA549" i="3"/>
  <c r="BA547" i="3"/>
  <c r="BA543" i="3"/>
  <c r="BA539" i="3"/>
  <c r="BA535" i="3"/>
  <c r="BA533" i="3"/>
  <c r="BA527" i="3"/>
  <c r="BA525" i="3"/>
  <c r="BA523" i="3"/>
  <c r="BA515" i="3"/>
  <c r="BA513" i="3"/>
  <c r="BA507" i="3"/>
  <c r="BA503" i="3"/>
  <c r="BA499" i="3"/>
  <c r="BA497" i="3"/>
  <c r="G583" i="3"/>
  <c r="G581" i="3"/>
  <c r="G575" i="3"/>
  <c r="G573" i="3"/>
  <c r="G569" i="3"/>
  <c r="G565" i="3"/>
  <c r="G563" i="3"/>
  <c r="G561" i="3"/>
  <c r="BA557" i="3"/>
  <c r="AC557" i="3"/>
  <c r="G557" i="3" s="1"/>
  <c r="BQ557" i="3"/>
  <c r="BL557" i="3" s="1"/>
  <c r="BQ583" i="3"/>
  <c r="BQ581" i="3"/>
  <c r="BQ579" i="3"/>
  <c r="BL579" i="3" s="1"/>
  <c r="BQ577" i="3"/>
  <c r="BL577" i="3" s="1"/>
  <c r="BQ575" i="3"/>
  <c r="BL575" i="3"/>
  <c r="BQ573" i="3"/>
  <c r="BL573" i="3" s="1"/>
  <c r="BQ571" i="3"/>
  <c r="BQ569" i="3"/>
  <c r="BQ567" i="3"/>
  <c r="BL567" i="3"/>
  <c r="BQ565" i="3"/>
  <c r="BL565" i="3" s="1"/>
  <c r="BQ563" i="3"/>
  <c r="BL563" i="3" s="1"/>
  <c r="BQ561" i="3"/>
  <c r="BQ559" i="3"/>
  <c r="BL559" i="3" s="1"/>
  <c r="AZ559" i="3"/>
  <c r="G559" i="3"/>
  <c r="G553" i="3"/>
  <c r="G549" i="3"/>
  <c r="G545" i="3"/>
  <c r="G541" i="3"/>
  <c r="G537" i="3"/>
  <c r="BQ555" i="3"/>
  <c r="BQ553" i="3"/>
  <c r="BL553" i="3" s="1"/>
  <c r="BQ551" i="3"/>
  <c r="BQ549" i="3"/>
  <c r="BQ547" i="3"/>
  <c r="BL547" i="3" s="1"/>
  <c r="BQ545" i="3"/>
  <c r="BQ543" i="3"/>
  <c r="BQ541" i="3"/>
  <c r="BL541" i="3"/>
  <c r="BQ539" i="3"/>
  <c r="BQ537" i="3"/>
  <c r="BL537" i="3" s="1"/>
  <c r="BQ535" i="3"/>
  <c r="BL535" i="3" s="1"/>
  <c r="BQ533" i="3"/>
  <c r="BQ531" i="3"/>
  <c r="BL531" i="3" s="1"/>
  <c r="BQ529" i="3"/>
  <c r="BQ527" i="3"/>
  <c r="BL527" i="3" s="1"/>
  <c r="BQ525" i="3"/>
  <c r="BQ523" i="3"/>
  <c r="BL523" i="3" s="1"/>
  <c r="BA521" i="3"/>
  <c r="AC521" i="3"/>
  <c r="BQ521" i="3"/>
  <c r="BL520" i="3"/>
  <c r="G519" i="3"/>
  <c r="G517" i="3"/>
  <c r="G515" i="3"/>
  <c r="G511" i="3"/>
  <c r="BQ519" i="3"/>
  <c r="BL519" i="3" s="1"/>
  <c r="BQ517" i="3"/>
  <c r="BQ515" i="3"/>
  <c r="BQ513" i="3"/>
  <c r="BL513" i="3"/>
  <c r="BQ511" i="3"/>
  <c r="AC509" i="3"/>
  <c r="BQ509" i="3"/>
  <c r="BL508"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W47" i="34"/>
  <c r="AA13" i="33"/>
  <c r="AC45"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19" i="40"/>
  <c r="S19" i="40" s="1"/>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BL128" i="3"/>
  <c r="G129" i="3"/>
  <c r="BA131" i="3"/>
  <c r="BL132" i="3"/>
  <c r="G133" i="3"/>
  <c r="BA135" i="3"/>
  <c r="AZ135" i="3" s="1"/>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B27" i="31" s="1"/>
  <c r="G15" i="3"/>
  <c r="B26" i="31" s="1"/>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G350" i="3"/>
  <c r="BA351" i="3"/>
  <c r="BL351" i="3"/>
  <c r="G352" i="3"/>
  <c r="G354" i="3"/>
  <c r="BA355" i="3"/>
  <c r="BA356" i="3"/>
  <c r="AZ356" i="3" s="1"/>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BA382" i="3"/>
  <c r="BL382" i="3"/>
  <c r="G383" i="3"/>
  <c r="G386" i="3"/>
  <c r="BL387" i="3"/>
  <c r="BA389" i="3"/>
  <c r="AZ389" i="3" s="1"/>
  <c r="BA390" i="3"/>
  <c r="BL390" i="3"/>
  <c r="G391" i="3"/>
  <c r="G394" i="3"/>
  <c r="BA16" i="3"/>
  <c r="BL303" i="3"/>
  <c r="G304" i="3"/>
  <c r="BA306" i="3"/>
  <c r="BL307" i="3"/>
  <c r="G308" i="3"/>
  <c r="BA310" i="3"/>
  <c r="AZ310" i="3"/>
  <c r="BL311" i="3"/>
  <c r="G312" i="3"/>
  <c r="BA314" i="3"/>
  <c r="BL315" i="3"/>
  <c r="G316" i="3"/>
  <c r="BA318" i="3"/>
  <c r="AZ318" i="3" s="1"/>
  <c r="BL319" i="3"/>
  <c r="AZ319" i="3" s="1"/>
  <c r="G320" i="3"/>
  <c r="BA322" i="3"/>
  <c r="BL323" i="3"/>
  <c r="G324" i="3"/>
  <c r="BA326" i="3"/>
  <c r="BL327" i="3"/>
  <c r="G328" i="3"/>
  <c r="BA330" i="3"/>
  <c r="BL331" i="3"/>
  <c r="AZ331" i="3" s="1"/>
  <c r="G332" i="3"/>
  <c r="BA334" i="3"/>
  <c r="BL335" i="3"/>
  <c r="AZ335" i="3" s="1"/>
  <c r="G336" i="3"/>
  <c r="BA338" i="3"/>
  <c r="BL339" i="3"/>
  <c r="AZ339" i="3" s="1"/>
  <c r="G340" i="3"/>
  <c r="BL343" i="3"/>
  <c r="G344" i="3"/>
  <c r="G348" i="3"/>
  <c r="G355" i="3"/>
  <c r="AZ222"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BA379" i="3"/>
  <c r="AZ379" i="3" s="1"/>
  <c r="BL380" i="3"/>
  <c r="AZ380" i="3" s="1"/>
  <c r="G381" i="3"/>
  <c r="BA383" i="3"/>
  <c r="BL384" i="3"/>
  <c r="AZ384" i="3" s="1"/>
  <c r="G385" i="3"/>
  <c r="BA387" i="3"/>
  <c r="BL388" i="3"/>
  <c r="G389" i="3"/>
  <c r="BA391" i="3"/>
  <c r="AZ391" i="3" s="1"/>
  <c r="BL392" i="3"/>
  <c r="G393" i="3"/>
  <c r="BO5" i="3"/>
  <c r="BM5" i="3"/>
  <c r="BH5" i="3"/>
  <c r="BF5" i="3"/>
  <c r="BD5" i="3"/>
  <c r="AZ341" i="3"/>
  <c r="G548" i="3"/>
  <c r="G538" i="3"/>
  <c r="G520" i="3"/>
  <c r="G502" i="3"/>
  <c r="BS5" i="3"/>
  <c r="BP5" i="3"/>
  <c r="BN5" i="3"/>
  <c r="BK5" i="3"/>
  <c r="BI5" i="3"/>
  <c r="BG5" i="3"/>
  <c r="BE5" i="3"/>
  <c r="BC5" i="3"/>
  <c r="G17" i="3"/>
  <c r="BA17" i="3"/>
  <c r="BT5" i="3"/>
  <c r="BA15" i="3"/>
  <c r="BR5" i="3"/>
  <c r="AZ392" i="3"/>
  <c r="G509" i="3"/>
  <c r="BL493" i="3"/>
  <c r="U36" i="40"/>
  <c r="F83" i="43"/>
  <c r="H85" i="43" s="1"/>
  <c r="F50" i="43"/>
  <c r="H54" i="43" s="1"/>
  <c r="F72" i="43"/>
  <c r="H75" i="43" s="1"/>
  <c r="U17" i="39"/>
  <c r="S14" i="35"/>
  <c r="U35" i="21"/>
  <c r="AC35" i="21"/>
  <c r="W37"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H20" i="35"/>
  <c r="U20" i="35" s="1"/>
  <c r="F20" i="35"/>
  <c r="AB23" i="35"/>
  <c r="AB29" i="36"/>
  <c r="U29" i="36"/>
  <c r="H32" i="37"/>
  <c r="AB32" i="37" s="1"/>
  <c r="F96" i="37"/>
  <c r="H27" i="40"/>
  <c r="AB27" i="40" s="1"/>
  <c r="J27" i="40"/>
  <c r="AC27" i="40"/>
  <c r="F27" i="40"/>
  <c r="AA27" i="40" s="1"/>
  <c r="J30" i="40"/>
  <c r="AC30" i="40" s="1"/>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F43" i="34"/>
  <c r="AA43" i="34" s="1"/>
  <c r="H44" i="34"/>
  <c r="U44" i="34" s="1"/>
  <c r="AC38" i="39"/>
  <c r="F39" i="39"/>
  <c r="S39" i="39" s="1"/>
  <c r="J39" i="39"/>
  <c r="AC39" i="39" s="1"/>
  <c r="E96" i="39"/>
  <c r="F96" i="39" s="1"/>
  <c r="G96" i="39" s="1"/>
  <c r="C40" i="11"/>
  <c r="AZ259" i="3"/>
  <c r="AZ133" i="3"/>
  <c r="AZ5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586" i="3"/>
  <c r="AA32" i="36"/>
  <c r="S32" i="36"/>
  <c r="BL14" i="3"/>
  <c r="AC13" i="34"/>
  <c r="AA47" i="34"/>
  <c r="W28" i="37"/>
  <c r="S19" i="39"/>
  <c r="F12" i="33"/>
  <c r="S12" i="33" s="1"/>
  <c r="H12" i="39"/>
  <c r="U12" i="39" s="1"/>
  <c r="F39" i="40"/>
  <c r="AA39" i="40" s="1"/>
  <c r="BA14" i="3"/>
  <c r="AZ14" i="3" s="1"/>
  <c r="AZ224"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U19" i="39"/>
  <c r="S17" i="39"/>
  <c r="S9" i="39"/>
  <c r="U14" i="39"/>
  <c r="S23" i="36"/>
  <c r="U13" i="36"/>
  <c r="U26" i="36"/>
  <c r="S33" i="36"/>
  <c r="AA26" i="36"/>
  <c r="AC26" i="36"/>
  <c r="W14" i="36"/>
  <c r="AB14" i="36"/>
  <c r="U22" i="36"/>
  <c r="S16" i="36"/>
  <c r="AA25" i="36"/>
  <c r="S24" i="36"/>
  <c r="U23" i="36"/>
  <c r="U16" i="36"/>
  <c r="S14" i="36"/>
  <c r="S23" i="35"/>
  <c r="W24" i="35"/>
  <c r="AB13" i="35"/>
  <c r="U29" i="35"/>
  <c r="U28" i="35"/>
  <c r="AB27" i="35"/>
  <c r="U32" i="35"/>
  <c r="AA33" i="35"/>
  <c r="AC30" i="35"/>
  <c r="S32" i="35"/>
  <c r="S28" i="35"/>
  <c r="AB16" i="35"/>
  <c r="U22" i="35"/>
  <c r="AC20" i="35"/>
  <c r="S22" i="35"/>
  <c r="U14" i="35"/>
  <c r="AA11" i="35"/>
  <c r="AC9" i="35"/>
  <c r="W9" i="35"/>
  <c r="AC12" i="35"/>
  <c r="F9" i="35"/>
  <c r="S9" i="35" s="1"/>
  <c r="H9" i="35"/>
  <c r="U9" i="35" s="1"/>
  <c r="S25" i="37"/>
  <c r="W27" i="37"/>
  <c r="AC29" i="37"/>
  <c r="U29" i="37"/>
  <c r="AB31" i="37"/>
  <c r="W30" i="37"/>
  <c r="S36" i="37"/>
  <c r="W38" i="37"/>
  <c r="AC35" i="37"/>
  <c r="W39" i="37"/>
  <c r="S30" i="37"/>
  <c r="S37" i="37"/>
  <c r="J17" i="37"/>
  <c r="W17" i="37" s="1"/>
  <c r="F17" i="37"/>
  <c r="AA17" i="37" s="1"/>
  <c r="F75" i="37"/>
  <c r="G75" i="37" s="1"/>
  <c r="F19" i="37"/>
  <c r="F79" i="37"/>
  <c r="G79" i="37" s="1"/>
  <c r="F23" i="37"/>
  <c r="S23" i="37" s="1"/>
  <c r="U23" i="37"/>
  <c r="U15" i="37"/>
  <c r="AC13" i="37"/>
  <c r="H10" i="37"/>
  <c r="AB10" i="37" s="1"/>
  <c r="F63" i="37"/>
  <c r="G63" i="37" s="1"/>
  <c r="H63" i="37" s="1"/>
  <c r="I63" i="37" s="1"/>
  <c r="J63" i="37" s="1"/>
  <c r="K63" i="37" s="1"/>
  <c r="L63" i="37" s="1"/>
  <c r="M63" i="37" s="1"/>
  <c r="F11" i="37"/>
  <c r="S11" i="37" s="1"/>
  <c r="AC42" i="34"/>
  <c r="U39" i="34"/>
  <c r="U28" i="34"/>
  <c r="AA29"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W43" i="33"/>
  <c r="S43" i="33"/>
  <c r="F91" i="33"/>
  <c r="H27" i="33"/>
  <c r="U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AA38" i="21"/>
  <c r="AA36" i="21"/>
  <c r="AC40" i="21"/>
  <c r="J15" i="21"/>
  <c r="AC15" i="21" s="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AA15" i="40"/>
  <c r="U11" i="40"/>
  <c r="S31" i="40"/>
  <c r="U15" i="40"/>
  <c r="AB17" i="40"/>
  <c r="U8" i="40"/>
  <c r="S8" i="40"/>
  <c r="AC41" i="39"/>
  <c r="U42" i="39"/>
  <c r="U41" i="39"/>
  <c r="W25" i="39"/>
  <c r="U13" i="39"/>
  <c r="AB13" i="39"/>
  <c r="S14" i="39"/>
  <c r="AA14" i="39"/>
  <c r="U43" i="39"/>
  <c r="AB43" i="39"/>
  <c r="AB11" i="39"/>
  <c r="U11" i="39"/>
  <c r="AA27" i="39"/>
  <c r="W17" i="39"/>
  <c r="AC17" i="39"/>
  <c r="W31" i="39"/>
  <c r="AC31" i="39"/>
  <c r="S23" i="39"/>
  <c r="AA45" i="39"/>
  <c r="AB39" i="39"/>
  <c r="W34" i="39"/>
  <c r="U38" i="39"/>
  <c r="S8" i="39"/>
  <c r="S20" i="36"/>
  <c r="U32" i="36"/>
  <c r="W29" i="36"/>
  <c r="AC20" i="36"/>
  <c r="U25" i="36"/>
  <c r="AB28" i="36"/>
  <c r="W9" i="36"/>
  <c r="W22" i="36"/>
  <c r="AB20" i="35"/>
  <c r="AC25" i="35"/>
  <c r="S24" i="35"/>
  <c r="U24" i="35"/>
  <c r="AA16" i="35"/>
  <c r="AA35" i="37"/>
  <c r="W36" i="37"/>
  <c r="S28" i="37"/>
  <c r="W32" i="37"/>
  <c r="U36" i="37"/>
  <c r="U38" i="37"/>
  <c r="AB37" i="37"/>
  <c r="AC34" i="37"/>
  <c r="AA31" i="37"/>
  <c r="U19" i="37"/>
  <c r="AA29" i="37"/>
  <c r="U8" i="37"/>
  <c r="AA31" i="34"/>
  <c r="AB45" i="34"/>
  <c r="AB47" i="34"/>
  <c r="AB36" i="34"/>
  <c r="AC14" i="34"/>
  <c r="AC32" i="34"/>
  <c r="W29" i="34"/>
  <c r="W46" i="34"/>
  <c r="AC46" i="34"/>
  <c r="AA32" i="34"/>
  <c r="U30" i="34"/>
  <c r="AB30" i="34"/>
  <c r="U38" i="34"/>
  <c r="AA46" i="34"/>
  <c r="U32" i="34"/>
  <c r="AB32" i="34"/>
  <c r="AB14"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B13" i="21"/>
  <c r="S35" i="21"/>
  <c r="J37" i="21"/>
  <c r="W37" i="21" s="1"/>
  <c r="H15" i="21"/>
  <c r="U15" i="21"/>
  <c r="J17" i="21"/>
  <c r="W17" i="21" s="1"/>
  <c r="AC19" i="21"/>
  <c r="W39" i="21"/>
  <c r="AC14" i="21"/>
  <c r="W30" i="21"/>
  <c r="H45" i="21"/>
  <c r="U45" i="21" s="1"/>
  <c r="F29" i="21"/>
  <c r="AA29" i="21" s="1"/>
  <c r="F13" i="21"/>
  <c r="AA13" i="21" s="1"/>
  <c r="AC38" i="21"/>
  <c r="H32" i="21"/>
  <c r="U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S39" i="40"/>
  <c r="J32" i="39"/>
  <c r="AC32" i="39" s="1"/>
  <c r="H32" i="39"/>
  <c r="AB32" i="39" s="1"/>
  <c r="AA32" i="39"/>
  <c r="U21" i="39"/>
  <c r="AC17" i="37"/>
  <c r="S17" i="37"/>
  <c r="J19" i="37"/>
  <c r="W19" i="37" s="1"/>
  <c r="AA23" i="37"/>
  <c r="J23" i="37"/>
  <c r="W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A23" i="21"/>
  <c r="AB15" i="21"/>
  <c r="J23" i="21"/>
  <c r="AC23" i="21" s="1"/>
  <c r="F85" i="21"/>
  <c r="G85" i="21" s="1"/>
  <c r="H23" i="21"/>
  <c r="D6" i="52"/>
  <c r="AP7" i="1"/>
  <c r="AB45" i="21"/>
  <c r="AB9" i="21"/>
  <c r="U9" i="21"/>
  <c r="S32" i="21"/>
  <c r="AB32" i="21"/>
  <c r="U32" i="39"/>
  <c r="W32" i="39"/>
  <c r="AC23" i="37"/>
  <c r="J11" i="37"/>
  <c r="AC11" i="37" s="1"/>
  <c r="J11" i="34"/>
  <c r="W11" i="34" s="1"/>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6" i="67"/>
  <c r="B13" i="76"/>
  <c r="F16" i="15"/>
  <c r="F40" i="15"/>
  <c r="M26" i="15"/>
  <c r="M23" i="15"/>
  <c r="F43" i="15"/>
  <c r="B9" i="76"/>
  <c r="M26" i="67"/>
  <c r="C76" i="67"/>
  <c r="F3" i="73"/>
  <c r="M24" i="15"/>
  <c r="E2" i="68"/>
  <c r="M9" i="15"/>
  <c r="F26" i="67"/>
  <c r="M8" i="15"/>
  <c r="E10" i="76"/>
  <c r="E2" i="69"/>
  <c r="F13" i="67"/>
  <c r="D6" i="73"/>
  <c r="L48" i="67"/>
  <c r="M9" i="67"/>
  <c r="E9" i="76"/>
  <c r="J15" i="15"/>
  <c r="E8" i="76"/>
  <c r="B7" i="76"/>
  <c r="F20" i="31"/>
  <c r="M6" i="67"/>
  <c r="F37" i="15"/>
  <c r="F42" i="15"/>
  <c r="F7" i="73"/>
  <c r="E12" i="76"/>
  <c r="M22" i="67"/>
  <c r="AO13" i="1"/>
  <c r="M6" i="15"/>
  <c r="M23" i="67"/>
  <c r="B8" i="76"/>
  <c r="F6" i="73"/>
  <c r="F13" i="15"/>
  <c r="F4" i="73"/>
  <c r="F8" i="67"/>
  <c r="F9" i="67"/>
  <c r="F6" i="15"/>
  <c r="C76" i="15"/>
  <c r="L47" i="15"/>
  <c r="M22" i="15"/>
  <c r="M29" i="15"/>
  <c r="F9" i="15"/>
  <c r="E11" i="76"/>
  <c r="F7" i="15"/>
  <c r="M28" i="67"/>
  <c r="E13" i="76"/>
  <c r="E7" i="76"/>
  <c r="M8" i="67"/>
  <c r="F37" i="67"/>
  <c r="L47" i="67"/>
  <c r="F5" i="73"/>
  <c r="F38" i="67"/>
  <c r="F40" i="67"/>
  <c r="B12" i="76"/>
  <c r="M28" i="15"/>
  <c r="B11" i="76"/>
  <c r="L48" i="15"/>
  <c r="F38" i="15"/>
  <c r="F16" i="67"/>
  <c r="F42" i="67"/>
  <c r="B10" i="76"/>
  <c r="J15" i="67"/>
  <c r="F8" i="15"/>
  <c r="M24" i="67"/>
  <c r="F26" i="15"/>
  <c r="F36" i="15"/>
  <c r="F6" i="67"/>
  <c r="AB26" i="37" l="1"/>
  <c r="U26" i="37"/>
  <c r="S36" i="39"/>
  <c r="AA36" i="39"/>
  <c r="AA44" i="39"/>
  <c r="S44" i="39"/>
  <c r="BJ5" i="3"/>
  <c r="BA585" i="3"/>
  <c r="J29" i="21"/>
  <c r="H29" i="21"/>
  <c r="AC28" i="36"/>
  <c r="W28" i="36"/>
  <c r="J13" i="36"/>
  <c r="F13" i="36"/>
  <c r="F40" i="37"/>
  <c r="H40" i="37"/>
  <c r="AB34" i="40"/>
  <c r="U34" i="40"/>
  <c r="J33" i="40"/>
  <c r="F33" i="40"/>
  <c r="H33" i="40"/>
  <c r="BA584" i="3"/>
  <c r="BA576" i="3"/>
  <c r="BL574" i="3"/>
  <c r="BL572" i="3"/>
  <c r="BL568" i="3"/>
  <c r="BL566" i="3"/>
  <c r="BL564" i="3"/>
  <c r="BA564" i="3"/>
  <c r="BA563" i="3"/>
  <c r="BL561" i="3"/>
  <c r="AZ561" i="3" s="1"/>
  <c r="BL558" i="3"/>
  <c r="BA556" i="3"/>
  <c r="AZ556" i="3" s="1"/>
  <c r="W25" i="33"/>
  <c r="AC27" i="33"/>
  <c r="AC9" i="21"/>
  <c r="AA19" i="33"/>
  <c r="AA12" i="33"/>
  <c r="AA39" i="39"/>
  <c r="U32" i="37"/>
  <c r="S15" i="39"/>
  <c r="AA32" i="37"/>
  <c r="AC11" i="39"/>
  <c r="AZ347" i="3"/>
  <c r="AC12" i="37"/>
  <c r="AZ524" i="3"/>
  <c r="AA45" i="33"/>
  <c r="G124" i="34"/>
  <c r="H124" i="34" s="1"/>
  <c r="I124" i="34" s="1"/>
  <c r="J124" i="34" s="1"/>
  <c r="K124" i="34" s="1"/>
  <c r="L124" i="34" s="1"/>
  <c r="M124" i="34" s="1"/>
  <c r="H43" i="34"/>
  <c r="AB43" i="34" s="1"/>
  <c r="H44" i="39"/>
  <c r="J44" i="39"/>
  <c r="J12" i="40"/>
  <c r="F12" i="40"/>
  <c r="AA41" i="21"/>
  <c r="S41" i="21"/>
  <c r="AA31" i="35"/>
  <c r="S31" i="35"/>
  <c r="J35" i="39"/>
  <c r="AC35" i="39" s="1"/>
  <c r="F35" i="39"/>
  <c r="BL584" i="3"/>
  <c r="BA583" i="3"/>
  <c r="BA574" i="3"/>
  <c r="AZ574" i="3" s="1"/>
  <c r="BA571" i="3"/>
  <c r="BL570" i="3"/>
  <c r="F19" i="6"/>
  <c r="E19" i="6" s="1"/>
  <c r="B24" i="31"/>
  <c r="C26" i="31"/>
  <c r="AZ547" i="3"/>
  <c r="AZ508" i="3"/>
  <c r="AZ538" i="3"/>
  <c r="AC33" i="33"/>
  <c r="W33" i="33"/>
  <c r="E86" i="34"/>
  <c r="F86" i="34" s="1"/>
  <c r="G86" i="34" s="1"/>
  <c r="H23" i="34"/>
  <c r="U23" i="34" s="1"/>
  <c r="F23" i="34"/>
  <c r="AA23" i="34" s="1"/>
  <c r="J23" i="34"/>
  <c r="W23" i="34" s="1"/>
  <c r="E126" i="34"/>
  <c r="F126" i="34" s="1"/>
  <c r="G126" i="34" s="1"/>
  <c r="J44" i="34"/>
  <c r="AC44" i="34" s="1"/>
  <c r="F44" i="34"/>
  <c r="J12" i="33"/>
  <c r="H12" i="33"/>
  <c r="U12" i="33" s="1"/>
  <c r="J46" i="33"/>
  <c r="F46" i="33"/>
  <c r="F45" i="34"/>
  <c r="J45" i="34"/>
  <c r="F35" i="35"/>
  <c r="H35" i="35"/>
  <c r="AC31" i="37"/>
  <c r="W31" i="37"/>
  <c r="H13" i="40"/>
  <c r="J13" i="40"/>
  <c r="H38" i="40"/>
  <c r="F38" i="40"/>
  <c r="AC41" i="33"/>
  <c r="W41" i="33"/>
  <c r="BL555" i="3"/>
  <c r="BL546" i="3"/>
  <c r="BA545" i="3"/>
  <c r="BA537" i="3"/>
  <c r="BA536" i="3"/>
  <c r="BA529" i="3"/>
  <c r="BA526" i="3"/>
  <c r="BL522" i="3"/>
  <c r="BA520" i="3"/>
  <c r="BL516" i="3"/>
  <c r="AZ516" i="3" s="1"/>
  <c r="BA512" i="3"/>
  <c r="BA506" i="3"/>
  <c r="AZ506" i="3" s="1"/>
  <c r="BL502" i="3"/>
  <c r="BA501" i="3"/>
  <c r="BA500" i="3"/>
  <c r="BA498" i="3"/>
  <c r="BL496" i="3"/>
  <c r="AZ496" i="3" s="1"/>
  <c r="BL494" i="3"/>
  <c r="U19" i="33"/>
  <c r="S36" i="33"/>
  <c r="S21" i="39"/>
  <c r="AC15" i="37"/>
  <c r="AB20" i="36"/>
  <c r="S15" i="37"/>
  <c r="AZ322" i="3"/>
  <c r="AZ311" i="3"/>
  <c r="AZ355" i="3"/>
  <c r="C27" i="31"/>
  <c r="AZ325" i="3"/>
  <c r="AA11" i="39"/>
  <c r="AC5" i="3"/>
  <c r="AZ535" i="3"/>
  <c r="AZ577" i="3"/>
  <c r="AZ527" i="3"/>
  <c r="AC40" i="37"/>
  <c r="AA12" i="36"/>
  <c r="J44" i="21"/>
  <c r="F44" i="21"/>
  <c r="E78" i="34"/>
  <c r="F78" i="34" s="1"/>
  <c r="G78" i="34" s="1"/>
  <c r="F15" i="34"/>
  <c r="AA15" i="34" s="1"/>
  <c r="J15" i="34"/>
  <c r="AC15" i="34" s="1"/>
  <c r="J12" i="34"/>
  <c r="F12" i="34"/>
  <c r="S12" i="34" s="1"/>
  <c r="F30" i="34"/>
  <c r="J30" i="34"/>
  <c r="U46" i="34"/>
  <c r="AB46" i="34"/>
  <c r="H11" i="35"/>
  <c r="AB11" i="35" s="1"/>
  <c r="J11" i="35"/>
  <c r="H36" i="35"/>
  <c r="J36" i="35"/>
  <c r="AC36" i="35" s="1"/>
  <c r="H34" i="36"/>
  <c r="F34" i="36"/>
  <c r="J34" i="36"/>
  <c r="W34" i="36" s="1"/>
  <c r="AC40" i="39"/>
  <c r="W40" i="39"/>
  <c r="J13" i="39"/>
  <c r="F13" i="39"/>
  <c r="J39" i="40"/>
  <c r="H39" i="40"/>
  <c r="BA566" i="3"/>
  <c r="AZ566" i="3" s="1"/>
  <c r="BA558" i="3"/>
  <c r="AZ558" i="3" s="1"/>
  <c r="G556" i="3"/>
  <c r="BA553" i="3"/>
  <c r="AZ553" i="3" s="1"/>
  <c r="BL552" i="3"/>
  <c r="BL551" i="3"/>
  <c r="BA548" i="3"/>
  <c r="BL545" i="3"/>
  <c r="BL544" i="3"/>
  <c r="BA544" i="3"/>
  <c r="AZ544" i="3" s="1"/>
  <c r="BL542" i="3"/>
  <c r="AZ542" i="3" s="1"/>
  <c r="BA541" i="3"/>
  <c r="AZ541" i="3" s="1"/>
  <c r="BA538" i="3"/>
  <c r="BL533" i="3"/>
  <c r="AZ533" i="3" s="1"/>
  <c r="BL532" i="3"/>
  <c r="BA531" i="3"/>
  <c r="BA530" i="3"/>
  <c r="AZ530" i="3" s="1"/>
  <c r="BL526" i="3"/>
  <c r="BA522" i="3"/>
  <c r="AZ522" i="3" s="1"/>
  <c r="BL518" i="3"/>
  <c r="G518" i="3"/>
  <c r="BA517" i="3"/>
  <c r="BL510" i="3"/>
  <c r="BA510" i="3"/>
  <c r="BA509" i="3"/>
  <c r="BA505" i="3"/>
  <c r="BA502" i="3"/>
  <c r="G497" i="3"/>
  <c r="G496" i="3"/>
  <c r="BA495" i="3"/>
  <c r="G14" i="3"/>
  <c r="B25" i="31" s="1"/>
  <c r="C25" i="31" s="1"/>
  <c r="G449" i="3"/>
  <c r="BA581" i="3"/>
  <c r="BA580" i="3"/>
  <c r="AZ580" i="3" s="1"/>
  <c r="BA573" i="3"/>
  <c r="BA572" i="3"/>
  <c r="G551" i="3"/>
  <c r="G550" i="3"/>
  <c r="BA546" i="3"/>
  <c r="G542" i="3"/>
  <c r="BL536" i="3"/>
  <c r="BL534" i="3"/>
  <c r="AZ534" i="3" s="1"/>
  <c r="BA532" i="3"/>
  <c r="AZ532" i="3" s="1"/>
  <c r="BL528" i="3"/>
  <c r="AZ528" i="3" s="1"/>
  <c r="BA519" i="3"/>
  <c r="BA518" i="3"/>
  <c r="BL514" i="3"/>
  <c r="AZ514" i="3" s="1"/>
  <c r="G513" i="3"/>
  <c r="BA511" i="3"/>
  <c r="BL498" i="3"/>
  <c r="BA494" i="3"/>
  <c r="BA493" i="3"/>
  <c r="AZ493" i="3" s="1"/>
  <c r="G492" i="3"/>
  <c r="BL495" i="3"/>
  <c r="BL503" i="3"/>
  <c r="BL515" i="3"/>
  <c r="AZ515" i="3" s="1"/>
  <c r="BL521" i="3"/>
  <c r="AZ521" i="3" s="1"/>
  <c r="BL569" i="3"/>
  <c r="AZ569" i="3" s="1"/>
  <c r="BL583" i="3"/>
  <c r="H9" i="33"/>
  <c r="J23" i="36"/>
  <c r="BL15" i="3"/>
  <c r="AZ15" i="3" s="1"/>
  <c r="G425" i="3"/>
  <c r="BL472" i="3"/>
  <c r="P27" i="6"/>
  <c r="T80" i="71"/>
  <c r="D80" i="71"/>
  <c r="BA402" i="3"/>
  <c r="AZ402" i="3" s="1"/>
  <c r="G408" i="3"/>
  <c r="BL408" i="3"/>
  <c r="BL412" i="3"/>
  <c r="BA413" i="3"/>
  <c r="BL417" i="3"/>
  <c r="BL418" i="3"/>
  <c r="BL420" i="3"/>
  <c r="G423" i="3"/>
  <c r="BL427" i="3"/>
  <c r="BL430" i="3"/>
  <c r="BA437" i="3"/>
  <c r="BL441" i="3"/>
  <c r="BL442" i="3"/>
  <c r="BL444" i="3"/>
  <c r="G447" i="3"/>
  <c r="BL451" i="3"/>
  <c r="BA456" i="3"/>
  <c r="G459" i="3"/>
  <c r="BA459" i="3"/>
  <c r="G463" i="3"/>
  <c r="BL466" i="3"/>
  <c r="G469" i="3"/>
  <c r="BA473" i="3"/>
  <c r="BA476" i="3"/>
  <c r="BL480" i="3"/>
  <c r="BA483" i="3"/>
  <c r="BL483" i="3"/>
  <c r="BL487" i="3"/>
  <c r="BL316" i="3"/>
  <c r="BL324" i="3"/>
  <c r="AZ324" i="3" s="1"/>
  <c r="BL328" i="3"/>
  <c r="AZ328" i="3" s="1"/>
  <c r="BL340" i="3"/>
  <c r="AZ340" i="3" s="1"/>
  <c r="BL381" i="3"/>
  <c r="AZ381" i="3" s="1"/>
  <c r="BL383" i="3"/>
  <c r="AZ383" i="3" s="1"/>
  <c r="G387" i="3"/>
  <c r="BA211" i="3"/>
  <c r="AZ211" i="3" s="1"/>
  <c r="BA217" i="3"/>
  <c r="BL217" i="3"/>
  <c r="BA235" i="3"/>
  <c r="BL237" i="3"/>
  <c r="BL238" i="3"/>
  <c r="BA245" i="3"/>
  <c r="BL252" i="3"/>
  <c r="BA257" i="3"/>
  <c r="G261" i="3"/>
  <c r="BL261" i="3"/>
  <c r="BA269" i="3"/>
  <c r="AZ269" i="3" s="1"/>
  <c r="BA149" i="3"/>
  <c r="AZ149" i="3" s="1"/>
  <c r="BL149" i="3"/>
  <c r="BL150" i="3"/>
  <c r="BA152" i="3"/>
  <c r="AZ152" i="3" s="1"/>
  <c r="BA154" i="3"/>
  <c r="AZ154" i="3" s="1"/>
  <c r="W21" i="33"/>
  <c r="AC21" i="33"/>
  <c r="Y35" i="71"/>
  <c r="Z35" i="71" s="1"/>
  <c r="C38" i="71"/>
  <c r="D38" i="71" s="1"/>
  <c r="AA3" i="71"/>
  <c r="BL399" i="3"/>
  <c r="BA400" i="3"/>
  <c r="AZ400" i="3" s="1"/>
  <c r="BA406" i="3"/>
  <c r="AZ406" i="3" s="1"/>
  <c r="BA407" i="3"/>
  <c r="BL409" i="3"/>
  <c r="G411" i="3"/>
  <c r="BL411" i="3"/>
  <c r="BL416" i="3"/>
  <c r="G420" i="3"/>
  <c r="BL424" i="3"/>
  <c r="G426" i="3"/>
  <c r="G427" i="3"/>
  <c r="G431" i="3"/>
  <c r="BA433" i="3"/>
  <c r="AZ433" i="3" s="1"/>
  <c r="G435" i="3"/>
  <c r="BL440" i="3"/>
  <c r="G444" i="3"/>
  <c r="BL448" i="3"/>
  <c r="AZ448" i="3" s="1"/>
  <c r="G450" i="3"/>
  <c r="G451" i="3"/>
  <c r="BL455" i="3"/>
  <c r="G457" i="3"/>
  <c r="G458" i="3"/>
  <c r="G461" i="3"/>
  <c r="G462" i="3"/>
  <c r="G466" i="3"/>
  <c r="G474" i="3"/>
  <c r="BL479" i="3"/>
  <c r="G480" i="3"/>
  <c r="BL484" i="3"/>
  <c r="BA487" i="3"/>
  <c r="AZ487" i="3" s="1"/>
  <c r="BL489" i="3"/>
  <c r="BL491" i="3"/>
  <c r="BL492" i="3"/>
  <c r="G307" i="3"/>
  <c r="BA354" i="3"/>
  <c r="G382" i="3"/>
  <c r="BL386" i="3"/>
  <c r="BA208" i="3"/>
  <c r="AZ208" i="3" s="1"/>
  <c r="BA230" i="3"/>
  <c r="AZ230" i="3" s="1"/>
  <c r="BL231" i="3"/>
  <c r="G234" i="3"/>
  <c r="BA240" i="3"/>
  <c r="G243" i="3"/>
  <c r="BA243" i="3"/>
  <c r="BL250" i="3"/>
  <c r="BA260" i="3"/>
  <c r="BA265" i="3"/>
  <c r="BA267" i="3"/>
  <c r="AZ267" i="3" s="1"/>
  <c r="BA271" i="3"/>
  <c r="AZ271" i="3" s="1"/>
  <c r="BL271" i="3"/>
  <c r="BA275" i="3"/>
  <c r="BA279" i="3"/>
  <c r="BA286" i="3"/>
  <c r="AZ286" i="3" s="1"/>
  <c r="BL286" i="3"/>
  <c r="BA132" i="3"/>
  <c r="AZ132" i="3" s="1"/>
  <c r="BA137" i="3"/>
  <c r="G167" i="3"/>
  <c r="G175" i="3"/>
  <c r="BA177" i="3"/>
  <c r="AZ177" i="3" s="1"/>
  <c r="BA92" i="3"/>
  <c r="B100" i="43"/>
  <c r="B57" i="43"/>
  <c r="B68" i="43"/>
  <c r="C29" i="39"/>
  <c r="Y29" i="71"/>
  <c r="Z29" i="71" s="1"/>
  <c r="C30" i="71"/>
  <c r="D30" i="71" s="1"/>
  <c r="X25" i="71"/>
  <c r="C47" i="71"/>
  <c r="D47" i="71" s="1"/>
  <c r="D46" i="71"/>
  <c r="F67" i="71"/>
  <c r="V68" i="71"/>
  <c r="Q68" i="71"/>
  <c r="B75" i="71"/>
  <c r="B74" i="71" s="1"/>
  <c r="S76" i="71"/>
  <c r="G398" i="3"/>
  <c r="G404" i="3"/>
  <c r="BL413" i="3"/>
  <c r="G415" i="3"/>
  <c r="BL419" i="3"/>
  <c r="AZ419" i="3" s="1"/>
  <c r="BA420" i="3"/>
  <c r="G424" i="3"/>
  <c r="BA431" i="3"/>
  <c r="G434" i="3"/>
  <c r="BL437" i="3"/>
  <c r="G439" i="3"/>
  <c r="BL443" i="3"/>
  <c r="AZ443" i="3" s="1"/>
  <c r="BA444" i="3"/>
  <c r="AZ444" i="3" s="1"/>
  <c r="G448" i="3"/>
  <c r="BA454" i="3"/>
  <c r="BA458" i="3"/>
  <c r="BA462" i="3"/>
  <c r="BL465" i="3"/>
  <c r="BA466" i="3"/>
  <c r="AZ466" i="3" s="1"/>
  <c r="BA470" i="3"/>
  <c r="BL476" i="3"/>
  <c r="BL477" i="3"/>
  <c r="BL478" i="3"/>
  <c r="G479" i="3"/>
  <c r="BA480" i="3"/>
  <c r="AZ480" i="3" s="1"/>
  <c r="G484" i="3"/>
  <c r="BA486" i="3"/>
  <c r="G489" i="3"/>
  <c r="G323" i="3"/>
  <c r="G343" i="3"/>
  <c r="G347" i="3"/>
  <c r="BA348" i="3"/>
  <c r="BA350" i="3"/>
  <c r="AZ350" i="3" s="1"/>
  <c r="BL367" i="3"/>
  <c r="G380" i="3"/>
  <c r="BA385" i="3"/>
  <c r="G392" i="3"/>
  <c r="BA395" i="3"/>
  <c r="AZ395" i="3" s="1"/>
  <c r="G210" i="3"/>
  <c r="BA214" i="3"/>
  <c r="BL216" i="3"/>
  <c r="BA225" i="3"/>
  <c r="BA227" i="3"/>
  <c r="AZ227" i="3" s="1"/>
  <c r="BA228" i="3"/>
  <c r="BL228" i="3"/>
  <c r="G231" i="3"/>
  <c r="BA233" i="3"/>
  <c r="G241" i="3"/>
  <c r="BL248" i="3"/>
  <c r="G250" i="3"/>
  <c r="BA255" i="3"/>
  <c r="G262" i="3"/>
  <c r="G263" i="3"/>
  <c r="BA263" i="3"/>
  <c r="G267" i="3"/>
  <c r="G268" i="3"/>
  <c r="BA270" i="3"/>
  <c r="G273" i="3"/>
  <c r="BA274" i="3"/>
  <c r="AZ274" i="3" s="1"/>
  <c r="BL274" i="3"/>
  <c r="G277" i="3"/>
  <c r="BL278" i="3"/>
  <c r="BA283" i="3"/>
  <c r="G286" i="3"/>
  <c r="G292" i="3"/>
  <c r="BL298" i="3"/>
  <c r="G159" i="3"/>
  <c r="BA162" i="3"/>
  <c r="BL162" i="3"/>
  <c r="BL165" i="3"/>
  <c r="G166" i="3"/>
  <c r="BA189" i="3"/>
  <c r="BA207" i="3"/>
  <c r="G106" i="3"/>
  <c r="B13" i="1"/>
  <c r="E13" i="1" s="1"/>
  <c r="K13" i="1"/>
  <c r="M13" i="1" s="1"/>
  <c r="O13" i="1" s="1"/>
  <c r="P13" i="1" s="1"/>
  <c r="G7" i="34"/>
  <c r="E7" i="34"/>
  <c r="I7" i="34"/>
  <c r="AB21" i="37"/>
  <c r="B67" i="71"/>
  <c r="S68" i="71"/>
  <c r="N68" i="71"/>
  <c r="U72" i="71"/>
  <c r="E71" i="71"/>
  <c r="E70" i="71" s="1"/>
  <c r="BL24" i="3"/>
  <c r="BL29" i="3"/>
  <c r="BL34" i="3"/>
  <c r="BA37" i="3"/>
  <c r="BL39" i="3"/>
  <c r="BA47" i="3"/>
  <c r="BL49" i="3"/>
  <c r="BA56" i="3"/>
  <c r="BA57" i="3"/>
  <c r="BL58" i="3"/>
  <c r="G60" i="3"/>
  <c r="BA60" i="3"/>
  <c r="BL76" i="3"/>
  <c r="BL86" i="3"/>
  <c r="G88" i="3"/>
  <c r="G109" i="3"/>
  <c r="BA109" i="3"/>
  <c r="BL112" i="3"/>
  <c r="Y26" i="71"/>
  <c r="Z26" i="71" s="1"/>
  <c r="AB36" i="71"/>
  <c r="C23" i="71"/>
  <c r="B22" i="71"/>
  <c r="B21" i="71" s="1"/>
  <c r="B20" i="71" s="1"/>
  <c r="BA116" i="3"/>
  <c r="AZ116" i="3" s="1"/>
  <c r="BA121" i="3"/>
  <c r="BL121" i="3"/>
  <c r="BA129" i="3"/>
  <c r="BA148" i="3"/>
  <c r="AZ148" i="3" s="1"/>
  <c r="BL158" i="3"/>
  <c r="BA160" i="3"/>
  <c r="AZ160" i="3" s="1"/>
  <c r="BA168" i="3"/>
  <c r="AZ168" i="3" s="1"/>
  <c r="BL173" i="3"/>
  <c r="BA174" i="3"/>
  <c r="BA188" i="3"/>
  <c r="AZ188" i="3" s="1"/>
  <c r="BL195" i="3"/>
  <c r="AZ195" i="3" s="1"/>
  <c r="BA197" i="3"/>
  <c r="BL44" i="3"/>
  <c r="BA45" i="3"/>
  <c r="BA46" i="3"/>
  <c r="G55" i="3"/>
  <c r="BA55" i="3"/>
  <c r="BL69" i="3"/>
  <c r="G70" i="3"/>
  <c r="G71" i="3"/>
  <c r="G76" i="3"/>
  <c r="BL82" i="3"/>
  <c r="BL83" i="3"/>
  <c r="G86" i="3"/>
  <c r="G98" i="3"/>
  <c r="G103" i="3"/>
  <c r="BL103" i="3"/>
  <c r="BL105" i="3"/>
  <c r="AZ105" i="3" s="1"/>
  <c r="G107" i="3"/>
  <c r="BL107" i="3"/>
  <c r="G111" i="3"/>
  <c r="U29" i="39"/>
  <c r="E66" i="71"/>
  <c r="P65" i="71" s="1"/>
  <c r="C87" i="71"/>
  <c r="D76" i="71"/>
  <c r="O68" i="71"/>
  <c r="AA34" i="71"/>
  <c r="C43" i="71"/>
  <c r="C51" i="71"/>
  <c r="F79" i="71"/>
  <c r="F78" i="71" s="1"/>
  <c r="G269" i="3"/>
  <c r="G276" i="3"/>
  <c r="BA276" i="3"/>
  <c r="BL280" i="3"/>
  <c r="G283" i="3"/>
  <c r="BA288" i="3"/>
  <c r="G289" i="3"/>
  <c r="G295" i="3"/>
  <c r="BA296" i="3"/>
  <c r="G299" i="3"/>
  <c r="BA125" i="3"/>
  <c r="G127" i="3"/>
  <c r="BA145" i="3"/>
  <c r="BA157" i="3"/>
  <c r="G160" i="3"/>
  <c r="BL166" i="3"/>
  <c r="G172" i="3"/>
  <c r="G176" i="3"/>
  <c r="G195" i="3"/>
  <c r="G205" i="3"/>
  <c r="G32" i="3"/>
  <c r="G33" i="3"/>
  <c r="G34" i="3"/>
  <c r="G42" i="3"/>
  <c r="G43" i="3"/>
  <c r="G44" i="3"/>
  <c r="BL52" i="3"/>
  <c r="G53" i="3"/>
  <c r="BL53" i="3"/>
  <c r="G57" i="3"/>
  <c r="G61" i="3"/>
  <c r="BL67" i="3"/>
  <c r="G69" i="3"/>
  <c r="BA70" i="3"/>
  <c r="G74" i="3"/>
  <c r="G75" i="3"/>
  <c r="BL79" i="3"/>
  <c r="BL81" i="3"/>
  <c r="BA82" i="3"/>
  <c r="BA98" i="3"/>
  <c r="C75" i="71"/>
  <c r="F35" i="71"/>
  <c r="F36" i="71" s="1"/>
  <c r="V36" i="71" s="1"/>
  <c r="AA38" i="71"/>
  <c r="B51" i="71"/>
  <c r="B52" i="71" s="1"/>
  <c r="S52" i="71" s="1"/>
  <c r="F71" i="71"/>
  <c r="F70" i="71" s="1"/>
  <c r="AB35" i="34"/>
  <c r="AC43" i="34"/>
  <c r="W41" i="34"/>
  <c r="W44" i="34"/>
  <c r="AA36" i="34"/>
  <c r="AC23" i="34"/>
  <c r="AB23" i="34"/>
  <c r="S23" i="34"/>
  <c r="AA21" i="34"/>
  <c r="S19" i="34"/>
  <c r="W19" i="34"/>
  <c r="U19" i="34"/>
  <c r="S17" i="34"/>
  <c r="AC17" i="34"/>
  <c r="W15" i="34"/>
  <c r="U15" i="34"/>
  <c r="AB8" i="34"/>
  <c r="AA8" i="34"/>
  <c r="U43" i="34"/>
  <c r="AB41" i="34"/>
  <c r="W40" i="34"/>
  <c r="AB40" i="34"/>
  <c r="AA40" i="34"/>
  <c r="W35" i="34"/>
  <c r="AB33" i="34"/>
  <c r="AA33" i="34"/>
  <c r="W33" i="34"/>
  <c r="AC27" i="34"/>
  <c r="AA25" i="34"/>
  <c r="U25" i="34"/>
  <c r="U9" i="34"/>
  <c r="W8" i="34"/>
  <c r="A15" i="62"/>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B42" i="33"/>
  <c r="U42" i="33"/>
  <c r="S22" i="36"/>
  <c r="AA22" i="36"/>
  <c r="AZ548" i="3"/>
  <c r="AA17" i="21"/>
  <c r="S17" i="21"/>
  <c r="S27" i="37"/>
  <c r="AA27" i="37"/>
  <c r="AA43" i="39"/>
  <c r="S43" i="39"/>
  <c r="AC46" i="33"/>
  <c r="W46" i="33"/>
  <c r="AA30" i="34"/>
  <c r="S30" i="34"/>
  <c r="U45" i="33"/>
  <c r="AB45" i="33"/>
  <c r="W21" i="40"/>
  <c r="AC21" i="40"/>
  <c r="S35" i="33"/>
  <c r="AA35" i="33"/>
  <c r="AZ17" i="3"/>
  <c r="AZ334"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BL548" i="3"/>
  <c r="S39" i="21"/>
  <c r="AA36" i="35"/>
  <c r="AA12" i="39"/>
  <c r="AC14" i="35"/>
  <c r="U43" i="21"/>
  <c r="BB5" i="3"/>
  <c r="AZ387" i="3"/>
  <c r="AZ362" i="3"/>
  <c r="AZ338" i="3"/>
  <c r="AZ390" i="3"/>
  <c r="AZ371" i="3"/>
  <c r="AZ351" i="3"/>
  <c r="AZ336" i="3"/>
  <c r="AZ305"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AZ366" i="3" s="1"/>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3" i="3"/>
  <c r="BA216" i="3"/>
  <c r="AZ216" i="3" s="1"/>
  <c r="BA220" i="3"/>
  <c r="BA221" i="3"/>
  <c r="BA223" i="3"/>
  <c r="BA226" i="3"/>
  <c r="BA229" i="3"/>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AZ451" i="3"/>
  <c r="AZ454" i="3"/>
  <c r="AZ459" i="3"/>
  <c r="AZ469" i="3"/>
  <c r="AZ483" i="3"/>
  <c r="BA315" i="3"/>
  <c r="AZ315" i="3" s="1"/>
  <c r="BA333" i="3"/>
  <c r="BL346" i="3"/>
  <c r="AZ346" i="3" s="1"/>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AZ139" i="3" s="1"/>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8"/>
  <c r="D5" i="73"/>
  <c r="D3" i="73"/>
  <c r="D4" i="73"/>
  <c r="D7" i="73"/>
  <c r="C36" i="69"/>
  <c r="C16" i="15"/>
  <c r="D9" i="69"/>
  <c r="F27" i="69"/>
  <c r="C86" i="71" l="1"/>
  <c r="D86" i="71" s="1"/>
  <c r="D87" i="71"/>
  <c r="D23" i="71"/>
  <c r="C22" i="71"/>
  <c r="AZ437" i="3"/>
  <c r="AC23" i="36"/>
  <c r="W23" i="36"/>
  <c r="S13" i="39"/>
  <c r="AA13" i="39"/>
  <c r="AB36" i="35"/>
  <c r="U36" i="35"/>
  <c r="W12" i="34"/>
  <c r="AC12" i="34"/>
  <c r="AZ526" i="3"/>
  <c r="U13" i="40"/>
  <c r="AB13" i="40"/>
  <c r="AA35" i="35"/>
  <c r="S35" i="35"/>
  <c r="K6" i="1"/>
  <c r="C34" i="34"/>
  <c r="D33" i="43"/>
  <c r="D1" i="43" s="1"/>
  <c r="W33" i="40"/>
  <c r="AC33" i="40"/>
  <c r="AA40" i="37"/>
  <c r="S40" i="37"/>
  <c r="AZ229" i="3"/>
  <c r="AZ220" i="3"/>
  <c r="AZ368" i="3"/>
  <c r="AZ471" i="3"/>
  <c r="AZ450" i="3"/>
  <c r="AZ403" i="3"/>
  <c r="C74" i="71"/>
  <c r="D74" i="71" s="1"/>
  <c r="D75" i="71"/>
  <c r="AZ121" i="3"/>
  <c r="AB9" i="33"/>
  <c r="U9" i="33"/>
  <c r="W13" i="39"/>
  <c r="AC13" i="39"/>
  <c r="S34" i="36"/>
  <c r="AA34" i="36"/>
  <c r="W11" i="35"/>
  <c r="AC11" i="35"/>
  <c r="AC44" i="21"/>
  <c r="W44" i="21"/>
  <c r="AA38" i="40"/>
  <c r="S38" i="40"/>
  <c r="W45" i="34"/>
  <c r="AC45" i="34"/>
  <c r="AC12" i="40"/>
  <c r="W12" i="40"/>
  <c r="AZ584" i="3"/>
  <c r="AA13" i="36"/>
  <c r="S13" i="36"/>
  <c r="AZ302" i="3"/>
  <c r="AZ421" i="3"/>
  <c r="AZ550" i="3"/>
  <c r="AZ162" i="3"/>
  <c r="AZ228" i="3"/>
  <c r="C31" i="71"/>
  <c r="AZ217" i="3"/>
  <c r="AZ510" i="3"/>
  <c r="U39" i="40"/>
  <c r="AB39" i="40"/>
  <c r="AB34" i="36"/>
  <c r="U34" i="36"/>
  <c r="AZ502" i="3"/>
  <c r="AZ536" i="3"/>
  <c r="AB38" i="40"/>
  <c r="U38" i="40"/>
  <c r="S45" i="34"/>
  <c r="AA45" i="34"/>
  <c r="W12" i="33"/>
  <c r="AC12" i="33"/>
  <c r="S35" i="39"/>
  <c r="AA35" i="39"/>
  <c r="W44" i="39"/>
  <c r="AC44" i="39"/>
  <c r="AZ153" i="3"/>
  <c r="AZ205" i="3"/>
  <c r="AZ82" i="3"/>
  <c r="B19" i="71"/>
  <c r="B18" i="71" s="1"/>
  <c r="B17" i="71" s="1"/>
  <c r="B16" i="71" s="1"/>
  <c r="S20" i="71"/>
  <c r="AZ476" i="3"/>
  <c r="AZ413" i="3"/>
  <c r="AC39" i="40"/>
  <c r="W39" i="40"/>
  <c r="AZ498" i="3"/>
  <c r="W13" i="40"/>
  <c r="AC13" i="40"/>
  <c r="B22" i="31"/>
  <c r="B14" i="74" s="1"/>
  <c r="U44" i="39"/>
  <c r="AB44" i="39"/>
  <c r="AA33" i="40"/>
  <c r="S33" i="40"/>
  <c r="U40" i="37"/>
  <c r="AB40" i="37"/>
  <c r="N94" i="46"/>
  <c r="N370" i="46"/>
  <c r="G26" i="43"/>
  <c r="J26" i="43"/>
  <c r="F26" i="43"/>
  <c r="D26" i="43" s="1"/>
  <c r="C25" i="43" s="1"/>
  <c r="E26" i="43"/>
  <c r="N65" i="71"/>
  <c r="N66"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W7" i="37" s="1"/>
  <c r="K1" i="7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F43" i="67"/>
  <c r="G1" i="73"/>
  <c r="F7" i="67"/>
  <c r="AE6" i="1"/>
  <c r="M29" i="67"/>
  <c r="M7" i="67" l="1"/>
  <c r="J6" i="67" s="1"/>
  <c r="J18" i="67" s="1"/>
  <c r="F50" i="67"/>
  <c r="C49" i="67" s="1"/>
  <c r="C6" i="67"/>
  <c r="C32" i="67" s="1"/>
  <c r="F71" i="67"/>
  <c r="AC7" i="37"/>
  <c r="F34" i="34"/>
  <c r="J34" i="34"/>
  <c r="H34" i="34"/>
  <c r="C21" i="71"/>
  <c r="D22" i="71"/>
  <c r="C32" i="71"/>
  <c r="D31" i="71"/>
  <c r="AP6" i="1"/>
  <c r="H16" i="1"/>
  <c r="Q16" i="1"/>
  <c r="M6" i="1"/>
  <c r="O6" i="1" s="1"/>
  <c r="F67" i="39"/>
  <c r="K16" i="1"/>
  <c r="J5" i="67"/>
  <c r="J24" i="67" s="1"/>
  <c r="J10" i="39"/>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1" i="67"/>
  <c r="C16" i="67"/>
  <c r="M27" i="67"/>
  <c r="M27" i="15"/>
  <c r="F41" i="15"/>
  <c r="C48" i="67" l="1"/>
  <c r="C10" i="67"/>
  <c r="C5" i="67" s="1"/>
  <c r="C38" i="67" s="1"/>
  <c r="F28" i="12"/>
  <c r="C29" i="12" s="1"/>
  <c r="D28" i="12" s="1"/>
  <c r="F27" i="11"/>
  <c r="F27" i="68"/>
  <c r="T32" i="71"/>
  <c r="D32" i="71"/>
  <c r="AC34" i="34"/>
  <c r="W34" i="34"/>
  <c r="R49" i="34"/>
  <c r="R50" i="34" s="1"/>
  <c r="AA34" i="34"/>
  <c r="S34" i="34"/>
  <c r="D21" i="71"/>
  <c r="C20" i="71"/>
  <c r="V49" i="34"/>
  <c r="I49" i="34" s="1"/>
  <c r="I53" i="34" s="1"/>
  <c r="J53" i="34" s="1"/>
  <c r="AB34" i="34"/>
  <c r="T49" i="34" s="1"/>
  <c r="G49" i="34" s="1"/>
  <c r="G53" i="34" s="1"/>
  <c r="H53" i="34" s="1"/>
  <c r="U34" i="34"/>
  <c r="F69" i="67"/>
  <c r="G54" i="34"/>
  <c r="H54" i="34" s="1"/>
  <c r="W10" i="40"/>
  <c r="F25" i="12"/>
  <c r="C26" i="12" s="1"/>
  <c r="D25" i="12" s="1"/>
  <c r="F22" i="69"/>
  <c r="F41" i="69" s="1"/>
  <c r="AA10" i="40"/>
  <c r="F24" i="15"/>
  <c r="C24" i="15" s="1"/>
  <c r="F22" i="68"/>
  <c r="C23" i="68" s="1"/>
  <c r="F22" i="11"/>
  <c r="F24" i="67"/>
  <c r="C24" i="67" s="1"/>
  <c r="D14" i="12"/>
  <c r="D17" i="12" s="1"/>
  <c r="C17" i="12" s="1"/>
  <c r="D3" i="37"/>
  <c r="D19" i="11"/>
  <c r="C19" i="11" s="1"/>
  <c r="C20" i="11" s="1"/>
  <c r="D116" i="43"/>
  <c r="H6" i="3"/>
  <c r="AC6" i="3"/>
  <c r="AB10" i="39"/>
  <c r="U10" i="40"/>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15"/>
  <c r="C17" i="67"/>
  <c r="D10" i="69"/>
  <c r="C14" i="67"/>
  <c r="C34" i="69"/>
  <c r="C50" i="34" l="1"/>
  <c r="C49" i="34"/>
  <c r="E49" i="34"/>
  <c r="E53" i="34" s="1"/>
  <c r="F53" i="34" s="1"/>
  <c r="T20" i="71"/>
  <c r="D20" i="71"/>
  <c r="U20" i="71" s="1"/>
  <c r="C19" i="71"/>
  <c r="C47" i="68"/>
  <c r="D45" i="68" s="1"/>
  <c r="C29" i="68"/>
  <c r="D27" i="68" s="1"/>
  <c r="F45" i="68"/>
  <c r="C29" i="11"/>
  <c r="D27" i="11" s="1"/>
  <c r="C47" i="11"/>
  <c r="D45" i="11" s="1"/>
  <c r="C24" i="11"/>
  <c r="C44" i="68"/>
  <c r="D41" i="68" s="1"/>
  <c r="C44" i="11"/>
  <c r="D41" i="11" s="1"/>
  <c r="C26" i="69"/>
  <c r="D22" i="69" s="1"/>
  <c r="C23" i="11"/>
  <c r="F41" i="68"/>
  <c r="C44" i="69"/>
  <c r="D41" i="69" s="1"/>
  <c r="C26" i="11"/>
  <c r="D22" i="11" s="1"/>
  <c r="H24" i="6"/>
  <c r="C26" i="68"/>
  <c r="D22" i="68" s="1"/>
  <c r="C28" i="11"/>
  <c r="C27" i="11" s="1"/>
  <c r="C25" i="11"/>
  <c r="E6" i="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54" i="34" l="1"/>
  <c r="F54" i="34" s="1"/>
  <c r="I54" i="34"/>
  <c r="J54" i="34" s="1"/>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D16" i="71" l="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19" i="9"/>
  <c r="L51" i="15"/>
  <c r="D2" i="36"/>
  <c r="D2" i="35"/>
  <c r="D2" i="37"/>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8" i="1"/>
  <c r="D20" i="9"/>
  <c r="AO11" i="1"/>
  <c r="AO6" i="1"/>
  <c r="AO7" i="1"/>
  <c r="AO9" i="1"/>
  <c r="AO12" i="1"/>
  <c r="C19" i="9"/>
  <c r="D11" i="71" l="1"/>
  <c r="C10"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C5" i="71" l="1"/>
  <c r="D5" i="71" s="1"/>
  <c r="M24" i="43" s="1"/>
  <c r="D6" i="71"/>
  <c r="H118" i="9"/>
  <c r="H119" i="9" s="1"/>
  <c r="H5" i="52" s="1"/>
  <c r="G4" i="52"/>
  <c r="B52" i="72" s="1"/>
  <c r="F119" i="9"/>
  <c r="F5" i="52" s="1"/>
  <c r="B53" i="72" s="1"/>
  <c r="F4" i="52"/>
  <c r="B51" i="72" s="1"/>
  <c r="E118" i="9"/>
  <c r="H102" i="9"/>
  <c r="R24" i="31" s="1"/>
  <c r="S24" i="31" s="1"/>
  <c r="I4" i="52"/>
  <c r="R25" i="31" l="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B5" i="74" s="1"/>
  <c r="G14" i="74"/>
  <c r="B6" i="74" s="1"/>
  <c r="D6" i="74" s="1"/>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F14" i="74" l="1"/>
  <c r="D5" i="74"/>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<sst xmlns="http://schemas.openxmlformats.org/spreadsheetml/2006/main" count="7988" uniqueCount="3515">
  <si>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</si>
  <si>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</si>
  <si>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</si>
  <si>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</si>
  <si>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</si>
  <si>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</si>
  <si>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</si>
  <si>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</si>
  <si>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</si>
  <si>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</si>
  <si>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</si>
  <si>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</si>
  <si>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</si>
  <si>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</si>
  <si>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</si>
  <si>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</si>
  <si>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</si>
  <si>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</si>
  <si>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</si>
  <si>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</si>
  <si>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</si>
  <si>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</si>
  <si>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</si>
  <si>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</si>
  <si>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</si>
  <si>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</si>
  <si>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</si>
  <si>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</si>
  <si>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</si>
  <si>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</si>
  <si>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</si>
  <si>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</si>
  <si>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</si>
  <si>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</si>
  <si>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</si>
  <si>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</si>
  <si>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</si>
  <si>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</si>
  <si>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</si>
  <si>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</si>
  <si>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</si>
  <si>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</si>
  <si>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</si>
  <si>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</si>
  <si>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</si>
  <si>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</si>
  <si>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</si>
  <si>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</si>
  <si>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</si>
  <si>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</si>
  <si>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</si>
  <si>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</si>
  <si>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</si>
  <si>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</si>
  <si>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</si>
  <si>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</si>
  <si>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</si>
  <si>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</si>
  <si>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</si>
  <si>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</si>
  <si>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</si>
  <si>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</si>
  <si>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</si>
  <si>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</si>
  <si>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</si>
  <si>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</si>
  <si>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</si>
  <si>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</si>
  <si>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</si>
  <si>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</si>
  <si>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</si>
  <si>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</si>
  <si>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</si>
  <si>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</si>
  <si>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</si>
  <si>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</si>
  <si>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</si>
  <si>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</si>
  <si>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</si>
  <si>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</si>
  <si>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</si>
  <si>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</si>
  <si>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</si>
  <si>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</si>
  <si>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</si>
  <si>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</si>
  <si>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</si>
  <si>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</si>
  <si>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</si>
  <si>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</si>
  <si>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</si>
  <si>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</si>
  <si>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</si>
  <si>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</si>
  <si>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</si>
  <si>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</si>
  <si>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</si>
  <si>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</si>
  <si>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</si>
  <si>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</si>
  <si>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</si>
  <si>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</si>
  <si>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</si>
  <si>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</si>
  <si>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</si>
  <si>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</si>
  <si>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</si>
  <si>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</si>
  <si>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</si>
  <si>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</si>
  <si>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</si>
  <si>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</si>
  <si>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</si>
  <si>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</si>
  <si>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</si>
  <si>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</si>
  <si>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</si>
  <si>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</si>
  <si>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</si>
  <si>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</si>
  <si>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</si>
  <si>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</si>
  <si>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</si>
  <si>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</si>
  <si>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</si>
  <si>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</si>
  <si>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</si>
  <si>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</si>
  <si>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</si>
  <si>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</si>
  <si>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</si>
  <si>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</si>
  <si>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</si>
  <si>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</si>
  <si>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</si>
  <si>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</si>
  <si>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</si>
  <si>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</si>
  <si>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</si>
  <si>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</si>
  <si>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</si>
  <si>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</si>
  <si>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</si>
  <si>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</si>
  <si>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</si>
  <si>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</si>
  <si>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</si>
  <si>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</si>
  <si>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</si>
  <si>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</si>
  <si>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</si>
  <si>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</si>
  <si>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</si>
  <si>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</si>
  <si>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</si>
  <si>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</si>
  <si>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</si>
  <si>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</si>
  <si>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</si>
  <si>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</si>
  <si>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</si>
  <si>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</si>
  <si>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</si>
  <si>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</si>
  <si>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</si>
  <si>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</si>
  <si>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</si>
  <si>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</si>
  <si>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</si>
  <si>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</si>
  <si>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</si>
  <si>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</si>
  <si>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</si>
  <si>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</si>
  <si>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</si>
  <si>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</si>
  <si>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</si>
  <si>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</si>
  <si>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</si>
  <si>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</si>
  <si>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</si>
  <si>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</si>
  <si>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</si>
  <si>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</si>
  <si>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</si>
  <si>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</si>
  <si>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</si>
  <si>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</si>
  <si>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</si>
  <si>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</si>
  <si>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</si>
  <si>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</si>
  <si>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</si>
  <si>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</si>
  <si>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</si>
  <si>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</si>
  <si>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</si>
  <si>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</si>
  <si>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</si>
  <si>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</si>
  <si>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</si>
  <si>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</si>
  <si>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</si>
  <si>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</si>
  <si>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</si>
  <si>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</si>
  <si>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</si>
  <si>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</si>
  <si>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</si>
  <si>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</si>
  <si>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</si>
  <si>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</si>
  <si>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</si>
  <si>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</si>
  <si>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</si>
  <si>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</si>
  <si>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</si>
  <si>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</si>
  <si>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</si>
  <si>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</si>
  <si>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</si>
  <si>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</si>
  <si>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</si>
  <si>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</si>
  <si>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</si>
  <si>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</si>
  <si>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</si>
  <si>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</si>
  <si>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</si>
  <si>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</si>
  <si>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</si>
  <si>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</si>
  <si>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</si>
  <si>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</si>
  <si>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</si>
  <si>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</si>
  <si>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</si>
  <si>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</si>
  <si>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</si>
  <si>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</si>
  <si>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</si>
  <si>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</si>
  <si>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</si>
  <si>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</si>
  <si>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</si>
  <si>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</si>
  <si>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</si>
  <si>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</si>
  <si>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</si>
  <si>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</si>
  <si>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</si>
  <si>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</si>
  <si>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</si>
  <si>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</si>
  <si>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</si>
  <si>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</si>
  <si>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</si>
  <si>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</si>
  <si>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</si>
  <si>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</si>
  <si>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</si>
  <si>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</si>
  <si>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</si>
  <si>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</si>
  <si>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</si>
  <si>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</si>
  <si>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</si>
  <si>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</si>
  <si>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</si>
  <si>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</si>
  <si>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</si>
  <si>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</si>
  <si>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</si>
  <si>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</si>
  <si>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</si>
  <si>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</si>
  <si>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</si>
  <si>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</si>
  <si>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</si>
  <si>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</si>
  <si>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</si>
  <si>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</si>
  <si>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</si>
  <si>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</si>
  <si>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</si>
  <si>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</si>
  <si>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</si>
  <si>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</si>
  <si>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</si>
  <si>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</si>
  <si>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</si>
  <si>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</si>
  <si>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</si>
  <si>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</si>
  <si>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</si>
  <si>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</si>
  <si>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</si>
  <si>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</si>
  <si>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</si>
  <si>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</si>
  <si>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</si>
  <si>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</si>
  <si>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</si>
  <si>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</si>
  <si>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</si>
  <si>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</si>
  <si>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</si>
  <si>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</si>
  <si>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</si>
  <si>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</si>
  <si>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</si>
  <si>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</si>
  <si>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</si>
  <si>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</si>
  <si>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</si>
  <si>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</si>
  <si>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</si>
  <si>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</si>
  <si>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</si>
  <si>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</si>
  <si>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</si>
  <si>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</si>
  <si>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</si>
  <si>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</si>
  <si>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</si>
  <si>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</si>
  <si>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</si>
  <si>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</si>
  <si>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</si>
  <si>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</si>
  <si>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</si>
  <si>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</si>
  <si>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</si>
  <si>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</si>
  <si>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</si>
  <si>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</si>
  <si>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</si>
  <si>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</si>
  <si>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</si>
  <si>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</si>
  <si>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</si>
  <si>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</si>
  <si>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</si>
  <si>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</si>
  <si>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</si>
  <si>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</si>
  <si>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</si>
  <si>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</si>
  <si>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</si>
  <si>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</si>
  <si>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</si>
  <si>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</si>
  <si>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</si>
  <si>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</si>
  <si>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</si>
  <si>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</si>
  <si>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</si>
  <si>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</si>
  <si>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</si>
  <si>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</si>
  <si>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</si>
  <si>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</si>
  <si>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</si>
  <si>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</si>
  <si>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</si>
  <si>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</si>
  <si>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</si>
  <si>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</si>
  <si>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</si>
  <si>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</si>
  <si>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</si>
  <si>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</si>
  <si>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</si>
  <si>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</si>
  <si>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</si>
  <si>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</si>
  <si>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</si>
  <si>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</si>
  <si>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</si>
  <si>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</si>
  <si>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</si>
  <si>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</si>
  <si>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</si>
  <si>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</si>
  <si>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</si>
  <si>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</si>
  <si>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</si>
  <si>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</si>
  <si>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</si>
  <si>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</si>
  <si>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</si>
  <si>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</si>
  <si>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</si>
  <si>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</si>
  <si>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</si>
  <si>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</si>
  <si>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</si>
  <si>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</si>
  <si>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</si>
  <si>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</si>
  <si>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</si>
  <si>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</si>
  <si>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</si>
  <si>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</si>
  <si>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</si>
  <si>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</si>
  <si>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</si>
  <si>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</si>
  <si>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</si>
  <si>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</si>
  <si>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</si>
  <si>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</si>
  <si>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</si>
  <si>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</si>
  <si>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</si>
  <si>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</si>
  <si>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</si>
  <si>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</si>
  <si>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</si>
  <si>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</si>
  <si>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</si>
  <si>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</si>
  <si>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</si>
  <si>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</si>
  <si>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</si>
  <si>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</si>
  <si>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</si>
  <si>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</si>
  <si>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</si>
  <si>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</si>
  <si>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</si>
  <si>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</si>
  <si>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</si>
  <si>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</si>
  <si>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</si>
  <si>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</si>
  <si>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</si>
  <si>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</si>
  <si>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</si>
  <si>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</si>
  <si>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</si>
  <si>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</si>
  <si>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</si>
  <si>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</si>
  <si>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</si>
  <si>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</si>
  <si>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</si>
  <si>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</si>
  <si>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</si>
  <si>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</si>
  <si>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</si>
  <si>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</si>
  <si>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</si>
  <si>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</si>
  <si>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</si>
  <si>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</si>
  <si>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</si>
  <si>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</si>
  <si>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</si>
  <si>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</si>
  <si>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</si>
  <si>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</si>
  <si>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</si>
  <si>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</si>
  <si>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</si>
  <si>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</si>
  <si>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</si>
  <si>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</si>
  <si>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</si>
  <si>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</si>
  <si>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</si>
  <si>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</si>
  <si>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</si>
  <si>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</si>
  <si>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</si>
  <si>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</si>
  <si>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</si>
  <si>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</si>
  <si>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</si>
  <si>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</si>
  <si>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</si>
  <si>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</si>
  <si>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</si>
  <si>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</si>
  <si>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</si>
  <si>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</si>
  <si>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</si>
  <si>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</si>
  <si>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</si>
  <si>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</si>
  <si>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</si>
  <si>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</si>
  <si>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</si>
  <si>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</si>
  <si>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</si>
  <si>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</si>
  <si>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</si>
  <si>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</si>
  <si>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</si>
  <si>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</si>
  <si>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</si>
  <si>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</si>
  <si>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</si>
  <si>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</si>
  <si>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</si>
  <si>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</si>
  <si>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</si>
  <si>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</si>
  <si>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</si>
  <si>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</si>
  <si>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</si>
  <si>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</si>
  <si>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</si>
  <si>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</si>
  <si>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</si>
  <si>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</si>
  <si>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</si>
  <si>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</si>
  <si>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</si>
  <si>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</si>
  <si>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</si>
  <si>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</si>
  <si>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</si>
  <si>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</si>
  <si>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</si>
  <si>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</si>
  <si>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</si>
  <si>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</si>
  <si>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</si>
  <si>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</si>
  <si>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</si>
  <si>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</si>
  <si>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</si>
  <si>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</si>
  <si>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</si>
  <si>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</si>
  <si>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</si>
  <si>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</si>
  <si>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</si>
  <si>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</si>
  <si>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</si>
  <si>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</si>
  <si>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</si>
  <si>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</si>
  <si>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</si>
  <si>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</si>
  <si>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</si>
  <si>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</si>
  <si>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</si>
  <si>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</si>
  <si>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</si>
  <si>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</si>
  <si>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</si>
  <si>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</si>
  <si>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</si>
  <si>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</si>
  <si>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</si>
  <si>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</si>
  <si>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</si>
  <si>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</si>
  <si>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</si>
  <si>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</si>
  <si>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</si>
  <si>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</si>
  <si>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</si>
  <si>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</si>
  <si>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</si>
  <si>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</si>
  <si>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</si>
  <si>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</si>
  <si>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</si>
  <si>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</si>
  <si>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</si>
  <si>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</si>
  <si>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</si>
  <si>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</si>
  <si>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</si>
  <si>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</si>
  <si>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</si>
  <si>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</si>
  <si>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</si>
  <si>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</si>
  <si>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</si>
  <si>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</si>
  <si>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</si>
  <si>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</si>
  <si>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</si>
  <si>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</si>
  <si>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</si>
  <si>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</si>
  <si>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</si>
  <si>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</si>
  <si>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</si>
  <si>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</si>
  <si>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</si>
  <si>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</si>
  <si>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</si>
  <si>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</si>
  <si>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</si>
  <si>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</si>
  <si>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</si>
  <si>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</si>
  <si>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</si>
  <si>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</si>
  <si>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</si>
  <si>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</si>
  <si>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</si>
  <si>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</si>
  <si>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</si>
  <si>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</si>
  <si>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</si>
  <si>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</si>
  <si>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</si>
  <si>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</si>
  <si>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</si>
  <si>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</si>
  <si>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</si>
  <si>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</si>
  <si>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</si>
  <si>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</si>
  <si>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</si>
  <si>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</si>
  <si>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</si>
  <si>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</si>
  <si>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</si>
  <si>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</si>
  <si>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</si>
  <si>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</si>
  <si>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</si>
  <si>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</si>
  <si>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</si>
  <si>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</si>
  <si>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</si>
  <si>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</si>
  <si>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</si>
  <si>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</si>
  <si>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</si>
  <si>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</si>
  <si>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</si>
  <si>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</si>
  <si>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</si>
  <si>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</si>
  <si>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</si>
  <si>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</si>
  <si>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</si>
  <si>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</si>
  <si>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</si>
  <si>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</si>
  <si>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</si>
  <si>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</si>
  <si>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</si>
  <si>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</si>
  <si>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</si>
  <si>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</si>
  <si>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</si>
  <si>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</si>
  <si>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</si>
  <si>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</si>
  <si>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</si>
  <si>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</si>
  <si>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</si>
  <si>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</si>
  <si>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</si>
  <si>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</si>
  <si>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</si>
  <si>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</si>
  <si>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</si>
  <si>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</si>
  <si>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</si>
  <si>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</si>
  <si>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</si>
  <si>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</si>
  <si>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</si>
  <si>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</si>
  <si>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</si>
  <si>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</si>
  <si>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</si>
  <si>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</si>
  <si>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</si>
  <si>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</si>
  <si>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</si>
  <si>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</si>
  <si>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</si>
  <si>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</si>
  <si>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</si>
  <si>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</si>
  <si>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</si>
  <si>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</si>
  <si>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</si>
  <si>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</si>
  <si>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</si>
  <si>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</si>
  <si>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</si>
  <si>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</si>
  <si>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</si>
  <si>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</si>
  <si>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</si>
  <si>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</si>
  <si>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</si>
  <si>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</si>
  <si>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</si>
  <si>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</si>
  <si>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</si>
  <si>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</si>
  <si>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</si>
  <si>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</si>
  <si>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</si>
  <si>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</si>
  <si>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</si>
  <si>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</si>
  <si>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</si>
  <si>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</si>
  <si>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</si>
  <si>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</si>
  <si>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</si>
  <si>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</si>
  <si>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</si>
  <si>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</si>
  <si>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</si>
  <si>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</si>
  <si>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</si>
  <si>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</si>
  <si>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</si>
  <si>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</si>
  <si>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</si>
  <si>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</si>
  <si>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</si>
  <si>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</si>
  <si>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</si>
  <si>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</si>
  <si>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</si>
  <si>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</si>
  <si>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</si>
  <si>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</si>
  <si>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</si>
  <si>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</si>
  <si>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</si>
  <si>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</si>
  <si>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</si>
  <si>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</si>
  <si>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</si>
  <si>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</si>
  <si>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</si>
  <si>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</si>
  <si>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</si>
  <si>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</si>
  <si>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</si>
  <si>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</si>
  <si>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</si>
  <si>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</si>
  <si>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</si>
  <si>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</si>
  <si>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</si>
  <si>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</si>
  <si>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</si>
  <si>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</si>
  <si>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</si>
  <si>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</si>
  <si>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</si>
  <si>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</si>
  <si>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</si>
  <si>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</si>
  <si>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</si>
  <si>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</si>
  <si>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</si>
  <si>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</si>
  <si>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</si>
  <si>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</si>
  <si>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</si>
  <si>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</si>
  <si>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</si>
  <si>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</si>
  <si>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</si>
  <si>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</si>
  <si>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</si>
  <si>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</si>
  <si>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</si>
  <si>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</si>
  <si>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</si>
  <si>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</si>
  <si>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</si>
  <si>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</si>
  <si>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</si>
  <si>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</si>
  <si>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</si>
  <si>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</si>
  <si>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</si>
  <si>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</si>
  <si>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</si>
  <si>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</si>
  <si>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</si>
  <si>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</si>
  <si>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</si>
  <si>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</si>
  <si>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</si>
  <si>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</si>
  <si>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</si>
  <si>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</si>
  <si>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</si>
  <si>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</si>
  <si>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</si>
  <si>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</si>
  <si>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</si>
  <si>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</si>
  <si>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</si>
  <si>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</si>
  <si>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</si>
  <si>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</si>
  <si>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</si>
  <si>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</si>
  <si>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</si>
  <si>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</si>
  <si>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</si>
  <si>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</si>
  <si>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</si>
  <si>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</si>
  <si>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</si>
  <si>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</si>
  <si>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</si>
  <si>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</si>
  <si>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</si>
  <si>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</si>
  <si>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</si>
  <si>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</si>
  <si>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</si>
  <si>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</si>
  <si>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</si>
  <si>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</si>
  <si>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</si>
  <si>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</si>
  <si>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</si>
  <si>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</si>
  <si>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</si>
  <si>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</si>
  <si>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</si>
  <si>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</si>
  <si>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</si>
  <si>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</si>
  <si>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</si>
  <si>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</si>
  <si>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</si>
  <si>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</si>
  <si>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</si>
  <si>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</si>
  <si>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</si>
  <si>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</si>
  <si>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</si>
  <si>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</si>
  <si>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</si>
  <si>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</si>
  <si>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</si>
  <si>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</si>
  <si>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</si>
  <si>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</si>
  <si>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</si>
  <si>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</si>
  <si>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</si>
  <si>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</si>
  <si>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</si>
  <si>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</si>
  <si>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</si>
  <si>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</si>
  <si>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</si>
  <si>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</si>
  <si>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</si>
  <si>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</si>
  <si>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</si>
  <si>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</si>
  <si>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</si>
  <si>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</si>
  <si>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</si>
  <si>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</si>
  <si>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</si>
  <si>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</si>
  <si>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</si>
  <si>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</si>
  <si>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</si>
  <si>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</si>
  <si>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</si>
  <si>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</si>
  <si>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</si>
  <si>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</si>
  <si>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</si>
  <si>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</si>
  <si>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</si>
  <si>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</si>
  <si>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</si>
  <si>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</si>
  <si>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</si>
  <si>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</si>
  <si>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</si>
  <si>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</si>
  <si>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</si>
  <si>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</si>
  <si>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</si>
  <si>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</si>
  <si>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</si>
  <si>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</si>
  <si>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</si>
  <si>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</si>
  <si>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</si>
  <si>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</si>
  <si>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</si>
  <si>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</si>
  <si>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</si>
  <si>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</si>
  <si>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</si>
  <si>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</si>
  <si>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</si>
  <si>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</si>
  <si>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</si>
  <si>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</si>
  <si>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</si>
  <si>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</si>
  <si>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</si>
  <si>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</si>
  <si>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</si>
  <si>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</si>
  <si>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</si>
  <si>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</si>
  <si>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</si>
  <si>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</si>
  <si>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</si>
  <si>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</si>
  <si>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</si>
  <si>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</si>
  <si>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</si>
  <si>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</si>
  <si>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</si>
  <si>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</si>
  <si>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</si>
  <si>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</si>
  <si>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</si>
  <si>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</si>
  <si>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</si>
  <si>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</si>
  <si>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</si>
  <si>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</si>
  <si>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</si>
  <si>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</si>
  <si>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</si>
  <si>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</si>
  <si>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</si>
  <si>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</si>
  <si>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</si>
  <si>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</si>
  <si>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</si>
  <si>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</si>
  <si>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</si>
  <si>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</si>
  <si>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</si>
  <si>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</si>
  <si>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</si>
  <si>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</si>
  <si>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</si>
  <si>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</si>
  <si>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</si>
  <si>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</si>
  <si>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</si>
  <si>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</si>
  <si>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</si>
  <si>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</si>
  <si>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</si>
  <si>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</si>
  <si>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</si>
  <si>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</si>
  <si>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</si>
  <si>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</si>
  <si>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</si>
  <si>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</si>
  <si>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</si>
  <si>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</si>
  <si>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</si>
  <si>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</si>
  <si>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</si>
  <si>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</si>
  <si>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</si>
  <si>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</si>
  <si>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</si>
  <si>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</si>
  <si>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</si>
  <si>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</si>
  <si>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</si>
  <si>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</si>
  <si>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</si>
  <si>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</si>
  <si>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</si>
  <si>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</si>
  <si>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</si>
  <si>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</si>
  <si>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</si>
  <si>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</si>
  <si>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</si>
  <si>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</si>
  <si>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</si>
  <si>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</si>
  <si>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</si>
  <si>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</si>
  <si>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</si>
  <si>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</si>
  <si>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</si>
  <si>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</si>
  <si>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</si>
  <si>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</si>
  <si>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</si>
  <si>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</si>
  <si>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</si>
  <si>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</si>
  <si>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</si>
  <si>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</si>
  <si>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</si>
  <si>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</si>
  <si>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</si>
  <si>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</si>
  <si>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</si>
  <si>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</si>
  <si>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</si>
  <si>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</si>
  <si>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</si>
  <si>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</si>
  <si>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</si>
  <si>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</si>
  <si>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</si>
  <si>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</si>
  <si>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</si>
  <si>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</si>
  <si>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</si>
  <si>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</si>
  <si>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</si>
  <si>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</si>
  <si>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</si>
  <si>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</si>
  <si>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</si>
  <si>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</si>
  <si>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</si>
  <si>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</si>
  <si>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</si>
  <si>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</si>
  <si>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</si>
  <si>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</si>
  <si>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</si>
  <si>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</si>
  <si>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</si>
  <si>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</si>
  <si>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</si>
  <si>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</si>
  <si>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</si>
  <si>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</si>
  <si>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</si>
  <si>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</si>
  <si>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</si>
  <si>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</si>
  <si>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</si>
  <si>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</si>
  <si>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</si>
  <si>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</si>
  <si>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</si>
  <si>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</si>
  <si>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</si>
  <si>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</si>
  <si>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</si>
  <si>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</si>
  <si>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</si>
  <si>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</si>
  <si>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</si>
  <si>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</si>
  <si>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</si>
  <si>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</si>
  <si>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</si>
  <si>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</si>
  <si>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</si>
  <si>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</si>
  <si>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</si>
  <si>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</si>
  <si>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</si>
  <si>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</si>
  <si>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</si>
  <si>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</si>
  <si>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</si>
  <si>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</si>
  <si>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</si>
  <si>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</si>
  <si>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</si>
  <si>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</si>
  <si>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</si>
  <si>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</si>
  <si>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</si>
  <si>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</si>
  <si>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</si>
  <si>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</si>
  <si>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</si>
  <si>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</si>
  <si>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</si>
  <si>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</si>
  <si>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</si>
  <si>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</si>
  <si>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</si>
  <si>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</si>
  <si>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</si>
  <si>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</si>
  <si>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</si>
  <si>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</si>
  <si>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</si>
  <si>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</si>
  <si>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</si>
  <si>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</si>
  <si>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</si>
  <si>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</si>
  <si>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</si>
  <si>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</si>
  <si>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</si>
  <si>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</si>
  <si>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</si>
  <si>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</si>
  <si>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</si>
  <si>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</si>
  <si>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</si>
  <si>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</si>
  <si>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</si>
  <si>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</si>
  <si>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</si>
  <si>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</si>
  <si>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</si>
  <si>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</si>
  <si>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</si>
  <si>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</si>
  <si>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</si>
  <si>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</si>
  <si>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</si>
  <si>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</si>
  <si>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</si>
  <si>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</si>
  <si>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</si>
  <si>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</si>
  <si>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</si>
  <si>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</si>
  <si>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</si>
  <si>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</si>
  <si>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</si>
  <si>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</si>
  <si>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</si>
  <si>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</si>
  <si>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</si>
  <si>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</si>
  <si>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</si>
  <si>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</si>
  <si>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</si>
  <si>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</si>
  <si>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</si>
  <si>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</si>
  <si>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</si>
  <si>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</si>
  <si>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</si>
  <si>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</si>
  <si>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</si>
  <si>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</si>
  <si>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</si>
  <si>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</si>
  <si>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</si>
  <si>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</si>
  <si>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</si>
  <si>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</si>
  <si>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</si>
  <si>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</si>
  <si>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</si>
  <si>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</si>
  <si>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</si>
  <si>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</si>
  <si>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</si>
  <si>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</si>
  <si>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</si>
  <si>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</si>
  <si>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</si>
  <si>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</si>
  <si>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</si>
  <si>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</si>
  <si>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</si>
  <si>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</si>
  <si>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</si>
  <si>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</si>
  <si>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</si>
  <si>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</si>
  <si>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</si>
  <si>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</si>
  <si>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</si>
  <si>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</si>
  <si>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</si>
  <si>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</si>
  <si>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</si>
  <si>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</si>
  <si>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</si>
  <si>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</si>
  <si>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</si>
  <si>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</si>
  <si>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</si>
  <si>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</si>
  <si>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</si>
  <si>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</si>
  <si>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</si>
  <si>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</si>
  <si>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</si>
  <si>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</si>
  <si>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</si>
  <si>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</si>
  <si>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</si>
  <si>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</si>
  <si>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</si>
  <si>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</si>
  <si>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</si>
  <si>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</si>
  <si>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</si>
  <si>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</si>
  <si>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</si>
  <si>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</si>
  <si>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</si>
  <si>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</si>
  <si>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</si>
  <si>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</si>
  <si>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</si>
  <si>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</si>
  <si>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</si>
  <si>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</si>
  <si>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</si>
  <si>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</si>
  <si>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</si>
  <si>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</si>
  <si>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</si>
  <si>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</si>
  <si>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</si>
  <si>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</si>
  <si>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</si>
  <si>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</si>
  <si>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</si>
  <si>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</si>
  <si>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</si>
  <si>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</si>
  <si>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</si>
  <si>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</si>
  <si>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</si>
  <si>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</si>
  <si>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</si>
  <si>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</si>
  <si>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</si>
  <si>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</si>
  <si>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</si>
  <si>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</si>
  <si>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</si>
  <si>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</si>
  <si>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</si>
  <si>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</si>
  <si>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</si>
  <si>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</si>
  <si>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</si>
  <si>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</si>
  <si>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</si>
  <si>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</si>
  <si>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</si>
  <si>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</si>
  <si>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</si>
  <si>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</si>
  <si>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</si>
  <si>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</si>
  <si>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</si>
  <si>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</si>
  <si>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</si>
  <si>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</si>
  <si>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</si>
  <si>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</si>
  <si>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</si>
  <si>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</si>
  <si>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</si>
  <si>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</si>
  <si>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</si>
  <si>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</si>
  <si>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</si>
  <si>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</si>
  <si>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</si>
  <si>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</si>
  <si>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</si>
  <si>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</si>
  <si>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</si>
  <si>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</si>
  <si>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</si>
  <si>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</si>
  <si>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</si>
  <si>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</si>
  <si>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</si>
  <si>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</si>
  <si>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</si>
  <si>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</si>
  <si>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</si>
  <si>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</si>
  <si>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</si>
  <si>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</si>
  <si>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</si>
  <si>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</si>
  <si>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</si>
  <si>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</si>
  <si>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</si>
  <si>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</si>
  <si>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</si>
  <si>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</si>
  <si>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</si>
  <si>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</si>
  <si>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</si>
  <si>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</si>
  <si>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</si>
  <si>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</si>
  <si>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</si>
  <si>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</si>
  <si>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</si>
  <si>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</si>
  <si>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</si>
  <si>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</si>
  <si>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</si>
  <si>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</si>
  <si>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</si>
  <si>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</si>
  <si>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</si>
  <si>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</si>
  <si>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</si>
  <si>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</si>
  <si>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</si>
  <si>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</si>
  <si>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</si>
  <si>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</si>
  <si>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</si>
  <si>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</si>
  <si>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</si>
  <si>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</si>
  <si>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</si>
  <si>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</si>
  <si>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</si>
  <si>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</si>
  <si>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</si>
  <si>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</si>
  <si>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</si>
  <si>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</si>
  <si>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</si>
  <si>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</si>
  <si>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</si>
  <si>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</si>
  <si>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</si>
  <si>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</si>
  <si>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</si>
  <si>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</si>
  <si>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</si>
  <si>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</si>
  <si>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</si>
  <si>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</si>
  <si>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</si>
  <si>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</si>
  <si>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</si>
  <si>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</si>
  <si>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</si>
  <si>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</si>
  <si>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</si>
  <si>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</si>
  <si>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</si>
  <si>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</si>
  <si>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</si>
  <si>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</si>
  <si>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</si>
  <si>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</si>
  <si>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</si>
  <si>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</si>
  <si>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</si>
  <si>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</si>
  <si>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</si>
  <si>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</si>
  <si>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</si>
  <si>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</si>
  <si>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</si>
  <si>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</si>
  <si>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</si>
  <si>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</si>
  <si>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</si>
  <si>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</si>
  <si>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</si>
  <si>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</si>
  <si>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</si>
  <si>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</si>
  <si>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</si>
  <si>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</si>
  <si>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</si>
  <si>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</si>
  <si>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</si>
  <si>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</si>
  <si>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</si>
  <si>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</si>
  <si>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</si>
  <si>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</si>
  <si>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</si>
  <si>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</si>
  <si>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</si>
  <si>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</si>
  <si>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</si>
  <si>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</si>
  <si>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</si>
  <si>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</si>
  <si>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</si>
  <si>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</si>
  <si>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</si>
  <si>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</si>
  <si>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</si>
  <si>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</si>
  <si>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</si>
  <si>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</si>
  <si>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</si>
  <si>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</si>
  <si>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</si>
  <si>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</si>
  <si>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</si>
  <si>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</si>
  <si>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</si>
  <si>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</si>
  <si>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</si>
  <si>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</si>
  <si>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</si>
  <si>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</si>
  <si>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</si>
  <si>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</si>
  <si>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</si>
  <si>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</si>
  <si>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</si>
  <si>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</si>
  <si>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</si>
  <si>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</si>
  <si>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</si>
  <si>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</si>
  <si>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</si>
  <si>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</si>
  <si>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</si>
  <si>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</si>
  <si>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</si>
  <si>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</si>
  <si>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</si>
  <si>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</si>
  <si>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</si>
  <si>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</si>
  <si>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</si>
  <si>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</si>
  <si>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</si>
  <si>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</si>
  <si>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</si>
  <si>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</si>
  <si>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</si>
  <si>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</si>
  <si>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</si>
  <si>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</si>
  <si>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</si>
  <si>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</si>
  <si>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</si>
  <si>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</si>
  <si>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</si>
  <si>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</si>
  <si>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</si>
  <si>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</si>
  <si>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</si>
  <si>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</si>
  <si>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</si>
  <si>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</si>
  <si>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</si>
  <si>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</si>
  <si>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</si>
  <si>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</si>
  <si>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</si>
  <si>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</si>
  <si>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</si>
  <si>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</si>
  <si>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</si>
  <si>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</si>
  <si>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</si>
  <si>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</si>
  <si>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</si>
  <si>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</si>
  <si>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</si>
  <si>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</si>
  <si>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</si>
  <si>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</si>
  <si>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</si>
  <si>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</si>
  <si>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</si>
  <si>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</si>
  <si>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</si>
  <si>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</si>
  <si>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</si>
  <si>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</si>
  <si>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</si>
  <si>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</si>
  <si>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</si>
  <si>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</si>
  <si>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</si>
  <si>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</si>
  <si>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</si>
  <si>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</si>
  <si>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</si>
  <si>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</si>
  <si>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</si>
  <si>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</si>
  <si>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</si>
  <si>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</si>
  <si>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</si>
  <si>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</si>
  <si>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</si>
  <si>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</si>
  <si>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</si>
  <si>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</si>
  <si>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</si>
  <si>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</si>
  <si>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</si>
  <si>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</si>
  <si>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</si>
  <si>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</si>
  <si>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</si>
  <si>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</si>
  <si>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</si>
  <si>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</si>
  <si>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</si>
  <si>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</si>
  <si>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</si>
  <si>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</si>
  <si>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</si>
  <si>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</si>
  <si>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</si>
  <si>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</si>
  <si>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</si>
  <si>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</si>
  <si>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</si>
  <si>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</si>
  <si>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</si>
  <si>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</si>
  <si>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</si>
  <si>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</si>
  <si>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</si>
  <si>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</si>
  <si>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</si>
  <si>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</si>
  <si>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</si>
  <si>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</si>
  <si>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</si>
  <si>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</si>
  <si>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</si>
  <si>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</si>
  <si>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</si>
  <si>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</si>
  <si>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</si>
  <si>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</si>
  <si>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</si>
  <si>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</si>
  <si>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</si>
  <si>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</si>
  <si>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</si>
  <si>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</si>
  <si>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</si>
  <si>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</si>
  <si>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</si>
  <si>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</si>
  <si>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</si>
  <si>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</si>
  <si>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</si>
  <si>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</si>
  <si>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</si>
  <si>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</si>
  <si>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</si>
  <si>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</si>
  <si>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</si>
  <si>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</si>
  <si>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</si>
  <si>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</si>
  <si>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</si>
  <si>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</si>
  <si>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</si>
  <si>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</si>
  <si>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</si>
  <si>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</si>
  <si>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</si>
  <si>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</si>
  <si>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</si>
  <si>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</si>
  <si>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</si>
  <si>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</si>
  <si>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</si>
  <si>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</si>
  <si>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</si>
  <si>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</si>
  <si>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</si>
  <si>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</si>
  <si>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</si>
  <si>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</si>
  <si>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</si>
  <si>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</si>
  <si>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</si>
  <si>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</si>
  <si>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</si>
  <si>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</si>
  <si>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</si>
  <si>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</si>
  <si>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</si>
  <si>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</si>
  <si>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</si>
  <si>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</si>
  <si>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</si>
  <si>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</si>
  <si>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</si>
  <si>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</si>
  <si>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</si>
  <si>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</si>
  <si>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</si>
  <si>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</si>
  <si>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</si>
  <si>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</si>
  <si>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</si>
  <si>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</si>
  <si>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</si>
  <si>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</si>
  <si>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</si>
  <si>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</si>
  <si>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</si>
  <si>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</si>
  <si>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</si>
  <si>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</si>
  <si>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</si>
  <si>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</si>
  <si>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</si>
  <si>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</si>
  <si>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</si>
  <si>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</si>
  <si>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</si>
  <si>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</si>
  <si>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</si>
  <si>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</si>
  <si>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</si>
  <si>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</si>
  <si>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</si>
  <si>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</si>
  <si>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</si>
  <si>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</si>
  <si>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</si>
  <si>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</si>
  <si>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</si>
  <si>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</si>
  <si>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</si>
  <si>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</si>
  <si>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</si>
  <si>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</si>
  <si>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</si>
  <si>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</si>
  <si>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</si>
  <si>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</si>
  <si>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</si>
  <si>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</si>
  <si>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</si>
  <si>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</si>
  <si>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</si>
  <si>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</si>
  <si>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</si>
  <si>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</si>
  <si>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</si>
  <si>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</si>
  <si>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</si>
  <si>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</si>
  <si>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</si>
  <si>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</si>
  <si>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</si>
  <si>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</si>
  <si>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</si>
  <si>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</si>
  <si>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</si>
  <si>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</si>
  <si>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</si>
  <si>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</si>
  <si>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</si>
  <si>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</si>
  <si>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</si>
  <si>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</si>
  <si>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</si>
  <si>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</si>
  <si>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</si>
  <si>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</si>
  <si>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</si>
  <si>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</si>
  <si>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</si>
  <si>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</si>
  <si>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</si>
  <si>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</si>
  <si>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</si>
  <si>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</si>
  <si>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</si>
  <si>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</si>
  <si>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</si>
  <si>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</si>
  <si>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</si>
  <si>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</si>
  <si>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</si>
  <si>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</si>
  <si>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</si>
  <si>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</si>
  <si>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</si>
  <si>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</si>
  <si>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</si>
  <si>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</si>
  <si>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</si>
  <si>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</si>
  <si>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</si>
  <si>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</si>
  <si>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</si>
  <si>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</si>
  <si>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</si>
  <si>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</si>
  <si>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</si>
  <si>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</si>
  <si>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</si>
  <si>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</si>
  <si>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</si>
  <si>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</si>
  <si>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</si>
  <si>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</si>
  <si>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</si>
  <si>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</si>
  <si>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</si>
  <si>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</si>
  <si>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</si>
  <si>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</si>
  <si>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</si>
  <si>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</si>
  <si>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</si>
  <si>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</si>
  <si>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</si>
  <si>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</si>
  <si>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</si>
  <si>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</si>
  <si>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</si>
  <si>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</si>
  <si>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</si>
  <si>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</si>
  <si>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</si>
  <si>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</si>
  <si>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</si>
  <si>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</si>
  <si>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</si>
  <si>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</si>
  <si>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</si>
  <si>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</si>
  <si>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</si>
  <si>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</si>
  <si>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</si>
  <si>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</si>
  <si>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</si>
  <si>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</si>
  <si>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</si>
  <si>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</si>
  <si>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</si>
  <si>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</si>
  <si>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</si>
  <si>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</si>
  <si>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</si>
  <si>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</si>
  <si>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</si>
  <si>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</si>
  <si>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</si>
  <si>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</si>
  <si>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</si>
  <si>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</si>
  <si>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</si>
  <si>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</si>
  <si>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</si>
  <si>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</si>
  <si>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</si>
  <si>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</si>
  <si>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</si>
  <si>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</si>
  <si>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</si>
  <si>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</si>
  <si>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</si>
  <si>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</si>
  <si>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</si>
  <si>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</si>
  <si>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</si>
  <si>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</si>
  <si>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</si>
  <si>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</si>
  <si>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</si>
  <si>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</si>
  <si>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</si>
  <si>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</si>
  <si>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</si>
  <si>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</si>
  <si>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</si>
  <si>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</si>
  <si>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</si>
  <si>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</si>
  <si>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</si>
  <si>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</si>
  <si>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</si>
  <si>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</si>
  <si>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</si>
  <si>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</si>
  <si>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</si>
  <si>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</si>
  <si>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</si>
  <si>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</si>
  <si>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</si>
  <si>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</si>
  <si>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</si>
  <si>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</si>
  <si>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</si>
  <si>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</si>
  <si>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</si>
  <si>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</si>
  <si>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</si>
  <si>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</si>
  <si>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</si>
  <si>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</si>
  <si>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</si>
  <si>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</si>
  <si>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</si>
  <si>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</si>
  <si>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</si>
  <si>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</si>
  <si>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</si>
  <si>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</si>
  <si>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</si>
  <si>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</si>
  <si>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</si>
  <si>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</si>
  <si>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</si>
  <si>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</si>
  <si>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</si>
  <si>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</si>
  <si>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</si>
  <si>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</si>
  <si>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</si>
  <si>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</si>
  <si>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</si>
  <si>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</si>
  <si>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</si>
  <si>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</si>
  <si>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</si>
  <si>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</si>
  <si>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</si>
  <si>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</si>
  <si>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</si>
  <si>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</si>
  <si>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</si>
  <si>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</si>
  <si>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</si>
  <si>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</si>
  <si>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</si>
  <si>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</si>
  <si>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</si>
  <si>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</si>
  <si>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</si>
  <si>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</si>
  <si>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</si>
  <si>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</si>
  <si>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</si>
  <si>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</si>
  <si>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</si>
  <si>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</si>
  <si>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</si>
  <si>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</si>
  <si>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</si>
  <si>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</si>
  <si>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</si>
  <si>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</si>
  <si>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</si>
  <si>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</si>
  <si>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</si>
  <si>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</si>
  <si>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</si>
  <si>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</si>
  <si>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</si>
  <si>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</si>
  <si>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</si>
  <si>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</si>
  <si>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</si>
  <si>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</si>
  <si>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</si>
  <si>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</si>
  <si>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</si>
  <si>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</si>
  <si>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</si>
  <si>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</si>
  <si>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</si>
  <si>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</si>
  <si>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</si>
  <si>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</si>
  <si>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</si>
  <si>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</si>
  <si>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</si>
  <si>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</si>
  <si>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</si>
  <si>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</si>
  <si>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</si>
  <si>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</si>
  <si>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</si>
  <si>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</si>
  <si>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</si>
  <si>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</si>
  <si>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</si>
  <si>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</si>
  <si>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</si>
  <si>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</si>
  <si>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</si>
  <si>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</si>
  <si>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</si>
  <si>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</si>
  <si>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</si>
  <si>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</si>
  <si>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</si>
  <si>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</si>
  <si>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</si>
  <si>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</si>
  <si>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</si>
  <si>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</si>
  <si>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</si>
  <si>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</si>
  <si>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</si>
  <si>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</si>
  <si>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</si>
  <si>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</si>
  <si>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</si>
  <si>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</si>
  <si>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</si>
  <si>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</si>
  <si>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</si>
  <si>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</si>
  <si>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</si>
  <si>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</si>
  <si>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</si>
  <si>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</si>
  <si>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</si>
  <si>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</si>
  <si>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</si>
  <si>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</si>
  <si>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</si>
  <si>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</si>
  <si>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</si>
  <si>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</si>
  <si>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</si>
  <si>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</si>
  <si>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</si>
  <si>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</si>
  <si>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</si>
  <si>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</si>
  <si>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</si>
  <si>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</si>
  <si>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</si>
  <si>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</si>
  <si>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</si>
  <si>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</si>
  <si>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</si>
  <si>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</si>
  <si>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</si>
  <si>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</si>
  <si>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</si>
  <si>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</si>
  <si>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</si>
  <si>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</si>
  <si>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</si>
  <si>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</si>
  <si>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</si>
  <si>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</si>
  <si>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</si>
  <si>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</si>
  <si>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</si>
  <si>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</si>
  <si>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</si>
  <si>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</si>
  <si>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</si>
  <si>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</si>
  <si>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</si>
  <si>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</si>
  <si>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</si>
  <si>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</si>
  <si>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</si>
  <si>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</si>
  <si>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</si>
  <si>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</si>
  <si>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</si>
  <si>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</si>
  <si>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</si>
  <si>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</si>
  <si>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</si>
  <si>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</si>
  <si>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</si>
  <si>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</si>
  <si>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</si>
  <si>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</si>
  <si>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</si>
  <si>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</si>
  <si>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</si>
  <si>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</si>
  <si>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</si>
  <si>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</si>
  <si>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</si>
  <si>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</si>
  <si>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</si>
  <si>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</si>
  <si>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</si>
  <si>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</si>
  <si>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</si>
  <si>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</si>
  <si>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</si>
  <si>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</si>
  <si>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</si>
  <si>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</si>
  <si>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</si>
  <si>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</si>
  <si>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</si>
  <si>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</si>
  <si>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</si>
  <si>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</si>
  <si>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</si>
  <si>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</si>
  <si>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</si>
  <si>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</si>
  <si>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</si>
  <si>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</si>
  <si>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</si>
  <si>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</si>
  <si>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</si>
  <si>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</si>
  <si>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</si>
  <si>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</si>
  <si>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</si>
  <si>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</si>
  <si>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</si>
  <si>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</si>
  <si>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</si>
  <si>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</si>
  <si>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</si>
  <si>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</si>
  <si>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</si>
  <si>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</si>
  <si>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</si>
  <si>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</si>
  <si>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</si>
  <si>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</si>
  <si>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</si>
  <si>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</si>
  <si>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</si>
  <si>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</si>
  <si>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</si>
  <si>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</si>
  <si>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</si>
  <si>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</si>
  <si>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</si>
  <si>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</si>
  <si>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</si>
  <si>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</si>
  <si>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</si>
  <si>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</si>
  <si>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</si>
  <si>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</si>
  <si>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</si>
  <si>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</si>
  <si>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</si>
  <si>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</si>
  <si>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</si>
  <si>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</si>
  <si>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</si>
  <si>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</si>
  <si>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</si>
  <si>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</si>
  <si>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</si>
  <si>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</si>
  <si>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</si>
  <si>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</si>
  <si>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</si>
  <si>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</si>
  <si>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</si>
  <si>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</si>
  <si>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</si>
  <si>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</si>
  <si>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</si>
  <si>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</si>
  <si>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</si>
  <si>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</si>
  <si>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</si>
  <si>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</si>
  <si>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</si>
  <si>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</si>
  <si>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</si>
  <si>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</si>
  <si>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</si>
  <si>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</si>
  <si>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</si>
  <si>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</si>
  <si>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</si>
  <si>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</si>
  <si>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</si>
  <si>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</si>
  <si>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</si>
  <si>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</si>
  <si>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</si>
  <si>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</si>
  <si>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</si>
  <si>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</si>
  <si>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</si>
  <si>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</si>
  <si>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</si>
  <si>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</si>
  <si>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</si>
  <si>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</si>
  <si>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</si>
  <si>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</si>
  <si>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</si>
  <si>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</si>
  <si>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</si>
  <si>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</si>
  <si>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</si>
  <si>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</si>
  <si>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</si>
  <si>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</si>
  <si>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</si>
  <si>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</si>
  <si>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</si>
  <si>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</si>
  <si>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</si>
  <si>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</si>
  <si>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</si>
  <si>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</si>
  <si>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</si>
  <si>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</si>
  <si>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</si>
  <si>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</si>
  <si>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</si>
  <si>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</si>
  <si>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</si>
  <si>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</si>
  <si>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</si>
  <si>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</si>
  <si>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</si>
  <si>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</si>
  <si>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</si>
  <si>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</si>
  <si>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</si>
  <si>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</si>
  <si>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</si>
  <si>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</si>
  <si>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</si>
  <si>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</si>
  <si>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</si>
  <si>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</si>
  <si>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</si>
  <si>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</si>
  <si>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</si>
  <si>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</si>
  <si>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</si>
  <si>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</si>
  <si>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</si>
  <si>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</si>
  <si>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</si>
  <si>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</si>
  <si>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</si>
  <si>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</si>
  <si>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</si>
  <si>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</si>
  <si>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</si>
  <si>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</si>
  <si>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</si>
  <si>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</si>
  <si>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</si>
  <si>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</si>
  <si>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</si>
  <si>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</si>
  <si>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</si>
  <si>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</si>
  <si>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</si>
  <si>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</si>
  <si>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</si>
  <si>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</si>
  <si>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</si>
  <si>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</si>
  <si>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</si>
  <si>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</si>
  <si>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</si>
  <si>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</si>
  <si>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</si>
  <si>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</si>
  <si>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</si>
  <si>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</si>
  <si>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</si>
  <si>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</si>
  <si>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</si>
  <si>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</si>
  <si>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</si>
  <si>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</si>
  <si>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</si>
  <si>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</si>
  <si>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</si>
  <si>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</si>
  <si>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</si>
  <si>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</si>
  <si>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</si>
  <si>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</si>
  <si>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</si>
  <si>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</si>
  <si>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</si>
  <si>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</si>
  <si>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</si>
  <si>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</si>
  <si>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</si>
  <si>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</si>
  <si>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</si>
  <si>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</si>
  <si>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</si>
  <si>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</si>
  <si>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</si>
  <si>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</si>
  <si>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</si>
  <si>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</si>
  <si>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</si>
  <si>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</si>
  <si>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</si>
  <si>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</si>
  <si>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</si>
  <si>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</si>
  <si>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</si>
  <si>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</si>
  <si>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</si>
  <si>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</si>
  <si>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</si>
  <si>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</si>
  <si>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</si>
  <si>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</si>
  <si>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</si>
  <si>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</si>
  <si>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</si>
  <si>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</si>
  <si>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</si>
  <si>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</si>
  <si>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</si>
  <si>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</si>
  <si>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</si>
  <si>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</si>
  <si>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</si>
  <si>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</si>
  <si>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</si>
  <si>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</si>
  <si>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</si>
  <si>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</si>
  <si>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</si>
  <si>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</si>
  <si>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</si>
  <si>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</si>
  <si>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</si>
  <si>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</si>
  <si>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</si>
  <si>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</si>
  <si>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</si>
  <si>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</si>
  <si>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</si>
  <si>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</si>
  <si>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</si>
  <si>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</si>
  <si>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</si>
  <si>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</si>
  <si>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</si>
  <si>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</si>
  <si>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</si>
  <si>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</si>
  <si>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</si>
  <si>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</si>
  <si>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</si>
  <si>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</si>
  <si>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</si>
  <si>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</si>
  <si>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</si>
  <si>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</si>
  <si>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</si>
  <si>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</si>
  <si>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</si>
  <si>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</si>
  <si>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</si>
  <si>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</si>
  <si>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</si>
  <si>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</si>
  <si>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</si>
  <si>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</si>
  <si>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</si>
  <si>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</si>
  <si>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</si>
  <si>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</si>
  <si>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</si>
  <si>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</si>
  <si>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</si>
  <si>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</si>
  <si>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</si>
  <si>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</si>
  <si>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</si>
  <si>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</si>
  <si>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</si>
  <si>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</si>
  <si>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</si>
  <si>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</si>
  <si>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</si>
  <si>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</si>
  <si>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</si>
  <si>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</si>
  <si>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</si>
  <si>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</si>
  <si>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</si>
  <si>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</si>
  <si>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</si>
  <si>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</si>
  <si>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</si>
  <si>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</si>
  <si>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</si>
  <si>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</si>
  <si>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</si>
  <si>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</si>
  <si>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</si>
  <si>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</si>
  <si>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</si>
  <si>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</si>
  <si>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</si>
  <si>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</si>
  <si>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</si>
  <si>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</si>
  <si>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</si>
  <si>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</si>
  <si>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</si>
  <si>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</si>
  <si>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</si>
  <si>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</si>
  <si>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</si>
  <si>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</si>
  <si>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</si>
  <si>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</si>
  <si>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</si>
  <si>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</si>
  <si>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</si>
  <si>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</si>
  <si>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</si>
  <si>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</si>
  <si>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</si>
  <si>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</si>
  <si>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</si>
  <si>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</si>
  <si>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</si>
  <si>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</si>
  <si>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</si>
  <si>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</si>
  <si>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</si>
  <si>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</si>
  <si>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</si>
  <si>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</si>
  <si>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</si>
  <si>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</si>
  <si>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</si>
  <si>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</si>
  <si>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</si>
  <si>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</si>
  <si>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</si>
  <si>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</si>
  <si>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</si>
  <si>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</si>
  <si>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</si>
  <si>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</si>
  <si>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</si>
  <si>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</si>
  <si>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</si>
  <si>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</si>
  <si>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</si>
  <si>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</si>
  <si>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</si>
  <si>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</si>
  <si>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</si>
  <si>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</si>
  <si>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</si>
  <si>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</si>
  <si>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</si>
  <si>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</si>
  <si>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</si>
  <si>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</si>
  <si>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</si>
  <si>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</si>
  <si>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</si>
  <si>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</si>
  <si>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</si>
  <si>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</si>
  <si>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</si>
  <si>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</si>
  <si>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</si>
  <si>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</si>
  <si>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</si>
  <si>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</si>
  <si>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</si>
  <si>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</si>
  <si>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</si>
  <si>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</si>
  <si>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</si>
  <si>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</si>
  <si>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</si>
  <si>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</si>
  <si>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</si>
  <si>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</si>
  <si>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</si>
  <si>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</si>
  <si>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</si>
  <si>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</si>
  <si>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</si>
  <si>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</si>
  <si>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</si>
  <si>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</si>
  <si>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</si>
  <si>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</si>
  <si>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</si>
  <si>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</si>
  <si>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</si>
  <si>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</si>
  <si>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</si>
  <si>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</si>
  <si>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</si>
  <si>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</si>
  <si>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</si>
  <si>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</si>
  <si>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</si>
  <si>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</si>
  <si>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</si>
  <si>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</si>
  <si>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</si>
  <si>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</si>
  <si>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</si>
  <si>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</si>
  <si>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</si>
  <si>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</si>
  <si>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</si>
  <si>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</si>
  <si>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</si>
  <si>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</si>
  <si>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</si>
  <si>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</si>
  <si>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</si>
  <si>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</si>
  <si>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</si>
  <si>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</si>
  <si>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</si>
  <si>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</si>
  <si>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</si>
  <si>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</si>
  <si>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</si>
  <si>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</si>
  <si>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</si>
  <si>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</si>
  <si>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</si>
  <si>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</si>
  <si>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</si>
  <si>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</si>
  <si>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</si>
  <si>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</si>
  <si>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</si>
  <si>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</si>
  <si>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</si>
  <si>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</si>
  <si>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</si>
  <si>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</si>
  <si>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</si>
  <si>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</si>
  <si>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</si>
  <si>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</si>
  <si>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</si>
  <si>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</si>
  <si>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</si>
  <si>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</si>
  <si>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</si>
  <si>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</si>
  <si>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</si>
  <si>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</si>
  <si>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</si>
  <si>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</si>
  <si>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</si>
  <si>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</si>
  <si>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</si>
  <si>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</si>
  <si>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</si>
  <si>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</si>
  <si>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</si>
  <si>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</si>
  <si>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</si>
  <si>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</si>
  <si>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</si>
  <si>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</si>
  <si>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</si>
  <si>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</si>
  <si>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</si>
  <si>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</si>
  <si>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</si>
  <si>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</si>
  <si>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</si>
  <si>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</si>
  <si>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</si>
  <si>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</si>
  <si>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</si>
  <si>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</si>
  <si>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</si>
  <si>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</si>
  <si>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</si>
  <si>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</si>
  <si>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</si>
  <si>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</si>
  <si>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</si>
  <si>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</si>
  <si>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</si>
  <si>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</si>
  <si>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</si>
  <si>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</si>
  <si>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</si>
  <si>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</si>
  <si>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</si>
  <si>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</si>
  <si>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</si>
  <si>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</si>
  <si>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</si>
  <si>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</si>
  <si>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</si>
  <si>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</si>
  <si>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</si>
  <si>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</si>
  <si>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</si>
  <si>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</si>
  <si>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</si>
  <si>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</si>
  <si>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</si>
  <si>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</si>
  <si>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</si>
  <si>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</si>
  <si>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</si>
  <si>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</si>
  <si>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</si>
  <si>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</si>
  <si>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</si>
  <si>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</si>
  <si>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</si>
  <si>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</si>
  <si>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</si>
  <si>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</si>
  <si>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</si>
  <si>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</si>
  <si>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</si>
  <si>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</si>
  <si>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</si>
  <si>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</si>
  <si>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</si>
  <si>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</si>
  <si>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</si>
  <si>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</si>
  <si>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</si>
  <si>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</si>
  <si>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</si>
  <si>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</si>
  <si>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</si>
  <si>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</si>
  <si>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</si>
  <si>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</si>
  <si>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</si>
  <si>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</si>
  <si>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</si>
  <si>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</si>
  <si>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</si>
  <si>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</si>
  <si>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</si>
  <si>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</si>
  <si>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</si>
  <si>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</si>
  <si>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</si>
  <si>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</si>
  <si>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</si>
  <si>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</si>
  <si>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</si>
  <si>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</si>
  <si>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</si>
  <si>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</si>
  <si>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</si>
  <si>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</si>
  <si>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</si>
  <si>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</si>
  <si>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</si>
  <si>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</si>
  <si>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</si>
  <si>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</si>
  <si>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</si>
  <si>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</si>
  <si>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</si>
  <si>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</si>
  <si>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</si>
  <si>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</si>
  <si>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</si>
  <si>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</si>
  <si>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</si>
  <si>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</si>
  <si>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</si>
  <si>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</si>
  <si>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</si>
  <si>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</si>
  <si>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</si>
  <si>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</si>
  <si>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</si>
  <si>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</si>
  <si>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</si>
  <si>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</si>
  <si>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</si>
  <si>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</si>
  <si>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</si>
  <si>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</si>
  <si>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</si>
  <si>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</si>
  <si>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</si>
  <si>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</si>
  <si>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</si>
  <si>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</si>
  <si>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</si>
  <si>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</si>
  <si>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</si>
  <si>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</si>
  <si>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</si>
  <si>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</si>
  <si>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</si>
  <si>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</si>
  <si>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</si>
  <si>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</si>
  <si>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</si>
  <si>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</si>
  <si>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</si>
  <si>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</si>
  <si>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</si>
  <si>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</si>
  <si>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</si>
  <si>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</si>
  <si>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</si>
  <si>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</si>
  <si>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</si>
  <si>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</si>
  <si>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</si>
  <si>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</si>
  <si>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</si>
  <si>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</si>
  <si>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</si>
  <si>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</si>
  <si>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</si>
  <si>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</si>
  <si>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</si>
  <si>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</si>
  <si>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</si>
  <si>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</si>
  <si>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</si>
  <si>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</si>
  <si>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</si>
  <si>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</si>
  <si>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</si>
  <si>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</si>
  <si>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</si>
  <si>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</si>
  <si>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</si>
  <si>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</si>
  <si>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</si>
  <si>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</si>
  <si>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</si>
  <si>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</si>
  <si>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</si>
  <si>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</si>
  <si>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</si>
  <si>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</si>
  <si>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</si>
  <si>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</si>
  <si>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</si>
  <si>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</si>
  <si>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</si>
  <si>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</si>
  <si>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</si>
  <si>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</si>
  <si>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</si>
  <si>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</si>
  <si>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</si>
  <si>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</si>
  <si>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</si>
  <si>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</si>
  <si>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</si>
  <si>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</si>
  <si>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</si>
  <si>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</si>
  <si>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</si>
  <si>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</si>
  <si>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</si>
  <si>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</si>
  <si>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</si>
  <si>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</si>
  <si>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</si>
  <si>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</si>
  <si>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</si>
  <si>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</si>
  <si>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</si>
  <si>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</si>
  <si>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</si>
  <si>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</si>
  <si>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</si>
  <si>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</si>
  <si>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</si>
  <si>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</si>
  <si>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</si>
  <si>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</si>
  <si>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</si>
  <si>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</si>
  <si>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</si>
  <si>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</si>
  <si>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</si>
  <si>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</si>
  <si>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</si>
  <si>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</si>
  <si>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</si>
  <si>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</si>
  <si>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</si>
  <si>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</si>
  <si>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</si>
  <si>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</si>
  <si>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</si>
  <si>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</si>
  <si>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</si>
  <si>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</si>
  <si>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</si>
  <si>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</si>
  <si>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</si>
  <si>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</si>
  <si>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</si>
  <si>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</si>
  <si>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</si>
  <si>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</si>
  <si>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</si>
  <si>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</si>
  <si>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</si>
  <si>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</si>
  <si>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</si>
  <si>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</si>
  <si>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</si>
  <si>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</si>
  <si>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</si>
  <si>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</si>
  <si>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</si>
  <si>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</si>
  <si>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</si>
  <si>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</si>
  <si>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</si>
  <si>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</si>
  <si>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</si>
  <si>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</si>
  <si>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</si>
  <si>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</si>
  <si>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</si>
  <si>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</si>
  <si>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</si>
  <si>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</si>
  <si>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</si>
  <si>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</si>
  <si>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</si>
  <si>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</si>
  <si>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</si>
  <si>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</si>
  <si>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</si>
  <si>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</si>
  <si>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</si>
  <si>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</si>
  <si>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</si>
  <si>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</si>
  <si>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</si>
  <si>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</si>
  <si>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</si>
  <si>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</si>
  <si>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</si>
  <si>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</si>
  <si>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</si>
  <si>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</si>
  <si>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</si>
  <si>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</si>
  <si>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</si>
  <si>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</si>
  <si>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</si>
  <si>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</si>
  <si>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</si>
  <si>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</si>
  <si>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</si>
  <si>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</si>
  <si>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</si>
  <si>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</si>
  <si>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</si>
  <si>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</si>
  <si>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</si>
  <si>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</si>
  <si>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</si>
  <si>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</si>
  <si>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</si>
  <si>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</si>
  <si>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</si>
  <si>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</si>
  <si>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</si>
  <si>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</si>
  <si>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</si>
  <si>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</si>
  <si>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</si>
  <si>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</si>
  <si>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</si>
  <si>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</si>
  <si>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</si>
  <si>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</si>
  <si>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</si>
  <si>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</si>
  <si>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</si>
  <si>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</si>
  <si>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</si>
  <si>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</si>
  <si>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</si>
  <si>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</si>
  <si>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</si>
  <si>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</si>
  <si>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</si>
  <si>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</si>
  <si>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</si>
  <si>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</si>
  <si>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</si>
  <si>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</si>
  <si>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</si>
  <si>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</si>
  <si>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</si>
  <si>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</si>
  <si>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</si>
  <si>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</si>
  <si>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</si>
  <si>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</si>
  <si>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</si>
  <si>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</si>
  <si>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</si>
  <si>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</si>
  <si>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</si>
  <si>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</si>
  <si>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</si>
  <si>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</si>
  <si>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</si>
  <si>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</si>
  <si>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</si>
  <si>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</si>
  <si>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</si>
  <si>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</si>
  <si>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</si>
  <si>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</si>
  <si>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</si>
  <si>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</si>
  <si>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</si>
  <si>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</si>
  <si>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</si>
  <si>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</si>
  <si>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</si>
  <si>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</si>
  <si>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</si>
  <si>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</si>
  <si>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</si>
  <si>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</si>
  <si>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</si>
  <si>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</si>
  <si>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</si>
  <si>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</si>
  <si>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</si>
  <si>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</si>
  <si>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</si>
  <si>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</si>
  <si>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</si>
  <si>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</si>
  <si>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</si>
  <si>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</si>
  <si>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</si>
  <si>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</si>
  <si>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</si>
  <si>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</si>
  <si>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</si>
  <si>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</si>
  <si>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</si>
  <si>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</si>
  <si>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</si>
  <si>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</si>
  <si>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</si>
  <si>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</si>
  <si>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</si>
  <si>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</si>
  <si>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</si>
  <si>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</si>
  <si>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</si>
  <si>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</si>
  <si>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</si>
  <si>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</si>
  <si>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</si>
  <si>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</si>
  <si>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</si>
  <si>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</si>
  <si>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</si>
  <si>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</si>
  <si>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</si>
  <si>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</si>
  <si>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</si>
  <si>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</si>
  <si>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</si>
  <si>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</si>
  <si>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</si>
  <si>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</si>
  <si>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</si>
  <si>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</si>
  <si>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</si>
  <si>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</si>
  <si>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</si>
  <si>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</si>
  <si>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</si>
  <si>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</si>
  <si>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</si>
  <si>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</si>
  <si>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</si>
  <si>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</si>
  <si>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</si>
  <si>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</si>
  <si>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</si>
  <si>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</si>
  <si>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</si>
  <si>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</si>
  <si>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</si>
  <si>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</si>
  <si>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</si>
  <si>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</si>
  <si>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</si>
  <si>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</si>
  <si>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</si>
  <si>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</si>
  <si>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</si>
  <si>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</si>
  <si>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</si>
  <si>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</si>
  <si>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</si>
  <si>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</si>
  <si>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</si>
  <si>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</si>
  <si>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</si>
  <si>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</si>
  <si>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</si>
  <si>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</si>
  <si>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</si>
  <si>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</si>
  <si>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</si>
  <si>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</si>
  <si>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</si>
  <si>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</si>
  <si>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</si>
  <si>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</si>
  <si>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</si>
  <si>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</si>
  <si>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</si>
  <si>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</si>
  <si>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</si>
  <si>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</si>
  <si>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</si>
  <si>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</si>
  <si>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</si>
  <si>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</si>
  <si>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</si>
  <si>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</si>
  <si>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</si>
  <si>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</si>
  <si>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</si>
  <si>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</si>
  <si>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</si>
  <si>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</si>
  <si>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</si>
  <si>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</si>
  <si>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</si>
  <si>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</si>
  <si>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</si>
  <si>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</si>
  <si>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</si>
  <si>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</si>
  <si>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</si>
  <si>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</si>
  <si>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</si>
  <si>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</si>
  <si>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</si>
  <si>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</si>
  <si>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</si>
  <si>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</si>
  <si>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</si>
  <si>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</si>
  <si>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</si>
  <si>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</si>
  <si>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</si>
  <si>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</si>
  <si>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</si>
  <si>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</si>
  <si>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</si>
  <si>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</si>
  <si>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</si>
  <si>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</si>
  <si>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</si>
  <si>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</si>
  <si>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</si>
  <si>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</si>
  <si>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</si>
  <si>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</si>
  <si>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</si>
  <si>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</si>
  <si>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</si>
  <si>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</si>
  <si>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</si>
  <si>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</si>
  <si>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</si>
  <si>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</si>
  <si>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</si>
  <si>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</si>
  <si>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</si>
  <si>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</si>
  <si>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</si>
  <si>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</si>
  <si>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</si>
  <si>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</si>
  <si>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</si>
  <si>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</si>
  <si>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</si>
  <si>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</si>
  <si>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</si>
  <si>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</si>
  <si>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</si>
  <si>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</si>
  <si>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</si>
  <si>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</si>
  <si>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</si>
  <si>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</si>
  <si>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</si>
  <si>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</si>
  <si>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</si>
  <si>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</si>
  <si>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</si>
  <si>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</si>
  <si>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</si>
  <si>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</si>
  <si>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</si>
  <si>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</si>
  <si>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</si>
  <si>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</si>
  <si>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</si>
  <si>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</si>
  <si>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</si>
  <si>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</si>
  <si>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</si>
  <si>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</si>
  <si>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</si>
  <si>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</si>
  <si>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</si>
  <si>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</si>
  <si>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</si>
  <si>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</si>
  <si>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</si>
  <si>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</si>
  <si>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</si>
  <si>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</si>
  <si>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</si>
  <si>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</si>
  <si>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</si>
  <si>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</si>
  <si>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</si>
  <si>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</si>
  <si>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</si>
  <si>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</si>
  <si>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</si>
  <si>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</si>
  <si>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</si>
  <si>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</si>
  <si>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</si>
  <si>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</si>
  <si>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</si>
  <si>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</si>
  <si>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</si>
  <si>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</si>
  <si>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</si>
  <si>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</si>
  <si>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</si>
  <si>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</si>
  <si>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</si>
  <si>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</si>
  <si>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</si>
  <si>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</si>
  <si>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</si>
  <si>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</si>
  <si>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</si>
  <si>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</si>
  <si>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</si>
  <si>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</si>
  <si>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</si>
  <si>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</si>
  <si>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</si>
  <si>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</si>
  <si>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</si>
  <si>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</si>
  <si>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</si>
  <si>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</si>
  <si>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</si>
  <si>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</si>
  <si>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</si>
  <si>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</si>
  <si>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</si>
  <si>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</si>
  <si>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</si>
  <si>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</si>
  <si>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</si>
  <si>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</si>
  <si>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</si>
  <si>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</si>
  <si>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</si>
  <si>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</si>
  <si>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</si>
  <si>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</si>
  <si>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</si>
  <si>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</si>
  <si>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</si>
  <si>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</si>
  <si>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</si>
  <si>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</si>
  <si>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</si>
  <si>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</si>
  <si>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</si>
  <si>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</si>
  <si>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</si>
  <si>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</si>
  <si>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</si>
  <si>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</si>
  <si>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</si>
  <si>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</si>
  <si>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</si>
  <si>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</si>
  <si>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</si>
  <si>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</si>
  <si>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</si>
  <si>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</si>
  <si>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</si>
  <si>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</si>
  <si>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</si>
  <si>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</si>
  <si>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</si>
  <si>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</si>
  <si>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</si>
  <si>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</si>
  <si>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</si>
  <si>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</si>
  <si>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</si>
  <si>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</si>
  <si>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</si>
  <si>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</si>
  <si>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</si>
  <si>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</si>
  <si>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</si>
  <si>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</si>
  <si>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</si>
  <si>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</si>
  <si>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</si>
  <si>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</si>
  <si>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</si>
  <si>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</si>
  <si>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</si>
  <si>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</si>
  <si>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</si>
  <si>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</si>
  <si>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</si>
  <si>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</si>
  <si>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</si>
  <si>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</si>
  <si>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</si>
  <si>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</si>
  <si>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</si>
  <si>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</si>
  <si>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</si>
  <si>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</si>
  <si>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</si>
  <si>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</si>
  <si>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</si>
  <si>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</si>
  <si>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</si>
  <si>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</si>
  <si>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</si>
  <si>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</si>
  <si>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</si>
  <si>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</si>
  <si>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</si>
  <si>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</si>
  <si>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</si>
  <si>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</si>
  <si>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</si>
  <si>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</si>
  <si>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</si>
  <si>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</si>
  <si>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</si>
  <si>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</si>
  <si>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</si>
  <si>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</si>
  <si>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</si>
  <si>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</si>
  <si>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</si>
  <si>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</si>
  <si>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</si>
  <si>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</si>
  <si>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</si>
  <si>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</si>
  <si>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</si>
  <si>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</si>
  <si>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</si>
  <si>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</si>
  <si>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</si>
  <si>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</si>
  <si>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</si>
  <si>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</si>
  <si>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</si>
  <si>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</si>
  <si>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</si>
  <si>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</si>
  <si>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</si>
  <si>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</si>
  <si>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</si>
  <si>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</si>
  <si>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</si>
  <si>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</si>
  <si>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</si>
  <si>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</si>
  <si>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</si>
  <si>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</si>
  <si>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</si>
  <si>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</si>
  <si>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</si>
  <si>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</si>
  <si>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</si>
  <si>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</si>
  <si>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</si>
  <si>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</si>
  <si>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</si>
  <si>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</si>
  <si>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</si>
  <si>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</si>
  <si>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</si>
  <si>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</si>
  <si>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</si>
  <si>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</si>
  <si>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</si>
  <si>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</si>
  <si>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</si>
  <si>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</si>
  <si>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</si>
  <si>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</si>
  <si>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</si>
  <si>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</si>
  <si>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</si>
  <si>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</si>
  <si>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</si>
  <si>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</si>
  <si>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</si>
  <si>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</si>
  <si>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</si>
  <si>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</si>
  <si>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</si>
  <si>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</si>
  <si>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</si>
  <si>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</si>
  <si>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</si>
  <si>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</si>
  <si>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</si>
  <si>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</si>
  <si>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</si>
  <si>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</si>
  <si>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</si>
  <si>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</si>
  <si>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</si>
  <si>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</si>
  <si>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</si>
  <si>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</si>
  <si>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</si>
  <si>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</si>
  <si>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</si>
  <si>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</si>
  <si>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</si>
  <si>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</si>
  <si>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</si>
  <si>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</si>
  <si>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</si>
  <si>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</si>
  <si>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</si>
  <si>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</si>
  <si>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</si>
  <si>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</si>
  <si>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</si>
  <si>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</si>
  <si>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</si>
  <si>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</si>
  <si>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</si>
  <si>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</si>
  <si>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</si>
  <si>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</si>
  <si>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</si>
  <si>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</si>
  <si>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</si>
  <si>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</si>
  <si>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</si>
  <si>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</si>
  <si>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</si>
  <si>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</si>
  <si>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</si>
  <si>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</si>
  <si>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</si>
  <si>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</si>
  <si>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</si>
  <si>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</si>
  <si>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</si>
  <si>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</si>
  <si>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</si>
  <si>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</si>
  <si>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</si>
  <si>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</si>
  <si>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</si>
  <si>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</si>
  <si>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</si>
  <si>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</si>
  <si>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</si>
  <si>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</si>
  <si>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</si>
  <si>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</si>
  <si>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</si>
  <si>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</si>
  <si>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</si>
  <si>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</si>
  <si>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</si>
  <si>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</si>
  <si>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</si>
  <si>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</si>
  <si>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</si>
  <si>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</si>
  <si>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</si>
  <si>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</si>
  <si>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</si>
  <si>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</si>
  <si>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</si>
  <si>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</si>
  <si>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</si>
  <si>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</si>
  <si>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</si>
  <si>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</si>
  <si>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</si>
  <si>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</si>
  <si>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</si>
  <si>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</si>
  <si>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</si>
  <si>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</si>
  <si>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</si>
  <si>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</si>
  <si>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</si>
  <si>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</si>
  <si>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</si>
  <si>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</si>
  <si>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</si>
  <si>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</si>
  <si>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</si>
  <si>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</si>
  <si>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</si>
  <si>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</si>
  <si>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</si>
  <si>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</si>
  <si>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</si>
  <si>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</si>
  <si>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</si>
  <si>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</si>
  <si>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</si>
  <si>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</si>
  <si>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</si>
  <si>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</si>
  <si>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</si>
  <si>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</si>
  <si>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</si>
  <si>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</si>
  <si>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</si>
  <si>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</si>
  <si>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</si>
  <si>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</si>
  <si>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</si>
  <si>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</si>
  <si>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</si>
  <si>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</si>
  <si>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</si>
  <si>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</si>
  <si>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</si>
  <si>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</si>
  <si>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</si>
  <si>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</si>
  <si>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</si>
  <si>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</si>
  <si>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</si>
  <si>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</si>
  <si>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</si>
  <si>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</si>
  <si>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</si>
  <si>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</si>
  <si>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</si>
  <si>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</si>
  <si>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</si>
  <si>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</si>
  <si>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</si>
  <si>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</si>
  <si>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</si>
  <si>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</si>
  <si>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</si>
  <si>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</si>
  <si>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</si>
  <si>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</si>
  <si>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</si>
  <si>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</si>
  <si>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</si>
  <si>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</si>
  <si>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</si>
  <si>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</si>
  <si>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</si>
  <si>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</si>
  <si>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</si>
  <si>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</si>
  <si>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</si>
  <si>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</si>
  <si>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</si>
  <si>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</si>
  <si>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</si>
  <si>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</si>
  <si>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</si>
  <si>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</si>
  <si>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</si>
  <si>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</si>
  <si>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</si>
  <si>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</si>
  <si>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</si>
  <si>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</si>
  <si>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</si>
  <si>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</si>
  <si>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</si>
  <si>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</si>
  <si>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</si>
  <si>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</si>
  <si>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</si>
  <si>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</si>
  <si>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</si>
  <si>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</si>
  <si>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</si>
  <si>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</si>
  <si>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</si>
  <si>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</si>
  <si>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</si>
  <si>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</si>
  <si>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</si>
  <si>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</si>
  <si>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</si>
  <si>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</si>
  <si>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</si>
  <si>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</si>
  <si>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</si>
  <si>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</si>
  <si>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</si>
  <si>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</si>
  <si>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</si>
  <si>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</si>
  <si>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</si>
  <si>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</si>
  <si>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</si>
  <si>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</si>
  <si>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</si>
  <si>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</si>
  <si>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</si>
  <si>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</si>
  <si>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</si>
  <si>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</si>
  <si>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</si>
  <si>
    <t>单套模式</t>
  </si>
  <si>
    <t>售价</t>
  </si>
  <si>
    <t>正常</t>
  </si>
  <si>
    <t>商务办公</t>
    <phoneticPr fontId="31" type="noConversion"/>
  </si>
  <si>
    <r>
      <t>30-35</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</si>
  <si>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</si>
  <si>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</si>
  <si>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</si>
  <si>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</si>
  <si>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</si>
  <si>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</si>
  <si>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</si>
  <si>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</si>
  <si>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</si>
  <si>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</si>
  <si>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</si>
  <si>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</si>
  <si>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</si>
  <si>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</si>
  <si>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</si>
  <si>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</si>
  <si>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</si>
  <si>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</si>
  <si>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</si>
  <si>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</si>
  <si>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</si>
  <si>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</si>
  <si>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</si>
  <si>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</si>
  <si>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</si>
  <si>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</si>
  <si>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</si>
  <si>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</si>
  <si>
    <t>七通</t>
    <phoneticPr fontId="31" type="noConversion"/>
  </si>
  <si>
    <t>六通</t>
    <phoneticPr fontId="31" type="noConversion"/>
  </si>
  <si>
    <t>五通</t>
    <phoneticPr fontId="31" type="noConversion"/>
  </si>
  <si>
    <r>
      <rPr>
        <sz val="11"/>
        <rFont val="宋体"/>
        <family val="3"/>
        <charset val="134"/>
      </rPr>
      <t>约</t>
    </r>
    <r>
      <rPr>
        <sz val="11"/>
        <rFont val="Arial"/>
        <family val="2"/>
      </rPr>
      <t>5.05</t>
    </r>
    <r>
      <rPr>
        <sz val="11"/>
        <rFont val="宋体"/>
        <family val="3"/>
        <charset val="134"/>
      </rPr>
      <t>米</t>
    </r>
    <phoneticPr fontId="31" type="noConversion"/>
  </si>
  <si>
    <t>挂牌价</t>
  </si>
  <si>
    <t>挂牌价</t>
    <phoneticPr fontId="31" type="noConversion"/>
  </si>
  <si>
    <t>公园壹号</t>
    <phoneticPr fontId="3" type="noConversion"/>
  </si>
  <si>
    <t>约5.05米</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</si>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</sst>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4" fillId="9" borderId="1" xfId="0" applyNumberFormat="1" applyFont="1" applyFill="1" applyBorder="1" applyAlignment="1" applyProtection="1">
      <alignment horizontal="center" vertical="center"/>
      <protection locked="0"/>
    </xf>
    <xf numFmtId="181" fontId="44" fillId="9" borderId="24" xfId="0" applyNumberFormat="1" applyFont="1" applyFill="1" applyBorder="1" applyAlignment="1" applyProtection="1">
      <alignment horizontal="center" vertical="center"/>
      <protection locked="0"/>
    </xf>
    <xf numFmtId="179" fontId="44" fillId="9" borderId="23" xfId="0" applyNumberFormat="1"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67</xdr:row>
      <xdr:rowOff>172442</xdr:rowOff>
    </xdr:to>
    <xdr:pic>
      <xdr:nvPicPr>
        <xdr:cNvPr id="3" name="图片 2">
          <a:extLst>
            <a:ext uri="{FF2B5EF4-FFF2-40B4-BE49-F238E27FC236}">
              <a16:creationId xmlns:a16="http://schemas.microsoft.com/office/drawing/2014/main"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144</v>
      </c>
    </row>
    <row r="21" spans="1:2">
      <c r="A21" s="1119" t="s">
        <v>537</v>
      </c>
      <c r="B21" s="1120">
        <f ca="1">'预评函-2'!D7</f>
        <v>13805</v>
      </c>
    </row>
    <row r="22" spans="1:2">
      <c r="A22" s="1119" t="s">
        <v>538</v>
      </c>
      <c r="B22" s="1120" t="str">
        <f ca="1">'预评函-2'!D6</f>
        <v>壹佰肆拾肆万元整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144</v>
      </c>
    </row>
    <row r="31" spans="1:2">
      <c r="A31" s="1119" t="s">
        <v>576</v>
      </c>
      <c r="B31" s="1120">
        <f ca="1">'预评函-2'!D15</f>
        <v>13805</v>
      </c>
    </row>
    <row r="32" spans="1:2">
      <c r="A32" s="1119" t="s">
        <v>543</v>
      </c>
      <c r="B32" s="1120" t="str">
        <f ca="1">'预评函-2'!D14</f>
        <v>壹佰肆拾肆万元整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ht="31.2">
      <c r="A42" s="1119" t="s">
        <v>590</v>
      </c>
      <c r="B42" s="1120" t="str">
        <f>'预评函-3'!B2</f>
        <v>建筑面积</v>
      </c>
    </row>
    <row r="43" spans="1:2">
      <c r="A43" s="1119" t="s">
        <v>591</v>
      </c>
      <c r="B43" s="1120">
        <f>'预评函-3'!B4</f>
        <v>104.4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11" t="s">
        <v>2576</v>
      </c>
      <c r="J2" s="3211"/>
      <c r="K2" s="3211"/>
      <c r="L2" s="3211"/>
      <c r="M2" s="3211"/>
      <c r="N2" s="3211"/>
      <c r="O2" s="3211"/>
      <c r="P2" s="3211"/>
      <c r="Q2" s="3211"/>
      <c r="R2" s="3211"/>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5" thickBot="1">
      <c r="A18" s="2768" t="s">
        <v>2512</v>
      </c>
      <c r="B18" s="2769">
        <f>ROUND(B17*F11/F12,2)</f>
        <v>5541.87</v>
      </c>
      <c r="C18" s="2769">
        <f>ROUND(F11/F12,4)</f>
        <v>1.1521999999999999</v>
      </c>
      <c r="D18" s="2770"/>
      <c r="E18" s="2770"/>
      <c r="F18" s="2771"/>
    </row>
    <row r="19" spans="1:14" ht="15" thickBot="1"/>
    <row r="20" spans="1:14" s="2804" customFormat="1" ht="1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5" sqref="D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2164</v>
      </c>
      <c r="B1" s="3219"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20"/>
      <c r="D1" s="3220"/>
      <c r="E1" s="3220"/>
      <c r="F1" s="3220"/>
      <c r="G1" s="3220"/>
      <c r="H1" s="3220"/>
      <c r="I1" s="3221"/>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48.6" thickTop="1">
      <c r="A5" s="2189" t="s">
        <v>2169</v>
      </c>
      <c r="B5" s="3161" t="s">
        <v>3470</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162" t="s">
        <v>3471</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22" t="s">
        <v>2173</v>
      </c>
      <c r="E8" s="2199" t="s">
        <v>3405</v>
      </c>
      <c r="F8" s="2200"/>
      <c r="G8" s="2438"/>
      <c r="H8" s="2438"/>
      <c r="I8" s="2438"/>
      <c r="J8" s="2241"/>
      <c r="K8" s="2396"/>
      <c r="L8" s="2395"/>
      <c r="M8" s="2395"/>
      <c r="N8" s="2241"/>
      <c r="O8" s="1669"/>
      <c r="P8" s="2241"/>
      <c r="Q8" s="2241"/>
      <c r="R8" s="2241"/>
    </row>
    <row r="9" spans="1:30" ht="13.8" thickBot="1">
      <c r="A9" s="2201" t="s">
        <v>2174</v>
      </c>
      <c r="B9" s="2202" t="s">
        <v>3405</v>
      </c>
      <c r="C9" s="2203"/>
      <c r="D9" s="3223"/>
      <c r="E9" s="2202" t="s">
        <v>43</v>
      </c>
      <c r="F9" s="2204"/>
      <c r="G9" s="2439"/>
      <c r="H9" s="2439"/>
      <c r="I9" s="2439"/>
      <c r="J9" s="2241"/>
      <c r="K9" s="2398"/>
      <c r="L9" s="2395"/>
      <c r="M9" s="2395"/>
      <c r="N9" s="2241"/>
      <c r="O9" s="1669"/>
      <c r="P9" s="2241"/>
      <c r="Q9" s="2241"/>
      <c r="R9" s="2241"/>
    </row>
    <row r="10" spans="1:30" ht="13.8"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229" t="s">
        <v>3472</v>
      </c>
      <c r="C16" s="3230"/>
      <c r="D16" s="3231"/>
      <c r="E16" s="2218" t="s">
        <v>2190</v>
      </c>
      <c r="F16" s="3232"/>
      <c r="G16" s="3233"/>
      <c r="H16" s="3233"/>
      <c r="I16" s="3234"/>
      <c r="J16" s="2241"/>
      <c r="K16" s="2399"/>
      <c r="L16" s="1669"/>
      <c r="M16" s="1669"/>
      <c r="N16" s="2241"/>
      <c r="O16" s="1669"/>
      <c r="P16" s="2241"/>
      <c r="Q16" s="2241"/>
      <c r="R16" s="2241"/>
    </row>
    <row r="17" spans="1:28">
      <c r="A17" s="305" t="s">
        <v>2191</v>
      </c>
      <c r="B17" s="294" t="s">
        <v>2192</v>
      </c>
      <c r="C17" s="8">
        <f>'数据-汇总表'!E3</f>
        <v>104.4</v>
      </c>
      <c r="D17" s="1255" t="s">
        <v>2193</v>
      </c>
      <c r="E17" s="3235" t="s">
        <v>2194</v>
      </c>
      <c r="F17" s="3236"/>
      <c r="G17" s="3236"/>
      <c r="H17" s="3236"/>
      <c r="I17" s="3237"/>
      <c r="J17" s="2241"/>
      <c r="K17" s="2400"/>
      <c r="L17" s="1669"/>
      <c r="M17" s="1669"/>
      <c r="N17" s="2241"/>
      <c r="O17" s="1669"/>
      <c r="P17" s="2241"/>
      <c r="Q17" s="2241"/>
      <c r="R17" s="2241"/>
      <c r="S17" s="2241"/>
      <c r="T17" s="2241"/>
      <c r="U17" s="2241"/>
      <c r="V17" s="2241"/>
    </row>
    <row r="18" spans="1:28" ht="24.6" thickBot="1">
      <c r="A18" s="2219" t="s">
        <v>2195</v>
      </c>
      <c r="B18" s="1027" t="s">
        <v>2196</v>
      </c>
      <c r="C18" s="2220">
        <f>'数据-汇总表'!D3</f>
        <v>0</v>
      </c>
      <c r="D18" s="1029" t="s">
        <v>2197</v>
      </c>
      <c r="E18" s="3238" t="s">
        <v>2198</v>
      </c>
      <c r="F18" s="3239"/>
      <c r="G18" s="3239"/>
      <c r="H18" s="3239"/>
      <c r="I18" s="3240"/>
      <c r="J18" s="2241"/>
      <c r="K18" s="2400"/>
      <c r="L18" s="1669"/>
      <c r="M18" s="1669"/>
      <c r="N18" s="2241"/>
      <c r="O18" s="1669"/>
      <c r="P18" s="2241"/>
      <c r="Q18" s="2241"/>
      <c r="R18" s="2241"/>
      <c r="S18" s="2241"/>
      <c r="T18" s="2241"/>
      <c r="U18" s="2241"/>
      <c r="V18" s="2241"/>
    </row>
    <row r="19" spans="1:28" ht="54"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25" t="s">
        <v>2202</v>
      </c>
      <c r="C20" s="3226"/>
      <c r="D20" s="3227" t="s">
        <v>2203</v>
      </c>
      <c r="E20" s="3228"/>
      <c r="F20" s="2426" t="s">
        <v>1056</v>
      </c>
      <c r="G20" s="2438"/>
      <c r="H20" s="2438"/>
      <c r="I20" s="2438"/>
      <c r="J20" s="2241"/>
      <c r="K20" s="3224"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2205</v>
      </c>
      <c r="C21" s="2292" t="s">
        <v>1057</v>
      </c>
      <c r="D21" s="1459" t="s">
        <v>2206</v>
      </c>
      <c r="E21" s="2415" t="s">
        <v>1057</v>
      </c>
      <c r="F21" s="2427"/>
      <c r="G21" s="2438"/>
      <c r="H21" s="2438"/>
      <c r="I21" s="2438"/>
      <c r="J21" s="2241"/>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2207</v>
      </c>
      <c r="C22" s="2292" t="s">
        <v>1058</v>
      </c>
      <c r="D22" s="2438"/>
      <c r="E22" s="2438"/>
      <c r="F22" s="2438"/>
      <c r="G22" s="2438"/>
      <c r="H22" s="2438"/>
      <c r="I22" s="2438"/>
      <c r="J22" s="2241"/>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13"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13"/>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13"/>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14"/>
      <c r="B30" s="294" t="s">
        <v>2214</v>
      </c>
      <c r="C30" s="3215"/>
      <c r="D30" s="3216"/>
      <c r="E30" s="2438"/>
      <c r="F30" s="2438"/>
      <c r="G30" s="2438"/>
      <c r="H30" s="2438"/>
      <c r="I30" s="2438"/>
      <c r="J30" s="2241"/>
      <c r="K30" s="2398"/>
      <c r="L30" s="2395"/>
      <c r="M30" s="2395"/>
      <c r="N30" s="2241"/>
      <c r="O30" s="1669"/>
      <c r="P30" s="2241"/>
      <c r="Q30" s="2241"/>
      <c r="R30" s="2241"/>
      <c r="S30" s="2241"/>
      <c r="T30" s="2241"/>
      <c r="U30" s="2241"/>
      <c r="V30" s="2241"/>
    </row>
    <row r="31" spans="1:28">
      <c r="A31" s="3217"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18"/>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18"/>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12" t="s">
        <v>2224</v>
      </c>
      <c r="T34" s="315" t="str">
        <f>NUMBERSTRING(7-K34,1)&amp;"通"</f>
        <v>七通</v>
      </c>
      <c r="U34" s="2241"/>
      <c r="V34" s="2241"/>
    </row>
    <row r="35" spans="1:30">
      <c r="A35" s="2232"/>
      <c r="B35" s="3212" t="s">
        <v>2225</v>
      </c>
      <c r="C35" s="3212"/>
      <c r="D35" s="3212"/>
      <c r="E35" s="3212"/>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2" t="s">
        <v>1108</v>
      </c>
      <c r="F2" s="2435"/>
      <c r="G2" s="2428"/>
      <c r="H2" s="2429"/>
      <c r="I2" s="2145" t="s">
        <v>1132</v>
      </c>
      <c r="J2" s="2435"/>
      <c r="K2" s="2435"/>
      <c r="L2" s="2435"/>
      <c r="M2" s="2435"/>
      <c r="N2" s="2436"/>
      <c r="O2" s="2435"/>
      <c r="P2" s="2435"/>
    </row>
    <row r="3" spans="1:16" ht="15" thickBot="1">
      <c r="A3" s="3251" t="s">
        <v>1105</v>
      </c>
      <c r="B3" s="3251"/>
      <c r="C3" s="3251"/>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4.4">
      <c r="A4" s="3252"/>
      <c r="B4" s="3253"/>
      <c r="C4" s="3254"/>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55" t="s">
        <v>1110</v>
      </c>
      <c r="C5" s="3255"/>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55" t="s">
        <v>1111</v>
      </c>
      <c r="C6" s="3255"/>
      <c r="D6" s="43">
        <f>ROUND($D$3*E6/$E$3,2)</f>
        <v>0</v>
      </c>
      <c r="E6" s="44">
        <f>E3-E5</f>
        <v>104.4</v>
      </c>
      <c r="F6" s="2435"/>
      <c r="G6" s="1528" t="s">
        <v>1112</v>
      </c>
      <c r="H6" s="45" t="s">
        <v>1113</v>
      </c>
      <c r="I6" s="2431" t="e">
        <f>ROUND(F31/D31,2)</f>
        <v>#DIV/0!</v>
      </c>
      <c r="J6" s="2435"/>
      <c r="K6" s="2435"/>
      <c r="L6" s="2435"/>
      <c r="M6" s="2435"/>
      <c r="N6" s="2435"/>
      <c r="O6" s="2435"/>
      <c r="P6" s="2435"/>
    </row>
    <row r="7" spans="1:16" ht="15" thickBot="1">
      <c r="A7" s="3247"/>
      <c r="B7" s="3248"/>
      <c r="C7" s="3249"/>
      <c r="D7" s="1523" t="s">
        <v>1107</v>
      </c>
      <c r="E7" s="1527" t="s">
        <v>1114</v>
      </c>
      <c r="F7" s="2435"/>
      <c r="G7" s="2432" t="s">
        <v>1115</v>
      </c>
      <c r="H7" s="95"/>
      <c r="I7" s="2433">
        <v>2</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0</v>
      </c>
      <c r="E16" s="48">
        <f>SUM(E8:E15)</f>
        <v>104.4</v>
      </c>
      <c r="F16" s="2435"/>
      <c r="G16" s="2435"/>
      <c r="H16" s="1530" t="s">
        <v>1135</v>
      </c>
      <c r="I16" s="1531"/>
      <c r="J16" s="1071"/>
      <c r="K16" s="3244" t="s">
        <v>1135</v>
      </c>
      <c r="L16" s="3245"/>
      <c r="M16" s="3245"/>
      <c r="N16" s="3245"/>
      <c r="O16" s="3245"/>
      <c r="P16" s="3246"/>
    </row>
    <row r="17" spans="1:19" ht="14.4">
      <c r="A17" s="1532" t="s">
        <v>1136</v>
      </c>
      <c r="B17" s="1533" t="s">
        <v>1137</v>
      </c>
      <c r="C17" s="1534" t="s">
        <v>1138</v>
      </c>
      <c r="D17" s="1535" t="s">
        <v>1126</v>
      </c>
      <c r="E17" s="1536" t="s">
        <v>1127</v>
      </c>
      <c r="F17" s="1537"/>
      <c r="G17" s="1538"/>
      <c r="H17" s="1539" t="s">
        <v>1139</v>
      </c>
      <c r="I17" s="1540" t="s">
        <v>1124</v>
      </c>
      <c r="J17" s="1071"/>
      <c r="K17" s="3241" t="s">
        <v>1140</v>
      </c>
      <c r="L17" s="3242"/>
      <c r="M17" s="3243"/>
      <c r="N17" s="3241" t="s">
        <v>1141</v>
      </c>
      <c r="O17" s="3242"/>
      <c r="P17" s="3243"/>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ht="14.4">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4000</v>
      </c>
      <c r="M6" s="64">
        <f t="shared" ref="M6:M14" si="0">ROUND(K6*L6/10000,0)</f>
        <v>42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508">
        <v>1.7</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3506">
        <v>3.0000000000000001E-3</v>
      </c>
      <c r="AL6" s="76">
        <v>1E-3</v>
      </c>
      <c r="AM6" s="3507">
        <v>5.0000000000000001E-3</v>
      </c>
      <c r="AN6" s="1588" t="s">
        <v>3417</v>
      </c>
      <c r="AO6" s="50">
        <f ca="1">SUMIF(INDIRECT("'"&amp;AN6&amp;"'"&amp;"!A:A"),"总价",INDIRECT("'"&amp;AN6&amp;"'"&amp;"!B:B"))</f>
        <v>86.864599999999996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4023</v>
      </c>
      <c r="M16" s="87">
        <f>SUM(M6:M14)</f>
        <v>42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256" t="s">
        <v>2282</v>
      </c>
      <c r="B1" s="3257"/>
      <c r="C1" s="3257"/>
      <c r="D1" s="3257"/>
      <c r="E1" s="3257"/>
      <c r="F1" s="3257"/>
      <c r="G1" s="325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7.200000000000003">
      <c r="A4" s="2244"/>
      <c r="B4" s="315" t="s">
        <v>2250</v>
      </c>
      <c r="C4" s="2265" t="s">
        <v>2251</v>
      </c>
      <c r="D4" s="2262"/>
      <c r="E4" s="2266"/>
      <c r="F4" s="1280" t="s">
        <v>2252</v>
      </c>
      <c r="G4" s="2267" t="s">
        <v>2253</v>
      </c>
      <c r="H4" s="751"/>
      <c r="I4" s="751"/>
      <c r="J4" s="751"/>
      <c r="K4" s="751"/>
      <c r="L4" s="751"/>
      <c r="M4" s="751"/>
      <c r="N4" s="751"/>
      <c r="O4" s="751"/>
      <c r="P4" s="751"/>
      <c r="Q4" s="751"/>
    </row>
    <row r="5" spans="1:29" ht="37.200000000000003">
      <c r="A5" s="2244"/>
      <c r="B5" s="315" t="s">
        <v>2254</v>
      </c>
      <c r="C5" s="2265" t="s">
        <v>2255</v>
      </c>
      <c r="D5" s="2262"/>
      <c r="E5" s="2266"/>
      <c r="F5" s="315" t="s">
        <v>2256</v>
      </c>
      <c r="G5" s="2267" t="s">
        <v>2257</v>
      </c>
      <c r="H5" s="751"/>
      <c r="I5" s="751"/>
      <c r="J5" s="751"/>
      <c r="K5" s="751"/>
      <c r="L5" s="751"/>
      <c r="M5" s="751"/>
      <c r="N5" s="751"/>
      <c r="O5" s="751"/>
      <c r="P5" s="751"/>
      <c r="Q5" s="751"/>
    </row>
    <row r="6" spans="1:29" ht="48">
      <c r="A6" s="2244"/>
      <c r="B6" s="315" t="s">
        <v>2258</v>
      </c>
      <c r="C6" s="2267" t="s">
        <v>2253</v>
      </c>
      <c r="D6" s="2262"/>
      <c r="E6" s="2266"/>
      <c r="F6" s="315" t="s">
        <v>2259</v>
      </c>
      <c r="G6" s="2267" t="s">
        <v>2260</v>
      </c>
      <c r="H6" s="751"/>
      <c r="I6" s="751"/>
      <c r="J6" s="751"/>
      <c r="K6" s="751"/>
      <c r="L6" s="751"/>
      <c r="M6" s="751"/>
      <c r="N6" s="751"/>
      <c r="O6" s="751"/>
      <c r="P6" s="751"/>
      <c r="Q6" s="751"/>
    </row>
    <row r="7" spans="1:29" ht="36.6" thickBot="1">
      <c r="A7" s="2244"/>
      <c r="B7" s="315" t="s">
        <v>2256</v>
      </c>
      <c r="C7" s="2267" t="s">
        <v>2257</v>
      </c>
      <c r="D7" s="2241"/>
      <c r="E7" s="2268"/>
      <c r="F7" s="2269" t="s">
        <v>2261</v>
      </c>
      <c r="G7" s="2270" t="s">
        <v>2262</v>
      </c>
      <c r="H7" s="751"/>
      <c r="I7" s="751"/>
      <c r="J7" s="751"/>
      <c r="K7" s="751"/>
      <c r="L7" s="751"/>
      <c r="M7" s="751"/>
      <c r="N7" s="751"/>
      <c r="O7" s="751"/>
      <c r="P7" s="751"/>
      <c r="Q7" s="751"/>
    </row>
    <row r="8" spans="1:29" ht="24">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4.4"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2283</v>
      </c>
      <c r="B13" s="2276"/>
      <c r="C13" s="2276"/>
      <c r="D13" s="2275"/>
      <c r="E13" s="2276"/>
      <c r="F13" s="2276"/>
      <c r="G13" s="2276"/>
    </row>
    <row r="14" spans="1:29" ht="14.4" thickBot="1">
      <c r="A14" s="2281"/>
      <c r="B14" s="2281"/>
      <c r="C14" s="2282" t="s">
        <v>2266</v>
      </c>
      <c r="D14" s="2262"/>
      <c r="E14" s="2283"/>
      <c r="F14" s="2283"/>
      <c r="G14" s="2258" t="s">
        <v>2267</v>
      </c>
    </row>
    <row r="15" spans="1:29" ht="52.8">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9.6">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9.6">
      <c r="A17" s="2248"/>
      <c r="B17" s="2287" t="s">
        <v>2254</v>
      </c>
      <c r="C17" s="2288" t="str">
        <f>C5</f>
        <v>估价对象位于XX商圈，周边办公楼项目较多，入驻率高，办公集聚程度较好</v>
      </c>
      <c r="D17" s="2241"/>
      <c r="E17" s="2249"/>
      <c r="F17" s="2289" t="s">
        <v>2271</v>
      </c>
      <c r="G17" s="2291"/>
    </row>
    <row r="18" spans="1:17" ht="52.8">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6.4">
      <c r="A19" s="2248"/>
      <c r="B19" s="2289" t="s">
        <v>2272</v>
      </c>
      <c r="C19" s="2291"/>
      <c r="D19" s="2262"/>
      <c r="E19" s="2249"/>
      <c r="F19" s="315" t="s">
        <v>2256</v>
      </c>
      <c r="G19" s="2290" t="str">
        <f>G5</f>
        <v>估价对象所在区域公共配套设施齐备情况</v>
      </c>
    </row>
    <row r="20" spans="1:17" ht="26.4">
      <c r="A20" s="2248"/>
      <c r="B20" s="2289" t="s">
        <v>2273</v>
      </c>
      <c r="C20" s="2288" t="str">
        <f>C9</f>
        <v>区域自然环境：；人文环境；综合评价环境状况一般</v>
      </c>
      <c r="D20" s="2241"/>
      <c r="E20" s="2249"/>
      <c r="F20" s="315" t="s">
        <v>2259</v>
      </c>
      <c r="G20" s="2290" t="str">
        <f>G6</f>
        <v>估价对象所在区域基础设施水平</v>
      </c>
    </row>
    <row r="21" spans="1:17" ht="26.4">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4.4"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4.4"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433.56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45702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601</v>
      </c>
      <c r="C5" s="2296">
        <f ca="1">IF(B5=D14,结果表!H102,ROUND(B5*10000/$B$1,0))</f>
        <v>13805</v>
      </c>
      <c r="D5" s="2296" t="e">
        <f ca="1">ROUND(B5*10000/$B$2,0)</f>
        <v>#DIV/0!</v>
      </c>
      <c r="E5" s="2457"/>
      <c r="F5" s="2458"/>
      <c r="G5" s="2458"/>
      <c r="H5" s="2458"/>
      <c r="I5" s="2458"/>
      <c r="J5" s="2458"/>
      <c r="K5" s="2458"/>
    </row>
    <row r="6" spans="1:11" ht="15.6">
      <c r="A6" s="2296" t="s">
        <v>656</v>
      </c>
      <c r="B6" s="2296">
        <f ca="1">SUM(G14:G23)</f>
        <v>601</v>
      </c>
      <c r="C6" s="2296">
        <f ca="1">IF(B6=G14,结果表!H108,ROUND(B6*10000/$B$1,0))</f>
        <v>13805</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4"/>
      <c r="C9" s="2457"/>
      <c r="D9" s="2457"/>
      <c r="E9" s="2457"/>
      <c r="F9" s="2458"/>
      <c r="G9" s="2458"/>
      <c r="H9" s="2458"/>
      <c r="I9" s="2458"/>
      <c r="J9" s="2458"/>
      <c r="K9" s="2458"/>
    </row>
    <row r="10" spans="1:11" ht="15.6">
      <c r="A10" s="2296" t="s">
        <v>654</v>
      </c>
      <c r="B10" s="2296">
        <f>IF(E10="",0,ROUND(B1*(E10*365/G10)/10000,0))</f>
        <v>0</v>
      </c>
      <c r="C10" s="2296" t="s">
        <v>3351</v>
      </c>
      <c r="D10" s="2296" t="s">
        <v>3352</v>
      </c>
      <c r="E10" s="3132"/>
      <c r="F10" s="3136" t="s">
        <v>3353</v>
      </c>
      <c r="G10" s="3133"/>
      <c r="H10" s="2458"/>
      <c r="I10" s="2458"/>
      <c r="J10" s="2458"/>
      <c r="K10" s="2458"/>
    </row>
    <row r="11" spans="1:11" ht="15.6">
      <c r="A11" s="2296"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典型户型修正!B22</f>
        <v>433.56</v>
      </c>
      <c r="C14" s="2302"/>
      <c r="D14" s="2302">
        <f ca="1">典型户型修正!S22</f>
        <v>601</v>
      </c>
      <c r="E14" s="2302">
        <f ca="1">典型户型修正!R22</f>
        <v>13862</v>
      </c>
      <c r="F14" s="2302" t="e">
        <f ca="1">ROUND(D14*10000/C14,0)</f>
        <v>#DIV/0!</v>
      </c>
      <c r="G14" s="2302">
        <f ca="1">典型户型修正!S22</f>
        <v>601</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5.6">
      <c r="A16" s="2301" t="s">
        <v>648</v>
      </c>
      <c r="B16" s="2303"/>
      <c r="C16" s="2303"/>
      <c r="D16" s="2303"/>
      <c r="E16" s="2302" t="e">
        <f t="shared" si="0"/>
        <v>#DIV/0!</v>
      </c>
      <c r="F16" s="2302" t="e">
        <f t="shared" si="1"/>
        <v>#DIV/0!</v>
      </c>
      <c r="G16" s="1244"/>
      <c r="H16" s="1244"/>
      <c r="I16" s="2303"/>
      <c r="J16" s="2458"/>
      <c r="K16" s="2458"/>
    </row>
    <row r="17" spans="1:11" ht="15.6">
      <c r="A17" s="2301" t="s">
        <v>647</v>
      </c>
      <c r="B17" s="2303"/>
      <c r="C17" s="2303"/>
      <c r="D17" s="2303"/>
      <c r="E17" s="2302" t="e">
        <f t="shared" si="0"/>
        <v>#DIV/0!</v>
      </c>
      <c r="F17" s="2302" t="e">
        <f t="shared" si="1"/>
        <v>#DIV/0!</v>
      </c>
      <c r="G17" s="1244"/>
      <c r="H17" s="1244"/>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292" t="str">
        <f>项目基本情况!S2</f>
        <v>北京市平谷区府前西街18号院1号楼4层2单元409等[4]套房地产</v>
      </c>
      <c r="B2" s="3293"/>
      <c r="C2" s="3293"/>
      <c r="D2" s="3293"/>
      <c r="E2" s="3293"/>
      <c r="F2" s="3293"/>
      <c r="G2" s="3293"/>
      <c r="H2" s="3293"/>
      <c r="I2" s="3294"/>
    </row>
    <row r="3" spans="1:12" ht="13.2">
      <c r="A3" s="3296" t="s">
        <v>1264</v>
      </c>
      <c r="B3" s="3297"/>
      <c r="C3" s="3297"/>
      <c r="D3" s="3297"/>
      <c r="E3" s="3297"/>
      <c r="F3" s="3297"/>
      <c r="G3" s="3297"/>
      <c r="H3" s="3297"/>
      <c r="I3" s="3297"/>
    </row>
    <row r="4" spans="1:12" ht="14.4">
      <c r="A4" s="1623" t="s">
        <v>1265</v>
      </c>
      <c r="B4" s="1624" t="s">
        <v>1266</v>
      </c>
      <c r="C4" s="1625" t="s">
        <v>3514</v>
      </c>
      <c r="D4" s="1625" t="s">
        <v>3417</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2" t="s">
        <v>1268</v>
      </c>
      <c r="B5" s="3259">
        <v>25</v>
      </c>
      <c r="C5" s="3275"/>
      <c r="D5" s="3295"/>
      <c r="E5" s="123" t="s">
        <v>1269</v>
      </c>
      <c r="F5" s="1626"/>
      <c r="G5" s="1626"/>
      <c r="H5" s="1626"/>
      <c r="I5" s="1280"/>
    </row>
    <row r="6" spans="1:12" ht="13.2">
      <c r="A6" s="3272"/>
      <c r="B6" s="3259"/>
      <c r="C6" s="3276"/>
      <c r="D6" s="3295"/>
      <c r="E6" s="123" t="s">
        <v>1270</v>
      </c>
      <c r="F6" s="1626"/>
      <c r="G6" s="1626"/>
      <c r="H6" s="1626"/>
      <c r="I6" s="1280"/>
    </row>
    <row r="7" spans="1:12" ht="13.2">
      <c r="A7" s="3272"/>
      <c r="B7" s="3259"/>
      <c r="C7" s="3277"/>
      <c r="D7" s="3295"/>
      <c r="E7" s="123" t="s">
        <v>1271</v>
      </c>
      <c r="F7" s="1626"/>
      <c r="G7" s="1626"/>
      <c r="H7" s="1626"/>
      <c r="I7" s="1280"/>
    </row>
    <row r="8" spans="1:12" ht="13.2">
      <c r="A8" s="3272" t="s">
        <v>1272</v>
      </c>
      <c r="B8" s="3259">
        <v>15</v>
      </c>
      <c r="C8" s="3275"/>
      <c r="D8" s="3295"/>
      <c r="E8" s="123" t="s">
        <v>1273</v>
      </c>
      <c r="F8" s="1626"/>
      <c r="G8" s="1626"/>
      <c r="H8" s="1626"/>
      <c r="I8" s="1280"/>
    </row>
    <row r="9" spans="1:12" ht="13.2">
      <c r="A9" s="3272"/>
      <c r="B9" s="3259"/>
      <c r="C9" s="3277"/>
      <c r="D9" s="3295"/>
      <c r="E9" s="123" t="s">
        <v>1274</v>
      </c>
      <c r="F9" s="1626"/>
      <c r="G9" s="1626"/>
      <c r="H9" s="1626"/>
      <c r="I9" s="1280"/>
    </row>
    <row r="10" spans="1:12" ht="13.2">
      <c r="A10" s="3272" t="s">
        <v>1275</v>
      </c>
      <c r="B10" s="3259">
        <v>15</v>
      </c>
      <c r="C10" s="3275"/>
      <c r="D10" s="3295"/>
      <c r="E10" s="123" t="s">
        <v>1276</v>
      </c>
      <c r="F10" s="1626"/>
      <c r="G10" s="1626"/>
      <c r="H10" s="1626"/>
      <c r="I10" s="1280"/>
    </row>
    <row r="11" spans="1:12" ht="13.2">
      <c r="A11" s="3272"/>
      <c r="B11" s="3259"/>
      <c r="C11" s="3277"/>
      <c r="D11" s="3295"/>
      <c r="E11" s="123" t="s">
        <v>1277</v>
      </c>
      <c r="F11" s="1626"/>
      <c r="G11" s="1626"/>
      <c r="H11" s="1626"/>
      <c r="I11" s="1280"/>
    </row>
    <row r="12" spans="1:12" ht="13.2">
      <c r="A12" s="3272" t="s">
        <v>1278</v>
      </c>
      <c r="B12" s="3259">
        <v>15</v>
      </c>
      <c r="C12" s="3275"/>
      <c r="D12" s="3295"/>
      <c r="E12" s="123" t="s">
        <v>1279</v>
      </c>
      <c r="F12" s="1626"/>
      <c r="G12" s="1626"/>
      <c r="H12" s="1626"/>
      <c r="I12" s="1280"/>
    </row>
    <row r="13" spans="1:12" ht="13.2">
      <c r="A13" s="3272"/>
      <c r="B13" s="3259"/>
      <c r="C13" s="3277"/>
      <c r="D13" s="3295"/>
      <c r="E13" s="123" t="s">
        <v>1280</v>
      </c>
      <c r="F13" s="1626"/>
      <c r="G13" s="1626"/>
      <c r="H13" s="1626"/>
      <c r="I13" s="1280"/>
    </row>
    <row r="14" spans="1:12" ht="13.2">
      <c r="A14" s="3272" t="s">
        <v>1281</v>
      </c>
      <c r="B14" s="3259">
        <v>30</v>
      </c>
      <c r="C14" s="3275">
        <v>7</v>
      </c>
      <c r="D14" s="3295">
        <v>3</v>
      </c>
      <c r="E14" s="123" t="s">
        <v>1282</v>
      </c>
      <c r="F14" s="1626"/>
      <c r="G14" s="1626"/>
      <c r="H14" s="1626"/>
      <c r="I14" s="1280"/>
    </row>
    <row r="15" spans="1:12" ht="13.2">
      <c r="A15" s="3272"/>
      <c r="B15" s="3259"/>
      <c r="C15" s="3276"/>
      <c r="D15" s="3295"/>
      <c r="E15" s="123" t="s">
        <v>1283</v>
      </c>
      <c r="F15" s="1626"/>
      <c r="G15" s="1626"/>
      <c r="H15" s="1626"/>
      <c r="I15" s="1280"/>
    </row>
    <row r="16" spans="1:12" ht="13.2">
      <c r="A16" s="3272"/>
      <c r="B16" s="3259"/>
      <c r="C16" s="3277"/>
      <c r="D16" s="3295"/>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282" t="s">
        <v>2127</v>
      </c>
      <c r="F18" s="3283"/>
      <c r="G18" s="3283"/>
      <c r="H18" s="3283"/>
      <c r="I18" s="3283"/>
      <c r="K18" s="294" t="s">
        <v>1289</v>
      </c>
      <c r="L18" s="294">
        <f>IF(C1="",'数据-汇总表'!E3,SUMIF(项目类型,C1,'数据-汇总表'!E17:E26)+SUMIF(项目类型,C1,'数据-汇总表'!I17:I26))</f>
        <v>104.4</v>
      </c>
      <c r="M18" s="294">
        <f>IF(C1="",'数据-汇总表'!E3,SUMIF(项目类型,C1,'数据-汇总表'!E17:E26))</f>
        <v>104.4</v>
      </c>
    </row>
    <row r="19" spans="1:36" ht="14.4">
      <c r="A19" s="1629" t="s">
        <v>1290</v>
      </c>
      <c r="B19" s="1630" t="s">
        <v>1291</v>
      </c>
      <c r="C19" s="126">
        <f ca="1">SUMIF(INDIRECT("'"&amp;C4&amp;"'"&amp;"!A:A"),结果表!B19,INDIRECT("'"&amp;C4&amp;"'"&amp;"!B:B"))</f>
        <v>168.6686</v>
      </c>
      <c r="D19" s="127">
        <f ca="1">SUMIF(INDIRECT("'"&amp;D4&amp;"'"&amp;"!A:A"),结果表!B19,INDIRECT("'"&amp;D4&amp;"'"&amp;"!B:B"))</f>
        <v>86.864599999999996</v>
      </c>
      <c r="E19" s="1629" t="s">
        <v>1292</v>
      </c>
      <c r="F19" s="1630" t="s">
        <v>1291</v>
      </c>
      <c r="G19" s="128">
        <f ca="1">ROUND(C19*$C$18+D19*$D$18,0)</f>
        <v>144</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16156</v>
      </c>
      <c r="D20" s="130">
        <f ca="1">SUMIF(INDIRECT("'"&amp;D4&amp;"'"&amp;"!A:A"),结果表!B20,INDIRECT("'"&amp;D4&amp;"'"&amp;"!B:B"))</f>
        <v>8320</v>
      </c>
      <c r="E20" s="1632"/>
      <c r="F20" s="43" t="s">
        <v>1295</v>
      </c>
      <c r="G20" s="131">
        <f ca="1">ROUND(C20*$C$18+D20*$D$18,0)</f>
        <v>13805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0.94174151495545955</v>
      </c>
      <c r="E22" s="121"/>
      <c r="F22" s="121"/>
      <c r="G22" s="121"/>
      <c r="H22" s="121"/>
      <c r="I22" s="121"/>
    </row>
    <row r="23" spans="1:36" ht="13.8" thickBot="1">
      <c r="A23" s="646"/>
      <c r="B23" s="646"/>
      <c r="C23" s="646"/>
      <c r="D23" s="646"/>
      <c r="E23" s="121"/>
      <c r="F23" s="121"/>
      <c r="G23" s="121"/>
      <c r="H23" s="121"/>
      <c r="I23" s="121"/>
    </row>
    <row r="24" spans="1:36" ht="14.4">
      <c r="A24" s="3266" t="s">
        <v>1299</v>
      </c>
      <c r="B24" s="1630" t="s">
        <v>1291</v>
      </c>
      <c r="C24" s="128">
        <f>IF(B30=0,0,D30)</f>
        <v>0</v>
      </c>
      <c r="D24" s="1636"/>
      <c r="E24" s="121"/>
      <c r="F24" s="121"/>
      <c r="G24" s="121"/>
      <c r="H24" s="121"/>
      <c r="I24" s="121"/>
    </row>
    <row r="25" spans="1:36" ht="14.4">
      <c r="A25" s="3267"/>
      <c r="B25" s="43" t="s">
        <v>1295</v>
      </c>
      <c r="C25" s="133">
        <f>IF(B30=0,0,C30)</f>
        <v>0</v>
      </c>
      <c r="D25" s="1637"/>
      <c r="E25" s="121"/>
      <c r="F25" s="121"/>
      <c r="G25" s="3160" t="s">
        <v>3469</v>
      </c>
      <c r="H25" s="121" t="s">
        <v>3468</v>
      </c>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13805</v>
      </c>
      <c r="D32" s="1640" t="s">
        <v>3418</v>
      </c>
      <c r="E32" s="121"/>
      <c r="F32" s="121"/>
      <c r="G32" s="121"/>
      <c r="H32" s="121"/>
      <c r="I32" s="121"/>
    </row>
    <row r="33" spans="1:15" ht="14.4">
      <c r="A33" s="740" t="s">
        <v>1306</v>
      </c>
      <c r="B33" s="123"/>
      <c r="C33" s="1641" t="s">
        <v>3419</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286" t="s">
        <v>1312</v>
      </c>
      <c r="B36" s="1651" t="s">
        <v>1313</v>
      </c>
      <c r="C36" s="137"/>
      <c r="D36" s="1652"/>
      <c r="E36" s="1566"/>
      <c r="F36" s="1653"/>
      <c r="G36" s="121"/>
      <c r="H36" s="121"/>
      <c r="I36" s="121"/>
    </row>
    <row r="37" spans="1:15" ht="15" thickBot="1">
      <c r="A37" s="3287"/>
      <c r="B37" s="1554" t="s">
        <v>1314</v>
      </c>
      <c r="C37" s="139"/>
      <c r="D37" s="1071"/>
      <c r="E37" s="1071"/>
      <c r="F37" s="1653"/>
      <c r="G37" s="121"/>
      <c r="H37" s="121"/>
      <c r="I37" s="121"/>
    </row>
    <row r="38" spans="1:15" ht="15" thickBot="1">
      <c r="A38" s="3288"/>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3" t="s">
        <v>1326</v>
      </c>
      <c r="B45" s="3264"/>
      <c r="C45" s="3265"/>
      <c r="D45" s="147">
        <f ca="1">ROUND(H101*F45,0)</f>
        <v>144</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7"/>
      <c r="I46" s="151"/>
      <c r="J46" s="2306">
        <v>1</v>
      </c>
      <c r="K46" s="3322" t="s">
        <v>1331</v>
      </c>
      <c r="L46" s="3322"/>
      <c r="M46" s="3342"/>
      <c r="N46" s="3342"/>
      <c r="O46" s="3342"/>
    </row>
    <row r="47" spans="1:15" ht="12" customHeight="1">
      <c r="A47" s="152" t="s">
        <v>1332</v>
      </c>
      <c r="B47" s="153"/>
      <c r="C47" s="154"/>
      <c r="D47" s="1024" t="s">
        <v>1333</v>
      </c>
      <c r="E47" s="294" t="s">
        <v>1334</v>
      </c>
      <c r="F47" s="155" t="s">
        <v>1335</v>
      </c>
      <c r="G47" s="2329" t="s">
        <v>1336</v>
      </c>
      <c r="H47" s="2330"/>
      <c r="I47" s="151"/>
      <c r="J47" s="2306">
        <v>2</v>
      </c>
      <c r="K47" s="3322" t="s">
        <v>1337</v>
      </c>
      <c r="L47" s="3322"/>
      <c r="M47" s="3343">
        <f>'数据-取费表'!B2</f>
        <v>45702</v>
      </c>
      <c r="N47" s="3343"/>
      <c r="O47" s="3343"/>
    </row>
    <row r="48" spans="1:15" ht="26.4">
      <c r="A48" s="3291" t="s">
        <v>1338</v>
      </c>
      <c r="B48" s="3274"/>
      <c r="C48" s="3274"/>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22" t="s">
        <v>1340</v>
      </c>
      <c r="L48" s="3322"/>
      <c r="M48" s="3344">
        <f ca="1">H101</f>
        <v>144</v>
      </c>
      <c r="N48" s="3344"/>
      <c r="O48" s="3344"/>
    </row>
    <row r="49" spans="1:35" ht="25.5" customHeight="1">
      <c r="A49" s="2151" t="s">
        <v>1341</v>
      </c>
      <c r="B49" s="3258" t="s">
        <v>1342</v>
      </c>
      <c r="C49" s="3258"/>
      <c r="D49" s="1477">
        <v>0</v>
      </c>
      <c r="E49" s="316" t="s">
        <v>1343</v>
      </c>
      <c r="F49" s="2229" t="s">
        <v>28</v>
      </c>
      <c r="G49" s="3328"/>
      <c r="H49" s="2133" t="s">
        <v>2130</v>
      </c>
      <c r="I49" s="2134"/>
      <c r="J49" s="2306">
        <v>4</v>
      </c>
      <c r="K49" s="3322" t="str">
        <f>IF(项目基本情况!E8="房地产抵押价值","房地产抵押价值","抵押担保权已注销时的房地产抵押价值")</f>
        <v>房地产抵押价值</v>
      </c>
      <c r="L49" s="3322"/>
      <c r="M49" s="3344">
        <f ca="1">IF(项目基本情况!E8="房地产抵押价值",H107,H109)</f>
        <v>144</v>
      </c>
      <c r="N49" s="3344"/>
      <c r="O49" s="3344"/>
    </row>
    <row r="50" spans="1:35" ht="25.5" customHeight="1">
      <c r="A50" s="2334"/>
      <c r="B50" s="3258" t="s">
        <v>1344</v>
      </c>
      <c r="C50" s="3258"/>
      <c r="D50" s="2188"/>
      <c r="E50" s="323"/>
      <c r="F50" s="2229"/>
      <c r="G50" s="3329"/>
      <c r="H50" s="2135" t="s">
        <v>2131</v>
      </c>
      <c r="I50" s="2134"/>
      <c r="J50" s="3341" t="s">
        <v>1345</v>
      </c>
      <c r="K50" s="3341"/>
      <c r="L50" s="3341"/>
      <c r="M50" s="3341"/>
      <c r="N50" s="3341"/>
      <c r="O50" s="3341"/>
    </row>
    <row r="51" spans="1:35" ht="20.399999999999999" customHeight="1">
      <c r="A51" s="2335"/>
      <c r="B51" s="3258" t="s">
        <v>1346</v>
      </c>
      <c r="C51" s="3258"/>
      <c r="D51" s="1024"/>
      <c r="E51" s="319"/>
      <c r="F51" s="2229"/>
      <c r="G51" s="3330"/>
      <c r="H51" s="2135" t="s">
        <v>2132</v>
      </c>
      <c r="I51" s="2134"/>
      <c r="J51" s="2307" t="s">
        <v>1347</v>
      </c>
      <c r="K51" s="3322" t="s">
        <v>1348</v>
      </c>
      <c r="L51" s="3322"/>
      <c r="M51" s="2307" t="s">
        <v>1349</v>
      </c>
      <c r="N51" s="2307" t="s">
        <v>1350</v>
      </c>
      <c r="O51" s="2307" t="s">
        <v>1351</v>
      </c>
    </row>
    <row r="52" spans="1:35" ht="24" customHeight="1">
      <c r="A52" s="2152" t="s">
        <v>1352</v>
      </c>
      <c r="B52" s="3258" t="s">
        <v>1353</v>
      </c>
      <c r="C52" s="3258"/>
      <c r="D52" s="1024">
        <f ca="1">ROUND(D45*'数据-取费表'!B41/(1+'数据-取费表'!C42),0)</f>
        <v>8</v>
      </c>
      <c r="E52" s="1255" t="s">
        <v>1354</v>
      </c>
      <c r="F52" s="2336">
        <f>'数据-取费表'!B41</f>
        <v>5.6000000000000001E-2</v>
      </c>
      <c r="G52" s="2337"/>
      <c r="H52" s="2327"/>
      <c r="I52" s="1668"/>
      <c r="J52" s="2306">
        <v>1</v>
      </c>
      <c r="K52" s="3323" t="s">
        <v>1355</v>
      </c>
      <c r="L52" s="3323"/>
      <c r="M52" s="2308" t="b">
        <f>D48</f>
        <v>0</v>
      </c>
      <c r="N52" s="2306" t="str">
        <f>E48</f>
        <v>销售额×税（费）率</v>
      </c>
      <c r="O52" s="2309">
        <f>F48</f>
        <v>5.6000000000000001E-2</v>
      </c>
    </row>
    <row r="53" spans="1:35" ht="12" customHeight="1">
      <c r="A53" s="2152" t="s">
        <v>1356</v>
      </c>
      <c r="B53" s="3284" t="s">
        <v>2287</v>
      </c>
      <c r="C53" s="3285"/>
      <c r="D53" s="1024">
        <f ca="1">ROUND(D45*'数据-取费表'!B41/(1+'数据-取费表'!C42),0)</f>
        <v>8</v>
      </c>
      <c r="E53" s="1255" t="s">
        <v>1354</v>
      </c>
      <c r="F53" s="2336">
        <f>'数据-取费表'!B41</f>
        <v>5.6000000000000001E-2</v>
      </c>
      <c r="G53" s="2337"/>
      <c r="H53" s="2327"/>
      <c r="I53" s="1668"/>
      <c r="J53" s="2306">
        <v>2</v>
      </c>
      <c r="K53" s="3323" t="s">
        <v>1357</v>
      </c>
      <c r="L53" s="3323"/>
      <c r="M53" s="2308">
        <f t="shared" ref="M53:O54" ca="1" si="0">D55</f>
        <v>0</v>
      </c>
      <c r="N53" s="2306" t="str">
        <f t="shared" si="0"/>
        <v>销售额×税（费）率</v>
      </c>
      <c r="O53" s="2309" t="str">
        <f t="shared" si="0"/>
        <v>免征</v>
      </c>
    </row>
    <row r="54" spans="1:35" ht="12" customHeight="1">
      <c r="A54" s="2152" t="s">
        <v>1358</v>
      </c>
      <c r="B54" s="3284" t="s">
        <v>2288</v>
      </c>
      <c r="C54" s="3285"/>
      <c r="D54" s="1024">
        <f ca="1">C68</f>
        <v>8</v>
      </c>
      <c r="E54" s="319" t="s">
        <v>1359</v>
      </c>
      <c r="F54" s="2336">
        <f>'数据-取费表'!B41</f>
        <v>5.6000000000000001E-2</v>
      </c>
      <c r="G54" s="2337"/>
      <c r="H54" s="2338"/>
      <c r="I54" s="1668"/>
      <c r="J54" s="2306">
        <v>3</v>
      </c>
      <c r="K54" s="3323" t="s">
        <v>1360</v>
      </c>
      <c r="L54" s="3323"/>
      <c r="M54" s="2308">
        <f t="shared" ca="1" si="0"/>
        <v>81</v>
      </c>
      <c r="N54" s="2306" t="str">
        <f t="shared" si="0"/>
        <v>增值额×税（费）率</v>
      </c>
      <c r="O54" s="2310" t="str">
        <f t="shared" si="0"/>
        <v>免征</v>
      </c>
    </row>
    <row r="55" spans="1:35" ht="24" customHeight="1">
      <c r="A55" s="3273" t="s">
        <v>1361</v>
      </c>
      <c r="B55" s="3274"/>
      <c r="C55" s="3274"/>
      <c r="D55" s="12">
        <f ca="1">IF(H55="个人住宅",0,ROUND(D45*I55,0))</f>
        <v>0</v>
      </c>
      <c r="E55" s="1255" t="s">
        <v>1362</v>
      </c>
      <c r="F55" s="2336" t="str">
        <f>IF(H55="正常",I55,"免征")</f>
        <v>免征</v>
      </c>
      <c r="G55" s="2337"/>
      <c r="H55" s="2333"/>
      <c r="I55" s="157">
        <f>'数据-取费表'!B49</f>
        <v>5.0000000000000001E-4</v>
      </c>
      <c r="J55" s="2306">
        <f>IF(H59="非个人房产","",4)</f>
        <v>4</v>
      </c>
      <c r="K55" s="3323" t="str">
        <f>IF(H59="非个人房产","——","个人所得税")</f>
        <v>个人所得税</v>
      </c>
      <c r="L55" s="3323"/>
      <c r="M55" s="2311">
        <f ca="1">D59</f>
        <v>1</v>
      </c>
      <c r="N55" s="1882" t="str">
        <f>E59</f>
        <v>差额计税</v>
      </c>
      <c r="O55" s="2312">
        <f>F59</f>
        <v>0.01</v>
      </c>
    </row>
    <row r="56" spans="1:35" ht="25.2">
      <c r="A56" s="3273" t="s">
        <v>1363</v>
      </c>
      <c r="B56" s="3274"/>
      <c r="C56" s="3274"/>
      <c r="D56" s="12">
        <f ca="1">IF(H56="个人住宅",D57,D58)</f>
        <v>81</v>
      </c>
      <c r="E56" s="1255" t="s">
        <v>1364</v>
      </c>
      <c r="F56" s="2336" t="str">
        <f>IF(H56="正常",F58,"免征")</f>
        <v>免征</v>
      </c>
      <c r="G56" s="2339" t="s">
        <v>1365</v>
      </c>
      <c r="H56" s="2340"/>
      <c r="I56" s="1669"/>
      <c r="J56" s="2306" t="str">
        <f>IF(项目基本情况!K6="上海银行",IF(J55="",4,J55+1),"")</f>
        <v/>
      </c>
      <c r="K56" s="3346" t="str">
        <f>IF(项目基本情况!K6="上海银行","其他处置费用","")</f>
        <v/>
      </c>
      <c r="L56" s="3347"/>
      <c r="M56" s="2308" t="str">
        <f>IF(项目基本情况!K6="上海银行",M69,"")</f>
        <v/>
      </c>
      <c r="N56" s="3346" t="str">
        <f>IF(项目基本情况!K6="上海银行","包含处置中涉及的律师、诉讼、拍卖、评估等费用","")</f>
        <v/>
      </c>
      <c r="O56" s="3349"/>
    </row>
    <row r="57" spans="1:35" ht="13.2">
      <c r="A57" s="2152" t="s">
        <v>1341</v>
      </c>
      <c r="B57" s="3284" t="s">
        <v>1366</v>
      </c>
      <c r="C57" s="3285"/>
      <c r="D57" s="1477">
        <v>0</v>
      </c>
      <c r="E57" s="316" t="s">
        <v>1343</v>
      </c>
      <c r="F57" s="294"/>
      <c r="G57" s="2337"/>
      <c r="H57" s="2341"/>
      <c r="I57" s="1669"/>
      <c r="J57" s="3323">
        <f>IF(AND(J55="",J56=""),4,IF(项目基本情况!K6="上海银行",结果表!J56+1,结果表!J55+1))</f>
        <v>5</v>
      </c>
      <c r="K57" s="3323" t="s">
        <v>1367</v>
      </c>
      <c r="L57" s="2313" t="s">
        <v>1368</v>
      </c>
      <c r="M57" s="2314"/>
      <c r="N57" s="2315">
        <f ca="1">SUMIF(M52:M56,"&lt;9e307")</f>
        <v>82</v>
      </c>
      <c r="O57" s="2316"/>
      <c r="P57" s="2460">
        <f ca="1">N57/M49</f>
        <v>0.56944444444444442</v>
      </c>
    </row>
    <row r="58" spans="1:35" ht="25.2">
      <c r="A58" s="2152" t="s">
        <v>1352</v>
      </c>
      <c r="B58" s="3284" t="s">
        <v>1369</v>
      </c>
      <c r="C58" s="3258"/>
      <c r="D58" s="12">
        <f ca="1">IF(H58="转让取得",C81,C97)</f>
        <v>81</v>
      </c>
      <c r="E58" s="1255" t="s">
        <v>1364</v>
      </c>
      <c r="F58" s="294" t="s">
        <v>28</v>
      </c>
      <c r="G58" s="2337"/>
      <c r="H58" s="2340"/>
      <c r="I58" s="1669"/>
      <c r="J58" s="3323"/>
      <c r="K58" s="3323"/>
      <c r="L58" s="2313" t="s">
        <v>1370</v>
      </c>
      <c r="M58" s="2317"/>
      <c r="N58" s="2318" t="str">
        <f ca="1">NUMBERSTRING(INT(N57*10000),2)&amp;"元整"</f>
        <v>捌拾贰万元整</v>
      </c>
      <c r="O58" s="2319"/>
    </row>
    <row r="59" spans="1:35" ht="24.6" thickBot="1">
      <c r="A59" s="3326" t="s">
        <v>1371</v>
      </c>
      <c r="B59" s="3327"/>
      <c r="C59" s="3327"/>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324">
        <f>J57+1</f>
        <v>6</v>
      </c>
      <c r="K59" s="3323" t="s">
        <v>1372</v>
      </c>
      <c r="L59" s="2306" t="s">
        <v>1368</v>
      </c>
      <c r="M59" s="2320"/>
      <c r="N59" s="2321">
        <f ca="1">M49-N57</f>
        <v>62</v>
      </c>
      <c r="O59" s="2322"/>
    </row>
    <row r="60" spans="1:35" ht="12" customHeight="1">
      <c r="A60" s="1670"/>
      <c r="B60" s="646"/>
      <c r="C60" s="646"/>
      <c r="D60" s="646"/>
      <c r="E60" s="1465"/>
      <c r="F60" s="1669"/>
      <c r="G60" s="1669"/>
      <c r="H60" s="151"/>
      <c r="I60" s="121"/>
      <c r="J60" s="3325"/>
      <c r="K60" s="3323"/>
      <c r="L60" s="2313" t="s">
        <v>1370</v>
      </c>
      <c r="M60" s="2317"/>
      <c r="N60" s="2318" t="str">
        <f ca="1">NUMBERSTRING(INT(N59*10000),2)&amp;"元整"</f>
        <v>陆拾贰万元整</v>
      </c>
      <c r="O60" s="2319"/>
    </row>
    <row r="61" spans="1:35" ht="13.8" thickBot="1">
      <c r="A61" s="3271" t="s">
        <v>1373</v>
      </c>
      <c r="B61" s="3271"/>
      <c r="C61" s="3271"/>
      <c r="D61" s="3271"/>
      <c r="E61" s="3271"/>
      <c r="F61" s="1669"/>
      <c r="G61" s="1669"/>
      <c r="H61" s="151"/>
      <c r="I61" s="121"/>
      <c r="J61" s="2306">
        <f>J59+1</f>
        <v>7</v>
      </c>
      <c r="K61" s="3323" t="s">
        <v>1374</v>
      </c>
      <c r="L61" s="3323"/>
      <c r="M61" s="2323"/>
      <c r="N61" s="2324">
        <f ca="1">ROUND(N59*10000/'数据-汇总表'!E3,0)</f>
        <v>5939</v>
      </c>
      <c r="O61" s="2325"/>
    </row>
    <row r="62" spans="1:35" ht="13.2">
      <c r="A62" s="3289" t="s">
        <v>1375</v>
      </c>
      <c r="B62" s="3290"/>
      <c r="C62" s="1864"/>
      <c r="D62" s="1864" t="s">
        <v>1376</v>
      </c>
      <c r="E62" s="158" t="s">
        <v>1377</v>
      </c>
      <c r="F62" s="1669"/>
      <c r="G62" s="1669"/>
      <c r="H62" s="151"/>
      <c r="I62" s="121"/>
    </row>
    <row r="63" spans="1:35" ht="13.2">
      <c r="A63" s="165" t="s">
        <v>330</v>
      </c>
      <c r="B63" s="159" t="s">
        <v>1378</v>
      </c>
      <c r="C63" s="2346">
        <f ca="1">ROUND((C64+C65)/(1+'数据-取费表'!C42),0)</f>
        <v>137</v>
      </c>
      <c r="D63" s="159"/>
      <c r="E63" s="160"/>
      <c r="F63" s="1669"/>
      <c r="G63" s="1669"/>
      <c r="H63" s="151"/>
      <c r="I63" s="121"/>
      <c r="J63" s="3348" t="s">
        <v>1379</v>
      </c>
      <c r="K63" s="1245" t="s">
        <v>1380</v>
      </c>
      <c r="L63" s="1245">
        <f ca="1">IF(M49&gt;10000,M49*0.5%,IF(AND(M49&gt;1000,M49&lt;=10000),M49*1%,IF(AND(M49&gt;100,M49&lt;=1000),M49*3%,IF(AND(M49&gt;10,M49&lt;=100),M49*5%,M49*8%))))</f>
        <v>4.32</v>
      </c>
      <c r="M63" s="294">
        <f ca="1">ROUND(L63,1)</f>
        <v>4.3</v>
      </c>
      <c r="N63" s="2326"/>
      <c r="Z63" s="1622"/>
      <c r="AI63" s="1560"/>
    </row>
    <row r="64" spans="1:35" ht="14.25" customHeight="1">
      <c r="A64" s="161" t="s">
        <v>325</v>
      </c>
      <c r="B64" s="162" t="s">
        <v>1381</v>
      </c>
      <c r="C64" s="2347">
        <f ca="1">D45</f>
        <v>144</v>
      </c>
      <c r="D64" s="162" t="s">
        <v>26</v>
      </c>
      <c r="E64" s="164"/>
      <c r="F64" s="1669"/>
      <c r="G64" s="1669"/>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1.2960000000000003</v>
      </c>
      <c r="M64" s="294">
        <f t="shared" ref="M64:M65" ca="1" si="1">ROUND(L64,1)</f>
        <v>1.3</v>
      </c>
      <c r="N64" s="2327" t="s">
        <v>1383</v>
      </c>
      <c r="Z64" s="1622"/>
      <c r="AI64" s="1560"/>
    </row>
    <row r="65" spans="1:35" ht="14.25" customHeight="1">
      <c r="A65" s="161" t="s">
        <v>326</v>
      </c>
      <c r="B65" s="162" t="s">
        <v>1384</v>
      </c>
      <c r="C65" s="2348"/>
      <c r="D65" s="162"/>
      <c r="E65" s="164"/>
      <c r="F65" s="1669"/>
      <c r="G65" s="1669"/>
      <c r="H65" s="151"/>
      <c r="I65" s="121"/>
      <c r="J65" s="3348"/>
      <c r="K65" s="1245" t="s">
        <v>1385</v>
      </c>
      <c r="L65" s="1245">
        <f ca="1">IF(M49&gt;1000,M49*0.1%,IF(AND(M49&gt;500,M49&lt;=1000),M49*0.5%,IF(AND(M49&gt;50,M49&lt;=500),M49*1%,IF(AND(M49&gt;1,M49&lt;=50),M49*1.5%))))</f>
        <v>1.44</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348"/>
      <c r="K66" s="1245" t="s">
        <v>1387</v>
      </c>
      <c r="L66" s="1245">
        <f ca="1">M49*0.5%</f>
        <v>0.72</v>
      </c>
      <c r="M66" s="294">
        <f ca="1">IF(L66&gt;0.5,0.5,ROUND(L66,0))</f>
        <v>0.5</v>
      </c>
      <c r="N66" s="2327" t="s">
        <v>1388</v>
      </c>
      <c r="Z66" s="1622"/>
      <c r="AI66" s="1560"/>
    </row>
    <row r="67" spans="1:35" ht="14.25" customHeight="1">
      <c r="A67" s="165" t="s">
        <v>328</v>
      </c>
      <c r="B67" s="166" t="s">
        <v>1389</v>
      </c>
      <c r="C67" s="2350">
        <f ca="1">C63-C66</f>
        <v>137</v>
      </c>
      <c r="D67" s="162" t="s">
        <v>26</v>
      </c>
      <c r="E67" s="164"/>
      <c r="F67" s="1669"/>
      <c r="G67" s="1669"/>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0.61</v>
      </c>
      <c r="M67" s="294">
        <f ca="1">ROUND(L67*0.9,1)</f>
        <v>0.5</v>
      </c>
      <c r="N67" s="2326"/>
      <c r="Z67" s="1622"/>
      <c r="AI67" s="1560"/>
    </row>
    <row r="68" spans="1:35" ht="14.25" customHeight="1" thickBot="1">
      <c r="A68" s="168" t="s">
        <v>329</v>
      </c>
      <c r="B68" s="169" t="s">
        <v>1391</v>
      </c>
      <c r="C68" s="2351">
        <f ca="1">IF(C67&lt;=0,0,ROUND(C67*D68,0))</f>
        <v>8</v>
      </c>
      <c r="D68" s="2352">
        <f>'数据-取费表'!B41</f>
        <v>5.6000000000000001E-2</v>
      </c>
      <c r="E68" s="170"/>
      <c r="F68" s="1669"/>
      <c r="G68" s="1669"/>
      <c r="H68" s="151"/>
      <c r="I68" s="121"/>
      <c r="J68" s="3348"/>
      <c r="K68" s="1245" t="s">
        <v>1392</v>
      </c>
      <c r="L68" s="1245">
        <f ca="1">IF(M49&gt;10000,M49*0.5%,IF(AND(M49&gt;5000,M49&lt;=10000),M49*1%,IF(AND(M49&gt;1000,M49&lt;=5000),M49*2%,IF(AND(M49&gt;200,M49&lt;=1000),M49*3%,M49*5%))))</f>
        <v>7.2</v>
      </c>
      <c r="M68" s="294">
        <f ca="1">ROUND(L68,1)</f>
        <v>7.2</v>
      </c>
      <c r="N68" s="2326"/>
      <c r="Z68" s="1622"/>
      <c r="AI68" s="1560"/>
    </row>
    <row r="69" spans="1:35" ht="16.5" customHeight="1">
      <c r="A69" s="1671"/>
      <c r="B69" s="1672"/>
      <c r="C69" s="1673"/>
      <c r="D69" s="1674"/>
      <c r="E69" s="1675"/>
      <c r="F69" s="1465"/>
      <c r="G69" s="1465"/>
      <c r="H69" s="1466"/>
      <c r="I69" s="646"/>
      <c r="J69" s="3348"/>
      <c r="K69" s="1245" t="s">
        <v>1393</v>
      </c>
      <c r="L69" s="1245"/>
      <c r="M69" s="294">
        <f ca="1">ROUND(SUM(M63:M68),0)</f>
        <v>15</v>
      </c>
      <c r="N69" s="2328">
        <f ca="1">M69/M49</f>
        <v>0.10416666666666667</v>
      </c>
      <c r="Z69" s="1622"/>
      <c r="AI69" s="1560"/>
    </row>
    <row r="70" spans="1:35" s="642" customFormat="1" ht="14.4" thickBot="1">
      <c r="A70" s="3310" t="s">
        <v>1394</v>
      </c>
      <c r="B70" s="3311"/>
      <c r="C70" s="3311"/>
      <c r="D70" s="3311"/>
      <c r="E70" s="3311"/>
      <c r="F70" s="3311"/>
      <c r="G70" s="3311"/>
      <c r="H70" s="331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289" t="s">
        <v>1375</v>
      </c>
      <c r="B71" s="329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137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284" t="s">
        <v>1402</v>
      </c>
      <c r="F76" s="3258"/>
      <c r="G76" s="3258"/>
      <c r="H76" s="330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268" t="s">
        <v>1406</v>
      </c>
      <c r="F78" s="3269"/>
      <c r="G78" s="3269"/>
      <c r="H78" s="327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136</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136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81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0" t="s">
        <v>1410</v>
      </c>
      <c r="B83" s="3311"/>
      <c r="C83" s="3311"/>
      <c r="D83" s="3311"/>
      <c r="E83" s="3311"/>
      <c r="F83" s="3311"/>
      <c r="G83" s="3311"/>
      <c r="H83" s="331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289" t="s">
        <v>1375</v>
      </c>
      <c r="B84" s="329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137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350" t="s">
        <v>2125</v>
      </c>
      <c r="H90" s="3351"/>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268" t="s">
        <v>1419</v>
      </c>
      <c r="F91" s="3269"/>
      <c r="G91" s="326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268" t="s">
        <v>1422</v>
      </c>
      <c r="F92" s="3269"/>
      <c r="G92" s="3269"/>
      <c r="H92" s="3278"/>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268" t="s">
        <v>1406</v>
      </c>
      <c r="F93" s="3269"/>
      <c r="G93" s="3269"/>
      <c r="H93" s="327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279" t="s">
        <v>1426</v>
      </c>
      <c r="F94" s="3280"/>
      <c r="G94" s="3280"/>
      <c r="H94" s="328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136</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136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81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67" t="str">
        <f>C4</f>
        <v>比较法-办公</v>
      </c>
      <c r="D101" s="2368" t="str">
        <f>D4</f>
        <v>收益法 (元)</v>
      </c>
      <c r="E101" s="3345" t="s">
        <v>1431</v>
      </c>
      <c r="F101" s="3302"/>
      <c r="G101" s="1686" t="s">
        <v>1432</v>
      </c>
      <c r="H101" s="2377">
        <f ca="1">H118</f>
        <v>144</v>
      </c>
      <c r="I101" s="121"/>
    </row>
    <row r="102" spans="1:35" ht="18.75" customHeight="1">
      <c r="A102" s="3304" t="s">
        <v>1433</v>
      </c>
      <c r="B102" s="2366" t="s">
        <v>1432</v>
      </c>
      <c r="C102" s="2367">
        <f ca="1">IF(D32="楼面单价",ROUND(C19,0),C19)</f>
        <v>169</v>
      </c>
      <c r="D102" s="2368">
        <f ca="1">IF(D32="楼面单价",ROUND(D19,0),D19)</f>
        <v>87</v>
      </c>
      <c r="E102" s="3345"/>
      <c r="F102" s="3302"/>
      <c r="G102" s="1686" t="s">
        <v>1434</v>
      </c>
      <c r="H102" s="2337">
        <f ca="1">I118</f>
        <v>13805</v>
      </c>
      <c r="I102" s="121"/>
    </row>
    <row r="103" spans="1:35" ht="42.75" customHeight="1">
      <c r="A103" s="3304"/>
      <c r="B103" s="2366" t="s">
        <v>1434</v>
      </c>
      <c r="C103" s="2369">
        <f ca="1">C20</f>
        <v>16156</v>
      </c>
      <c r="D103" s="2370">
        <f ca="1">D20</f>
        <v>8320</v>
      </c>
      <c r="E103" s="3339" t="s">
        <v>1435</v>
      </c>
      <c r="F103" s="3340"/>
      <c r="G103" s="1687" t="s">
        <v>1436</v>
      </c>
      <c r="H103" s="2377">
        <f>IF(D36="正常操作",H104+H105+H106,H105+H106)</f>
        <v>0</v>
      </c>
      <c r="I103" s="121"/>
    </row>
    <row r="104" spans="1:35" ht="18.75" customHeight="1">
      <c r="A104" s="3304" t="s">
        <v>1437</v>
      </c>
      <c r="B104" s="2371" t="s">
        <v>1432</v>
      </c>
      <c r="C104" s="2372">
        <f ca="1">H118</f>
        <v>144</v>
      </c>
      <c r="D104" s="2373"/>
      <c r="E104" s="1554" t="s">
        <v>1438</v>
      </c>
      <c r="F104" s="1547"/>
      <c r="G104" s="1687" t="s">
        <v>1436</v>
      </c>
      <c r="H104" s="2378">
        <f>IF(D36="同一抵押权人同一抵押物续贷",C36&amp;"（续贷，未扣减，详见特别提示）",C36)</f>
        <v>0</v>
      </c>
      <c r="I104" s="121"/>
    </row>
    <row r="105" spans="1:35" ht="18.75" customHeight="1" thickBot="1">
      <c r="A105" s="3305"/>
      <c r="B105" s="2374" t="s">
        <v>1434</v>
      </c>
      <c r="C105" s="2375">
        <f ca="1">I118</f>
        <v>13805</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301" t="str">
        <f>IF(项目基本情况!E8="已注销","——","3.房地产抵押价值")</f>
        <v>3.房地产抵押价值</v>
      </c>
      <c r="F107" s="3302"/>
      <c r="G107" s="1686" t="s">
        <v>1432</v>
      </c>
      <c r="H107" s="2377">
        <f ca="1">IF(E107="——","——",H101-H103)</f>
        <v>144</v>
      </c>
      <c r="I107" s="121"/>
    </row>
    <row r="108" spans="1:35" ht="18.75" customHeight="1">
      <c r="A108" s="121"/>
      <c r="B108" s="121"/>
      <c r="C108" s="121"/>
      <c r="D108" s="121"/>
      <c r="E108" s="3301"/>
      <c r="F108" s="3302"/>
      <c r="G108" s="1686" t="s">
        <v>1434</v>
      </c>
      <c r="H108" s="2337">
        <f ca="1">IF(H107=H101,H102,ROUND(H107*10000/'数据-汇总表'!E3,0))</f>
        <v>13805</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6" t="s">
        <v>1432</v>
      </c>
      <c r="H109" s="2380" t="str">
        <f>IF(E109="——","——",H101-H105-H106)</f>
        <v>——</v>
      </c>
      <c r="I109" s="121"/>
    </row>
    <row r="110" spans="1:35" ht="18.75" customHeight="1">
      <c r="A110" s="121"/>
      <c r="B110" s="121"/>
      <c r="C110" s="121"/>
      <c r="D110" s="121"/>
      <c r="E110" s="3301"/>
      <c r="F110" s="3302"/>
      <c r="G110" s="1686" t="s">
        <v>1434</v>
      </c>
      <c r="H110" s="2337"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6" t="s">
        <v>1432</v>
      </c>
      <c r="H111" s="2377" t="str">
        <f>IF(E111="——","——",N59)</f>
        <v>——</v>
      </c>
      <c r="I111" s="121"/>
    </row>
    <row r="112" spans="1:35" ht="18.75" customHeight="1" thickBot="1">
      <c r="A112" s="121"/>
      <c r="B112" s="121"/>
      <c r="C112" s="121"/>
      <c r="D112" s="121"/>
      <c r="E112" s="3334"/>
      <c r="F112" s="3335"/>
      <c r="G112" s="1689" t="s">
        <v>1434</v>
      </c>
      <c r="H112" s="2381"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0"/>
      <c r="F114" s="1670"/>
      <c r="G114" s="1670"/>
      <c r="H114" s="1670"/>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144</v>
      </c>
      <c r="I118" s="2149">
        <f ca="1">ROUND(IF(D32="楼面单价",C32,H118*10000/B118),0)</f>
        <v>13805</v>
      </c>
    </row>
    <row r="119" spans="1:27" ht="18.75" customHeight="1">
      <c r="A119" s="3272" t="s">
        <v>1452</v>
      </c>
      <c r="B119" s="3272"/>
      <c r="C119" s="3272"/>
      <c r="D119" s="3312" t="str">
        <f>NUMBERSTRING(INT(D118*10000),2)&amp;"元整"</f>
        <v>零元整</v>
      </c>
      <c r="E119" s="3314"/>
      <c r="F119" s="3312" t="str">
        <f>NUMBERSTRING(INT(F118*10000),2)&amp;"元整"</f>
        <v>零元整</v>
      </c>
      <c r="G119" s="3314"/>
      <c r="H119" s="3312" t="str">
        <f ca="1">NUMBERSTRING(INT(H118*10000),2)&amp;"元整"</f>
        <v>壹佰肆拾肆万元整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144</v>
      </c>
      <c r="E122" s="3337"/>
      <c r="F122" s="3337"/>
      <c r="G122" s="3337"/>
      <c r="H122" s="3337"/>
      <c r="I122" s="3338"/>
      <c r="AA122" s="684"/>
    </row>
    <row r="123" spans="1:27" ht="18.75" customHeight="1">
      <c r="A123" s="3272" t="s">
        <v>1452</v>
      </c>
      <c r="B123" s="3272"/>
      <c r="C123" s="3272"/>
      <c r="D123" s="3312" t="str">
        <f ca="1">NUMBERSTRING(INT(D122*10000),2)&amp;"元整"</f>
        <v>壹佰肆拾肆万元整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53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51</v>
      </c>
      <c r="D51" s="224"/>
      <c r="E51" s="224"/>
      <c r="F51" s="256"/>
      <c r="G51" s="226" t="s">
        <v>1560</v>
      </c>
    </row>
    <row r="52" spans="1:7" s="200" customFormat="1" ht="16.8"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北京市平谷区府前西街18号院1号楼4层2单元409等[4]套房地产抵押价值预评估</v>
      </c>
      <c r="C37" s="3170"/>
      <c r="D37" s="3170"/>
      <c r="E37" s="3170"/>
      <c r="F37" s="3170"/>
      <c r="G37" s="3170"/>
      <c r="H37" s="3170"/>
      <c r="I37" s="3170"/>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7" t="s">
        <v>694</v>
      </c>
      <c r="C6" s="1011">
        <f ca="1">ROUND(F6*F8*F7*(1-F9)/10000,0)</f>
        <v>0</v>
      </c>
      <c r="D6" s="147" t="s">
        <v>2105</v>
      </c>
      <c r="E6" s="294" t="s">
        <v>696</v>
      </c>
      <c r="F6" s="295">
        <f ca="1">INDIRECT("'数据-取费表'!u"&amp;$G$1)</f>
        <v>0</v>
      </c>
      <c r="G6" s="1291"/>
      <c r="H6" s="1006" t="s">
        <v>398</v>
      </c>
      <c r="I6" s="3357" t="s">
        <v>694</v>
      </c>
      <c r="J6" s="293">
        <f ca="1">ROUND(M6*M8*M7*(1-M9)/10000,0)</f>
        <v>0</v>
      </c>
      <c r="K6" s="147" t="s">
        <v>2104</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1"/>
      <c r="H7" s="296"/>
      <c r="I7" s="3358"/>
      <c r="J7" s="298"/>
      <c r="K7" s="299"/>
      <c r="L7" s="294" t="s">
        <v>697</v>
      </c>
      <c r="M7" s="295">
        <f ca="1">F7</f>
        <v>0</v>
      </c>
    </row>
    <row r="8" spans="1:37" ht="18" customHeight="1">
      <c r="A8" s="296"/>
      <c r="B8" s="3358"/>
      <c r="C8" s="298"/>
      <c r="D8" s="299"/>
      <c r="E8" s="294" t="s">
        <v>698</v>
      </c>
      <c r="F8" s="295">
        <f ca="1">INDIRECT("'数据-取费表'!ai"&amp;$G$1)</f>
        <v>0</v>
      </c>
      <c r="G8" s="1291"/>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55" t="s">
        <v>837</v>
      </c>
      <c r="L53" s="3356"/>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Normal="70" zoomScaleSheetLayoutView="100" workbookViewId="0">
      <selection activeCell="D63" sqref="D63"/>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3436</v>
      </c>
      <c r="E1" s="3127" t="s">
        <v>3473</v>
      </c>
      <c r="F1" s="1734" t="s">
        <v>3474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168.6686</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16156</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382" t="s">
        <v>1775</v>
      </c>
      <c r="Q4" s="3383"/>
      <c r="R4" s="3388" t="s">
        <v>1771</v>
      </c>
      <c r="S4" s="3389"/>
      <c r="T4" s="3388" t="s">
        <v>1772</v>
      </c>
      <c r="U4" s="3389"/>
      <c r="V4" s="3394" t="s">
        <v>1773</v>
      </c>
      <c r="W4" s="3394"/>
      <c r="X4" s="1808"/>
      <c r="Y4" s="3388" t="s">
        <v>1775</v>
      </c>
      <c r="Z4" s="3389"/>
      <c r="AA4" s="3405" t="s">
        <v>1771</v>
      </c>
      <c r="AB4" s="3405" t="s">
        <v>1772</v>
      </c>
      <c r="AC4" s="3375" t="s">
        <v>1773</v>
      </c>
    </row>
    <row r="5" spans="1:29" ht="13.95" customHeight="1">
      <c r="A5" s="348"/>
      <c r="B5" s="349"/>
      <c r="C5" s="3397" t="s">
        <v>3512</v>
      </c>
      <c r="D5" s="3398"/>
      <c r="E5" s="3397" t="s">
        <v>3512</v>
      </c>
      <c r="F5" s="3398"/>
      <c r="G5" s="3397" t="s">
        <v>3512</v>
      </c>
      <c r="H5" s="3398"/>
      <c r="I5" s="3397" t="s">
        <v>3512</v>
      </c>
      <c r="J5" s="3398"/>
      <c r="K5" s="537"/>
      <c r="L5" s="2482"/>
      <c r="M5" s="2483"/>
      <c r="N5" s="2483"/>
      <c r="O5" s="2483"/>
      <c r="P5" s="3384"/>
      <c r="Q5" s="3385"/>
      <c r="R5" s="3390"/>
      <c r="S5" s="3391"/>
      <c r="T5" s="3390"/>
      <c r="U5" s="3391"/>
      <c r="V5" s="3362"/>
      <c r="W5" s="3362"/>
      <c r="X5" s="1264"/>
      <c r="Y5" s="3390"/>
      <c r="Z5" s="3391"/>
      <c r="AA5" s="3406"/>
      <c r="AB5" s="3406"/>
      <c r="AC5" s="3376"/>
    </row>
    <row r="6" spans="1:29" ht="15" thickBot="1">
      <c r="A6" s="350"/>
      <c r="B6" s="351"/>
      <c r="C6" s="3395" t="s">
        <v>1677</v>
      </c>
      <c r="D6" s="3396"/>
      <c r="E6" s="3403" t="s">
        <v>1677</v>
      </c>
      <c r="F6" s="3404"/>
      <c r="G6" s="3395" t="s">
        <v>1677</v>
      </c>
      <c r="H6" s="3396"/>
      <c r="I6" s="3395" t="s">
        <v>1677</v>
      </c>
      <c r="J6" s="3396"/>
      <c r="K6" s="537" t="s">
        <v>1678</v>
      </c>
      <c r="L6" s="2482"/>
      <c r="M6" s="2483"/>
      <c r="N6" s="2483"/>
      <c r="O6" s="2483"/>
      <c r="P6" s="3386"/>
      <c r="Q6" s="3387"/>
      <c r="R6" s="3390"/>
      <c r="S6" s="3391"/>
      <c r="T6" s="3392"/>
      <c r="U6" s="3393"/>
      <c r="V6" s="3362"/>
      <c r="W6" s="3362"/>
      <c r="X6" s="1264"/>
      <c r="Y6" s="3392"/>
      <c r="Z6" s="3393"/>
      <c r="AA6" s="3407"/>
      <c r="AB6" s="3407"/>
      <c r="AC6" s="3377"/>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C7</f>
        <v>45702</v>
      </c>
      <c r="J7" s="355">
        <f>SUMIF(59:59,YEAR(I7)&amp;"-"&amp;MONTH(I7),60:60)</f>
        <v>100</v>
      </c>
      <c r="K7" s="38"/>
      <c r="L7" s="2484"/>
      <c r="M7" s="2436"/>
      <c r="N7" s="2436"/>
      <c r="O7" s="2436"/>
      <c r="P7" s="3399" t="s">
        <v>1680</v>
      </c>
      <c r="Q7" s="3402"/>
      <c r="R7" s="664" t="s">
        <v>14</v>
      </c>
      <c r="S7" s="665">
        <f t="shared" ref="S7:S15" si="0">F7</f>
        <v>100</v>
      </c>
      <c r="T7" s="664" t="s">
        <v>14</v>
      </c>
      <c r="U7" s="665">
        <f t="shared" ref="U7:U15" si="1">H7</f>
        <v>100</v>
      </c>
      <c r="V7" s="664" t="s">
        <v>14</v>
      </c>
      <c r="W7" s="665">
        <f t="shared" ref="W7:W15" si="2">J7</f>
        <v>100</v>
      </c>
      <c r="X7" s="666"/>
      <c r="Y7" s="3401" t="s">
        <v>1680</v>
      </c>
      <c r="Z7" s="3400"/>
      <c r="AA7" s="50">
        <f>D7/F7</f>
        <v>1</v>
      </c>
      <c r="AB7" s="50">
        <f>D7/H7</f>
        <v>1</v>
      </c>
      <c r="AC7" s="802">
        <f>D7/J7</f>
        <v>1</v>
      </c>
    </row>
    <row r="8" spans="1:29" s="102" customFormat="1" ht="15" thickBot="1">
      <c r="A8" s="352" t="s">
        <v>1681</v>
      </c>
      <c r="B8" s="353"/>
      <c r="C8" s="358" t="s">
        <v>3475</v>
      </c>
      <c r="D8" s="355">
        <v>100</v>
      </c>
      <c r="E8" s="358" t="s">
        <v>3510</v>
      </c>
      <c r="F8" s="357">
        <f>SUMIF(62:62,E8,63:63)-SUMIF(62:62,C8,63:63)+100</f>
        <v>102</v>
      </c>
      <c r="G8" s="358" t="s">
        <v>3510</v>
      </c>
      <c r="H8" s="355">
        <f>SUMIF(62:62,G8,63:63)-SUMIF(62:62,C8,63:63)+100</f>
        <v>102</v>
      </c>
      <c r="I8" s="358" t="s">
        <v>3510</v>
      </c>
      <c r="J8" s="355">
        <f>SUMIF(62:62,I8,63:63)-SUMIF(62:62,C8,63:63)+100</f>
        <v>102</v>
      </c>
      <c r="K8" s="38"/>
      <c r="L8" s="2484"/>
      <c r="M8" s="2436"/>
      <c r="N8" s="2436"/>
      <c r="O8" s="2436"/>
      <c r="P8" s="3399" t="s">
        <v>1683</v>
      </c>
      <c r="Q8" s="3400"/>
      <c r="R8" s="664" t="s">
        <v>14</v>
      </c>
      <c r="S8" s="665">
        <f t="shared" si="0"/>
        <v>102</v>
      </c>
      <c r="T8" s="664" t="s">
        <v>14</v>
      </c>
      <c r="U8" s="665">
        <f t="shared" si="1"/>
        <v>102</v>
      </c>
      <c r="V8" s="664" t="s">
        <v>14</v>
      </c>
      <c r="W8" s="665">
        <f t="shared" si="2"/>
        <v>102</v>
      </c>
      <c r="X8" s="666"/>
      <c r="Y8" s="3401" t="s">
        <v>1683</v>
      </c>
      <c r="Z8" s="3400"/>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3" t="s">
        <v>3476</v>
      </c>
      <c r="D9" s="59">
        <v>100</v>
      </c>
      <c r="E9" s="3163" t="s">
        <v>3476</v>
      </c>
      <c r="F9" s="59">
        <f>SUMIF(64:64,E9,65:65)-SUMIF(64:64,C9,65:65)+100</f>
        <v>100</v>
      </c>
      <c r="G9" s="3163" t="s">
        <v>3476</v>
      </c>
      <c r="H9" s="59">
        <f>SUMIF(64:64,G9,65:65)-SUMIF(64:64,C9,65:65)+100</f>
        <v>100</v>
      </c>
      <c r="I9" s="3163" t="s">
        <v>3476</v>
      </c>
      <c r="J9" s="59">
        <f>SUMIF(64:64,I9,65:65)-SUMIF(64:64,C9,65:65)+100</f>
        <v>100</v>
      </c>
      <c r="K9" s="38"/>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8.8">
      <c r="A10" s="363"/>
      <c r="B10" s="364" t="s">
        <v>1688</v>
      </c>
      <c r="C10" s="3128" t="s">
        <v>3477</v>
      </c>
      <c r="D10" s="119">
        <v>100</v>
      </c>
      <c r="E10" s="3128" t="s">
        <v>3477</v>
      </c>
      <c r="F10" s="119">
        <f>SUMIF(66:66,E10,67:67)-SUMIF(66:66,C10,67:67)+100</f>
        <v>100</v>
      </c>
      <c r="G10" s="3128" t="s">
        <v>3477</v>
      </c>
      <c r="H10" s="119">
        <f>SUMIF(66:66,G10,67:67)-SUMIF(66:66,C10,67:67)+100</f>
        <v>100</v>
      </c>
      <c r="I10" s="3128" t="s">
        <v>3477</v>
      </c>
      <c r="J10" s="119">
        <f>SUMIF(66:66,I10,67:67)-SUMIF(66:66,C10,67:67)+100</f>
        <v>100</v>
      </c>
      <c r="K10" s="38"/>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60"/>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60"/>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60"/>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60"/>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66" t="s">
        <v>1691</v>
      </c>
      <c r="Q15" s="1262" t="str">
        <f t="shared" si="6"/>
        <v>办公集聚程度</v>
      </c>
      <c r="R15" s="667" t="s">
        <v>14</v>
      </c>
      <c r="S15" s="668">
        <f t="shared" si="0"/>
        <v>100</v>
      </c>
      <c r="T15" s="667" t="s">
        <v>14</v>
      </c>
      <c r="U15" s="668">
        <f t="shared" si="1"/>
        <v>100</v>
      </c>
      <c r="V15" s="667" t="s">
        <v>14</v>
      </c>
      <c r="W15" s="668">
        <f t="shared" si="2"/>
        <v>100</v>
      </c>
      <c r="X15" s="1264"/>
      <c r="Y15" s="3368" t="s">
        <v>1691</v>
      </c>
      <c r="Z15" s="1263" t="str">
        <f t="shared" si="7"/>
        <v>办公集聚程度</v>
      </c>
      <c r="AA15" s="1263">
        <f t="shared" si="3"/>
        <v>1</v>
      </c>
      <c r="AB15" s="1263">
        <f t="shared" si="4"/>
        <v>1</v>
      </c>
      <c r="AC15" s="1811">
        <f t="shared" si="5"/>
        <v>1</v>
      </c>
    </row>
    <row r="16" spans="1:29" ht="15">
      <c r="A16" s="367"/>
      <c r="B16" s="555"/>
      <c r="C16" s="1757" t="s">
        <v>3432</v>
      </c>
      <c r="D16" s="387"/>
      <c r="E16" s="1757" t="s">
        <v>3432</v>
      </c>
      <c r="F16" s="387"/>
      <c r="G16" s="1757" t="s">
        <v>3432</v>
      </c>
      <c r="H16" s="389"/>
      <c r="I16" s="1757" t="s">
        <v>3432</v>
      </c>
      <c r="J16" s="387"/>
      <c r="K16" s="541"/>
      <c r="L16" s="2488"/>
      <c r="M16" s="2483"/>
      <c r="N16" s="2483"/>
      <c r="O16" s="2483"/>
      <c r="P16" s="3367"/>
      <c r="Q16" s="1262"/>
      <c r="R16" s="667"/>
      <c r="S16" s="668"/>
      <c r="T16" s="667"/>
      <c r="U16" s="668"/>
      <c r="V16" s="667"/>
      <c r="W16" s="668"/>
      <c r="X16" s="1264"/>
      <c r="Y16" s="3369"/>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811">
        <f t="shared" si="5"/>
        <v>1</v>
      </c>
    </row>
    <row r="18" spans="1:29" ht="15">
      <c r="A18" s="367"/>
      <c r="B18" s="401"/>
      <c r="C18" s="1813" t="s">
        <v>3432</v>
      </c>
      <c r="D18" s="389"/>
      <c r="E18" s="1813" t="s">
        <v>3432</v>
      </c>
      <c r="F18" s="389"/>
      <c r="G18" s="1813" t="s">
        <v>3432</v>
      </c>
      <c r="H18" s="387"/>
      <c r="I18" s="1813" t="s">
        <v>3432</v>
      </c>
      <c r="J18" s="387"/>
      <c r="K18" s="541"/>
      <c r="L18" s="2488"/>
      <c r="M18" s="2483"/>
      <c r="N18" s="2483"/>
      <c r="O18" s="2483"/>
      <c r="P18" s="3367"/>
      <c r="Q18" s="1262"/>
      <c r="R18" s="667"/>
      <c r="S18" s="668"/>
      <c r="T18" s="667"/>
      <c r="U18" s="668"/>
      <c r="V18" s="667"/>
      <c r="W18" s="668"/>
      <c r="X18" s="1264"/>
      <c r="Y18" s="3369"/>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811">
        <f t="shared" si="5"/>
        <v>1</v>
      </c>
    </row>
    <row r="20" spans="1:29" ht="15">
      <c r="A20" s="367"/>
      <c r="B20" s="401"/>
      <c r="C20" s="1813" t="s">
        <v>3432</v>
      </c>
      <c r="D20" s="387"/>
      <c r="E20" s="1813" t="s">
        <v>3432</v>
      </c>
      <c r="F20" s="387"/>
      <c r="G20" s="1813" t="s">
        <v>3432</v>
      </c>
      <c r="H20" s="387"/>
      <c r="I20" s="1813" t="s">
        <v>3432</v>
      </c>
      <c r="J20" s="387"/>
      <c r="K20" s="541"/>
      <c r="L20" s="2488"/>
      <c r="M20" s="2483"/>
      <c r="N20" s="2483"/>
      <c r="O20" s="2483"/>
      <c r="P20" s="3367"/>
      <c r="Q20" s="1262"/>
      <c r="R20" s="667"/>
      <c r="S20" s="668"/>
      <c r="T20" s="667"/>
      <c r="U20" s="668"/>
      <c r="V20" s="667"/>
      <c r="W20" s="668"/>
      <c r="X20" s="1264"/>
      <c r="Y20" s="3369"/>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811">
        <f t="shared" ref="AC21" si="10">D21/J21</f>
        <v>1</v>
      </c>
    </row>
    <row r="22" spans="1:29" ht="15">
      <c r="A22" s="367"/>
      <c r="B22" s="557"/>
      <c r="C22" s="1813" t="s">
        <v>3505</v>
      </c>
      <c r="D22" s="387"/>
      <c r="E22" s="1813" t="s">
        <v>3505</v>
      </c>
      <c r="F22" s="387"/>
      <c r="G22" s="1813" t="s">
        <v>3505</v>
      </c>
      <c r="H22" s="387"/>
      <c r="I22" s="1813" t="s">
        <v>3505</v>
      </c>
      <c r="J22" s="387"/>
      <c r="K22" s="1064"/>
      <c r="L22" s="2488"/>
      <c r="M22" s="2483"/>
      <c r="N22" s="2483"/>
      <c r="O22" s="2483"/>
      <c r="P22" s="3367"/>
      <c r="Q22" s="1262"/>
      <c r="R22" s="667"/>
      <c r="S22" s="668"/>
      <c r="T22" s="667"/>
      <c r="U22" s="668"/>
      <c r="V22" s="667"/>
      <c r="W22" s="668"/>
      <c r="X22" s="1264"/>
      <c r="Y22" s="3369"/>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67"/>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811">
        <f t="shared" si="5"/>
        <v>1</v>
      </c>
    </row>
    <row r="24" spans="1:29" ht="15">
      <c r="A24" s="367"/>
      <c r="B24" s="557"/>
      <c r="C24" s="1813" t="s">
        <v>3432</v>
      </c>
      <c r="D24" s="387"/>
      <c r="E24" s="1813" t="s">
        <v>3432</v>
      </c>
      <c r="F24" s="387"/>
      <c r="G24" s="1813" t="s">
        <v>3432</v>
      </c>
      <c r="H24" s="387"/>
      <c r="I24" s="1813" t="s">
        <v>3432</v>
      </c>
      <c r="J24" s="387"/>
      <c r="K24" s="541"/>
      <c r="L24" s="2488"/>
      <c r="M24" s="2483"/>
      <c r="N24" s="2483"/>
      <c r="O24" s="2483"/>
      <c r="P24" s="3367"/>
      <c r="Q24" s="1262"/>
      <c r="R24" s="667"/>
      <c r="S24" s="668"/>
      <c r="T24" s="667"/>
      <c r="U24" s="668"/>
      <c r="V24" s="667"/>
      <c r="W24" s="668"/>
      <c r="X24" s="1264"/>
      <c r="Y24" s="3369"/>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8"/>
      <c r="M25" s="2483"/>
      <c r="N25" s="2483"/>
      <c r="O25" s="2483"/>
      <c r="P25" s="3367"/>
      <c r="Q25" s="1262" t="str">
        <f>B25</f>
        <v>毗邻道路的类型与等级</v>
      </c>
      <c r="R25" s="667" t="s">
        <v>14</v>
      </c>
      <c r="S25" s="668">
        <f>F25</f>
        <v>100</v>
      </c>
      <c r="T25" s="667" t="s">
        <v>14</v>
      </c>
      <c r="U25" s="668">
        <f>H25</f>
        <v>100</v>
      </c>
      <c r="V25" s="667" t="s">
        <v>14</v>
      </c>
      <c r="W25" s="668">
        <f>J25</f>
        <v>100</v>
      </c>
      <c r="X25" s="1264"/>
      <c r="Y25" s="3369"/>
      <c r="Z25" s="1263" t="str">
        <f>Q25</f>
        <v>毗邻道路的类型与等级</v>
      </c>
      <c r="AA25" s="1263">
        <f t="shared" si="3"/>
        <v>1</v>
      </c>
      <c r="AB25" s="1263">
        <f t="shared" si="4"/>
        <v>1</v>
      </c>
      <c r="AC25" s="1811">
        <f t="shared" si="5"/>
        <v>1</v>
      </c>
    </row>
    <row r="26" spans="1:29" ht="15">
      <c r="A26" s="348"/>
      <c r="B26" s="401"/>
      <c r="C26" s="558" t="s">
        <v>3490</v>
      </c>
      <c r="D26" s="374"/>
      <c r="E26" s="558" t="s">
        <v>3490</v>
      </c>
      <c r="F26" s="374"/>
      <c r="G26" s="558" t="s">
        <v>3490</v>
      </c>
      <c r="H26" s="374"/>
      <c r="I26" s="558" t="s">
        <v>3490</v>
      </c>
      <c r="J26" s="374"/>
      <c r="K26" s="541"/>
      <c r="L26" s="2488"/>
      <c r="M26" s="2483"/>
      <c r="N26" s="2483"/>
      <c r="O26" s="2483"/>
      <c r="P26" s="3367"/>
      <c r="Q26" s="1262"/>
      <c r="R26" s="667"/>
      <c r="S26" s="668"/>
      <c r="T26" s="667"/>
      <c r="U26" s="668"/>
      <c r="V26" s="667"/>
      <c r="W26" s="668"/>
      <c r="X26" s="1264"/>
      <c r="Y26" s="3369"/>
      <c r="Z26" s="1263"/>
      <c r="AA26" s="1263">
        <v>1</v>
      </c>
      <c r="AB26" s="1263">
        <v>1</v>
      </c>
      <c r="AC26" s="1811">
        <v>1</v>
      </c>
    </row>
    <row r="27" spans="1:29" ht="15">
      <c r="A27" s="367"/>
      <c r="B27" s="401" t="s">
        <v>1783</v>
      </c>
      <c r="C27" s="558" t="s">
        <v>3466</v>
      </c>
      <c r="D27" s="374">
        <v>100</v>
      </c>
      <c r="E27" s="542" t="s">
        <v>3466</v>
      </c>
      <c r="F27" s="374">
        <f>SUMIF(89:89,E27,90:90)-SUMIF(89:89,C27,90:90)+100</f>
        <v>100</v>
      </c>
      <c r="G27" s="558" t="s">
        <v>3466</v>
      </c>
      <c r="H27" s="374">
        <f>SUMIF(89:89,G27,90:90)-SUMIF(89:89,C27,90:90)+100</f>
        <v>100</v>
      </c>
      <c r="I27" s="542" t="s">
        <v>3467</v>
      </c>
      <c r="J27" s="374">
        <f>SUMIF(89:89,I27,90:90)-SUMIF(89:89,C27,90:90)+100</f>
        <v>102</v>
      </c>
      <c r="K27" s="538">
        <v>2</v>
      </c>
      <c r="L27" s="2488"/>
      <c r="M27" s="2483"/>
      <c r="N27" s="2483"/>
      <c r="O27" s="2483"/>
      <c r="P27" s="3367"/>
      <c r="Q27" s="1262" t="str">
        <f t="shared" ref="Q27:Q47" si="11">B27</f>
        <v>楼层</v>
      </c>
      <c r="R27" s="667" t="s">
        <v>14</v>
      </c>
      <c r="S27" s="668">
        <f>F27</f>
        <v>100</v>
      </c>
      <c r="T27" s="667" t="s">
        <v>14</v>
      </c>
      <c r="U27" s="668">
        <f>H27</f>
        <v>100</v>
      </c>
      <c r="V27" s="667" t="s">
        <v>14</v>
      </c>
      <c r="W27" s="668">
        <f>J27</f>
        <v>102</v>
      </c>
      <c r="X27" s="1264"/>
      <c r="Y27" s="3369"/>
      <c r="Z27" s="1263" t="str">
        <f>Q27</f>
        <v>楼层</v>
      </c>
      <c r="AA27" s="1263">
        <f t="shared" si="3"/>
        <v>1</v>
      </c>
      <c r="AB27" s="1263">
        <f t="shared" si="4"/>
        <v>1</v>
      </c>
      <c r="AC27" s="1811">
        <f t="shared" si="5"/>
        <v>0.98039215686274506</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67"/>
      <c r="Q28" s="530" t="str">
        <f t="shared" si="11"/>
        <v>朝向</v>
      </c>
      <c r="R28" s="664" t="s">
        <v>14</v>
      </c>
      <c r="S28" s="665">
        <f>F28</f>
        <v>100</v>
      </c>
      <c r="T28" s="664" t="s">
        <v>14</v>
      </c>
      <c r="U28" s="665">
        <f>H28</f>
        <v>100</v>
      </c>
      <c r="V28" s="664" t="s">
        <v>14</v>
      </c>
      <c r="W28" s="665">
        <f>J28</f>
        <v>100</v>
      </c>
      <c r="X28" s="666"/>
      <c r="Y28" s="3369"/>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67"/>
      <c r="Q29" s="1262">
        <f t="shared" si="11"/>
        <v>111</v>
      </c>
      <c r="R29" s="667" t="s">
        <v>14</v>
      </c>
      <c r="S29" s="668">
        <f t="shared" ref="S29:S47" si="12">F29</f>
        <v>100</v>
      </c>
      <c r="T29" s="667" t="s">
        <v>14</v>
      </c>
      <c r="U29" s="668">
        <f t="shared" ref="U29:U47" si="13">H29</f>
        <v>100</v>
      </c>
      <c r="V29" s="667" t="s">
        <v>14</v>
      </c>
      <c r="W29" s="668">
        <f t="shared" ref="W29:W47" si="14">J29</f>
        <v>100</v>
      </c>
      <c r="X29" s="1264"/>
      <c r="Y29" s="3369"/>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67"/>
      <c r="Q32" s="1262">
        <f t="shared" si="11"/>
        <v>111</v>
      </c>
      <c r="R32" s="667" t="s">
        <v>14</v>
      </c>
      <c r="S32" s="668">
        <f t="shared" si="12"/>
        <v>100</v>
      </c>
      <c r="T32" s="667" t="s">
        <v>14</v>
      </c>
      <c r="U32" s="668">
        <f t="shared" si="13"/>
        <v>100</v>
      </c>
      <c r="V32" s="667" t="s">
        <v>14</v>
      </c>
      <c r="W32" s="668">
        <f t="shared" si="14"/>
        <v>100</v>
      </c>
      <c r="X32" s="1264"/>
      <c r="Y32" s="3369"/>
      <c r="Z32" s="1263">
        <f t="shared" si="15"/>
        <v>111</v>
      </c>
      <c r="AA32" s="1263">
        <f t="shared" si="3"/>
        <v>1</v>
      </c>
      <c r="AB32" s="1263">
        <f t="shared" si="4"/>
        <v>1</v>
      </c>
      <c r="AC32" s="1811">
        <f t="shared" si="5"/>
        <v>1</v>
      </c>
    </row>
    <row r="33" spans="1:29" ht="15">
      <c r="A33" s="379" t="s">
        <v>1694</v>
      </c>
      <c r="B33" s="60" t="s">
        <v>1817</v>
      </c>
      <c r="C33" s="1763" t="s">
        <v>3496</v>
      </c>
      <c r="D33" s="405">
        <v>100</v>
      </c>
      <c r="E33" s="1763" t="s">
        <v>3496</v>
      </c>
      <c r="F33" s="400">
        <f>SUMIF(101:101,E33,102:102)-SUMIF(101:101,C33,102:102)+100</f>
        <v>100</v>
      </c>
      <c r="G33" s="1763" t="s">
        <v>3496</v>
      </c>
      <c r="H33" s="374">
        <f>SUMIF(101:101,G33,102:102)-SUMIF(101:101,C33,102:102)+100</f>
        <v>100</v>
      </c>
      <c r="I33" s="1763" t="s">
        <v>3496</v>
      </c>
      <c r="J33" s="405">
        <f>SUMIF(101:101,I33,102:102)-SUMIF(101:101,C33,102:102)+100</f>
        <v>100</v>
      </c>
      <c r="K33" s="538">
        <v>2</v>
      </c>
      <c r="L33" s="2488"/>
      <c r="M33" s="2483"/>
      <c r="N33" s="2483"/>
      <c r="O33" s="2483"/>
      <c r="P33" s="3370"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104.4</v>
      </c>
      <c r="D34" s="119">
        <v>100</v>
      </c>
      <c r="E34" s="369">
        <v>73.33</v>
      </c>
      <c r="F34" s="364">
        <f>LOOKUP(E34,104:104,105:105)-LOOKUP(C34,104:104,105:105)+100</f>
        <v>101</v>
      </c>
      <c r="G34" s="368">
        <v>73</v>
      </c>
      <c r="H34" s="119">
        <f>LOOKUP(G34,104:104,105:105)-LOOKUP(C34,104:104,105:105)+100</f>
        <v>101</v>
      </c>
      <c r="I34" s="368">
        <v>87</v>
      </c>
      <c r="J34" s="119">
        <f>LOOKUP(I34,104:104,105:105)-LOOKUP(C34,104:104,105:105)+100</f>
        <v>101</v>
      </c>
      <c r="K34" s="539"/>
      <c r="L34" s="2487"/>
      <c r="M34" s="2489"/>
      <c r="N34" s="2489"/>
      <c r="O34" s="2489"/>
      <c r="P34" s="3371"/>
      <c r="Q34" s="531" t="str">
        <f t="shared" si="11"/>
        <v>项目建筑规模</v>
      </c>
      <c r="R34" s="669" t="s">
        <v>14</v>
      </c>
      <c r="S34" s="670">
        <f t="shared" si="12"/>
        <v>101</v>
      </c>
      <c r="T34" s="669" t="s">
        <v>14</v>
      </c>
      <c r="U34" s="670">
        <f t="shared" si="13"/>
        <v>101</v>
      </c>
      <c r="V34" s="669" t="s">
        <v>14</v>
      </c>
      <c r="W34" s="670">
        <f t="shared" si="14"/>
        <v>101</v>
      </c>
      <c r="X34" s="671"/>
      <c r="Y34" s="3373"/>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t="s">
        <v>3440</v>
      </c>
      <c r="D35" s="374">
        <v>100</v>
      </c>
      <c r="E35" s="399" t="s">
        <v>3440</v>
      </c>
      <c r="F35" s="400">
        <f>SUMIF(106:106,E35,107:107)-SUMIF(106:106,C35,107:107)+100</f>
        <v>100</v>
      </c>
      <c r="G35" s="399" t="s">
        <v>3440</v>
      </c>
      <c r="H35" s="374">
        <f>SUMIF(106:106,G35,107:107)-SUMIF(106:106,C35,107:107)+100</f>
        <v>100</v>
      </c>
      <c r="I35" s="399" t="s">
        <v>3440</v>
      </c>
      <c r="J35" s="374">
        <f>SUMIF(106:106,I35,107:107)-SUMIF(106:106,C35,107:107)+100</f>
        <v>100</v>
      </c>
      <c r="K35" s="538">
        <v>2</v>
      </c>
      <c r="L35" s="2488"/>
      <c r="M35" s="2483"/>
      <c r="N35" s="2483"/>
      <c r="O35" s="2483"/>
      <c r="P35" s="3371"/>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t="s">
        <v>3499</v>
      </c>
      <c r="D36" s="374">
        <v>100</v>
      </c>
      <c r="E36" s="399" t="s">
        <v>3499</v>
      </c>
      <c r="F36" s="400">
        <f>SUMIF(108:108,E36,109:109)-SUMIF(108:108,C36,109:109)+100</f>
        <v>100</v>
      </c>
      <c r="G36" s="399" t="s">
        <v>3499</v>
      </c>
      <c r="H36" s="374">
        <f>SUMIF(108:108,G36,109:109)-SUMIF(108:108,C36,109:109)+100</f>
        <v>100</v>
      </c>
      <c r="I36" s="399" t="s">
        <v>3499</v>
      </c>
      <c r="J36" s="374">
        <f>SUMIF(108:108,I36,109:109)-SUMIF(108:108,C36,109:109)+100</f>
        <v>100</v>
      </c>
      <c r="K36" s="538">
        <v>2</v>
      </c>
      <c r="L36" s="2488"/>
      <c r="M36" s="2483"/>
      <c r="N36" s="2483"/>
      <c r="O36" s="2483"/>
      <c r="P36" s="3371"/>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371"/>
      <c r="Q37" s="1262" t="str">
        <f t="shared" si="11"/>
        <v>成新度</v>
      </c>
      <c r="R37" s="667" t="s">
        <v>14</v>
      </c>
      <c r="S37" s="668">
        <f t="shared" si="12"/>
        <v>100</v>
      </c>
      <c r="T37" s="667" t="s">
        <v>14</v>
      </c>
      <c r="U37" s="668">
        <f t="shared" si="13"/>
        <v>100</v>
      </c>
      <c r="V37" s="667" t="s">
        <v>14</v>
      </c>
      <c r="W37" s="668">
        <f t="shared" si="14"/>
        <v>100</v>
      </c>
      <c r="X37" s="1264"/>
      <c r="Y37" s="3373"/>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71"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v>1</v>
      </c>
      <c r="L40" s="2488"/>
      <c r="M40" s="2483"/>
      <c r="N40" s="2483"/>
      <c r="O40" s="2483"/>
      <c r="P40" s="3371"/>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t="s">
        <v>3513</v>
      </c>
      <c r="D41" s="374">
        <v>100</v>
      </c>
      <c r="E41" s="542" t="s">
        <v>3513</v>
      </c>
      <c r="F41" s="400">
        <f>SUMIF(119:119,E41,120:120)-SUMIF(119:119,C41,120:120)+100</f>
        <v>100</v>
      </c>
      <c r="G41" s="542" t="s">
        <v>3513</v>
      </c>
      <c r="H41" s="374">
        <f>SUMIF(119:119,G41,120:120)-SUMIF(119:119,C41,120:120)+100</f>
        <v>100</v>
      </c>
      <c r="I41" s="542" t="s">
        <v>3513</v>
      </c>
      <c r="J41" s="374">
        <f>SUMIF(119:119,I41,120:120)-SUMIF(119:119,C41,120:120)+100</f>
        <v>100</v>
      </c>
      <c r="K41" s="538">
        <v>5</v>
      </c>
      <c r="L41" s="2488"/>
      <c r="M41" s="2483"/>
      <c r="N41" s="2483"/>
      <c r="O41" s="2483"/>
      <c r="P41" s="3371"/>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t="s">
        <v>3465</v>
      </c>
      <c r="D43" s="374">
        <v>100</v>
      </c>
      <c r="E43" s="399" t="s">
        <v>3501</v>
      </c>
      <c r="F43" s="400">
        <f>SUMIF(123:123,E43,124:124)-SUMIF(123:123,C43,124:124)+100</f>
        <v>102</v>
      </c>
      <c r="G43" s="399" t="s">
        <v>3499</v>
      </c>
      <c r="H43" s="374">
        <f>SUMIF(123:123,G43,124:124)-SUMIF(123:123,C43,124:124)+100</f>
        <v>103</v>
      </c>
      <c r="I43" s="399" t="s">
        <v>3501</v>
      </c>
      <c r="J43" s="374">
        <f>SUMIF(123:123,I43,124:124)-SUMIF(123:123,C43,124:124)+100</f>
        <v>102</v>
      </c>
      <c r="K43" s="538">
        <v>1</v>
      </c>
      <c r="L43" s="2488"/>
      <c r="M43" s="2483"/>
      <c r="N43" s="2483"/>
      <c r="O43" s="2483"/>
      <c r="P43" s="3371"/>
      <c r="Q43" s="1262" t="str">
        <f t="shared" si="11"/>
        <v>内部装修</v>
      </c>
      <c r="R43" s="667" t="s">
        <v>14</v>
      </c>
      <c r="S43" s="668">
        <f t="shared" si="12"/>
        <v>102</v>
      </c>
      <c r="T43" s="667" t="s">
        <v>14</v>
      </c>
      <c r="U43" s="668">
        <f t="shared" si="13"/>
        <v>103</v>
      </c>
      <c r="V43" s="667" t="s">
        <v>14</v>
      </c>
      <c r="W43" s="668">
        <f t="shared" si="14"/>
        <v>102</v>
      </c>
      <c r="X43" s="1264"/>
      <c r="Y43" s="3373"/>
      <c r="Z43" s="1263" t="str">
        <f t="shared" si="15"/>
        <v>内部装修</v>
      </c>
      <c r="AA43" s="1263">
        <f t="shared" si="3"/>
        <v>0.98039215686274506</v>
      </c>
      <c r="AB43" s="1263">
        <f t="shared" si="4"/>
        <v>0.970873786407767</v>
      </c>
      <c r="AC43" s="1811">
        <f t="shared" si="5"/>
        <v>0.98039215686274506</v>
      </c>
    </row>
    <row r="44" spans="1:29" ht="28.8">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88"/>
      <c r="M44" s="2483"/>
      <c r="N44" s="2483"/>
      <c r="O44" s="2483"/>
      <c r="P44" s="3371"/>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1"/>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72"/>
      <c r="Q47" s="1262">
        <f t="shared" si="11"/>
        <v>111</v>
      </c>
      <c r="R47" s="667" t="s">
        <v>14</v>
      </c>
      <c r="S47" s="668">
        <f t="shared" si="12"/>
        <v>100</v>
      </c>
      <c r="T47" s="667" t="s">
        <v>14</v>
      </c>
      <c r="U47" s="668">
        <f t="shared" si="13"/>
        <v>100</v>
      </c>
      <c r="V47" s="667" t="s">
        <v>14</v>
      </c>
      <c r="W47" s="668">
        <f t="shared" si="14"/>
        <v>100</v>
      </c>
      <c r="X47" s="1264"/>
      <c r="Y47" s="3374"/>
      <c r="Z47" s="1263">
        <f t="shared" si="15"/>
        <v>111</v>
      </c>
      <c r="AA47" s="1263">
        <f t="shared" si="3"/>
        <v>1</v>
      </c>
      <c r="AB47" s="1263">
        <f t="shared" si="4"/>
        <v>1</v>
      </c>
      <c r="AC47" s="1811">
        <f t="shared" si="5"/>
        <v>1</v>
      </c>
    </row>
    <row r="48" spans="1:29" ht="14.4">
      <c r="A48" s="416" t="s">
        <v>1708</v>
      </c>
      <c r="B48" s="417"/>
      <c r="C48" s="1081" t="s">
        <v>0</v>
      </c>
      <c r="D48" s="418"/>
      <c r="E48" s="419">
        <v>18410</v>
      </c>
      <c r="F48" s="420"/>
      <c r="G48" s="421">
        <v>17000</v>
      </c>
      <c r="H48" s="422"/>
      <c r="I48" s="419">
        <v>16000</v>
      </c>
      <c r="J48" s="422"/>
      <c r="K48" s="674"/>
      <c r="L48" s="2490"/>
      <c r="M48" s="2483"/>
      <c r="N48" s="2483"/>
      <c r="O48" s="2483"/>
      <c r="P48" s="3360" t="str">
        <f>A48</f>
        <v>成交单价（元/平方米）</v>
      </c>
      <c r="Q48" s="3361"/>
      <c r="R48" s="3362">
        <f>E48</f>
        <v>18410</v>
      </c>
      <c r="S48" s="3362"/>
      <c r="T48" s="3362">
        <f>G48</f>
        <v>17000</v>
      </c>
      <c r="U48" s="3362"/>
      <c r="V48" s="3362">
        <f>I48</f>
        <v>16000</v>
      </c>
      <c r="W48" s="3362"/>
      <c r="X48" s="385"/>
      <c r="Y48" s="673"/>
      <c r="Z48" s="385"/>
      <c r="AA48" s="385"/>
      <c r="AB48" s="385"/>
      <c r="AC48" s="555"/>
    </row>
    <row r="49" spans="1:29" ht="15" thickBot="1">
      <c r="A49" s="423" t="s">
        <v>1793</v>
      </c>
      <c r="B49" s="424"/>
      <c r="C49" s="1082">
        <f>R50</f>
        <v>16156</v>
      </c>
      <c r="D49" s="2140" t="s">
        <v>2134</v>
      </c>
      <c r="E49" s="1083">
        <f>R49</f>
        <v>17520</v>
      </c>
      <c r="F49" s="2141"/>
      <c r="G49" s="1082">
        <f>T49</f>
        <v>16021</v>
      </c>
      <c r="H49" s="2141"/>
      <c r="I49" s="1083">
        <f>V49</f>
        <v>14928</v>
      </c>
      <c r="J49" s="2141"/>
      <c r="K49" s="2143">
        <f>F49+H49+J49</f>
        <v>0</v>
      </c>
      <c r="L49" s="2490"/>
      <c r="M49" s="2483"/>
      <c r="N49" s="2483"/>
      <c r="O49" s="2483"/>
      <c r="P49" s="3360" t="str">
        <f>A49</f>
        <v>比较价值（元/平方米）</v>
      </c>
      <c r="Q49" s="3361"/>
      <c r="R49" s="3362">
        <f>IF(F1="售价",ROUND(PRODUCT(R48,AA7:AA47),0),ROUND(PRODUCT(R48,AA7:AA47),1))</f>
        <v>17520</v>
      </c>
      <c r="S49" s="3362"/>
      <c r="T49" s="3362">
        <f>IF(F1="售价",ROUND(PRODUCT(T48,AB7:AB47),0),ROUND(PRODUCT(T48,AB7:AB47),1))</f>
        <v>16021</v>
      </c>
      <c r="U49" s="3362"/>
      <c r="V49" s="3362">
        <f>IF(F1="售价",ROUND(PRODUCT(V48,AC7:AC47),0),ROUND(PRODUCT(V48,AC7:AC47),1))</f>
        <v>14928</v>
      </c>
      <c r="W49" s="3362"/>
      <c r="X49" s="385"/>
      <c r="Y49" s="385"/>
      <c r="Z49" s="385"/>
      <c r="AA49" s="385"/>
      <c r="AB49" s="385"/>
      <c r="AC49" s="555"/>
    </row>
    <row r="50" spans="1:29" ht="15" thickBot="1">
      <c r="A50" s="427" t="s">
        <v>1794</v>
      </c>
      <c r="B50" s="428"/>
      <c r="C50" s="351">
        <f>R50</f>
        <v>16156</v>
      </c>
      <c r="D50" s="351"/>
      <c r="E50" s="351"/>
      <c r="F50" s="351"/>
      <c r="G50" s="351"/>
      <c r="H50" s="351"/>
      <c r="I50" s="351"/>
      <c r="J50" s="429"/>
      <c r="K50" s="675"/>
      <c r="L50" s="2490"/>
      <c r="M50" s="2483"/>
      <c r="N50" s="2483"/>
      <c r="O50" s="2483"/>
      <c r="P50" s="3363" t="str">
        <f>A50</f>
        <v>估价对象XX用房的比较价值（楼面单价，元/平方米）</v>
      </c>
      <c r="Q50" s="3364"/>
      <c r="R50" s="3365">
        <f>IF(F1="售价",ROUND(IF(D49="简单平均",AVERAGE(R49:V49),R49*F49+T49*H49+V49*J49),0),ROUND(IF(D49="简单平均",AVERAGE(R49:V49),R49*F49+T49*H49+V49*J49),1))</f>
        <v>16156</v>
      </c>
      <c r="S50" s="3365"/>
      <c r="T50" s="3365"/>
      <c r="U50" s="3365"/>
      <c r="V50" s="3365"/>
      <c r="W50" s="3365"/>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5.079908675799083E-2</v>
      </c>
      <c r="F53" s="435" t="str">
        <f>IF(OR(E53&gt;=0.3,E53&lt;=-0.3),"超过30%","")</f>
        <v/>
      </c>
      <c r="G53" s="434">
        <f>IF(G48&lt;G49,G49/G48-1,G48/G49-1)</f>
        <v>6.110729667311654E-2</v>
      </c>
      <c r="H53" s="435" t="str">
        <f>IF(OR(G53&gt;=0.3,G53&lt;=-0.3),"超过30%","")</f>
        <v/>
      </c>
      <c r="I53" s="434">
        <f>IF(I48&lt;I49,I49/I48-1,I48/I49-1)</f>
        <v>7.1811361200428747E-2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9.3564696336059017E-2</v>
      </c>
      <c r="F54" s="435" t="str">
        <f>IF(OR(E54&gt;=0.2,E54&lt;=-0.2),"超过20%","")</f>
        <v/>
      </c>
      <c r="G54" s="434">
        <f>IF(G49&lt;I49,I49/G49-1,G49/I49-1)</f>
        <v>7.3218113612004254E-2</v>
      </c>
      <c r="H54" s="435" t="str">
        <f>IF(OR(G54&gt;=0.2,G54&lt;=-0.2),"超过20%","")</f>
        <v/>
      </c>
      <c r="I54" s="434">
        <f>IF(I49&lt;E49,E49/I49-1,I49/E49-1)</f>
        <v>0.17363344051446949</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8.2941176470588296E-2</v>
      </c>
      <c r="F55" s="435" t="str">
        <f>IF(OR(E55&gt;=0.3,E55&lt;=-0.3),"超过30%","")</f>
        <v/>
      </c>
      <c r="G55" s="434">
        <f>IF(G48&lt;I48,I48/G48-1,G48/I48-1)</f>
        <v>6.25E-2</v>
      </c>
      <c r="H55" s="435" t="str">
        <f>IF(OR(G55&gt;=0.3,G55&lt;=-0.3),"超过30%","")</f>
        <v/>
      </c>
      <c r="I55" s="434">
        <f>IF(I48&lt;E48,E48/I48-1,I48/E48-1)</f>
        <v>0.15062500000000001</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69" t="s">
        <v>3511</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3478</v>
      </c>
      <c r="D66" s="513" t="s">
        <v>3479</v>
      </c>
      <c r="E66" s="513" t="s">
        <v>3480</v>
      </c>
      <c r="F66" s="513" t="s">
        <v>3481</v>
      </c>
      <c r="G66" s="513" t="s">
        <v>3482</v>
      </c>
      <c r="H66" s="513" t="s">
        <v>3483</v>
      </c>
      <c r="I66" s="513" t="s">
        <v>3484</v>
      </c>
      <c r="J66" s="513" t="s">
        <v>3485</v>
      </c>
      <c r="K66" s="514" t="s">
        <v>3486</v>
      </c>
      <c r="L66" s="515" t="s">
        <v>3487</v>
      </c>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3164" t="s">
        <v>3488</v>
      </c>
      <c r="D87" s="3165" t="s">
        <v>3489</v>
      </c>
      <c r="E87" s="3165" t="s">
        <v>3491</v>
      </c>
      <c r="F87" s="3165" t="s">
        <v>3492</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 thickTop="1">
      <c r="A89" s="370"/>
      <c r="B89" s="469" t="str">
        <f>B27</f>
        <v>楼层</v>
      </c>
      <c r="C89" s="3165" t="s">
        <v>3493</v>
      </c>
      <c r="D89" s="3165" t="s">
        <v>3494</v>
      </c>
      <c r="E89" s="3165" t="s">
        <v>3495</v>
      </c>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166" t="s">
        <v>3497</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100</v>
      </c>
      <c r="E104" s="6">
        <v>200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v>99</v>
      </c>
      <c r="E105" s="467">
        <v>98</v>
      </c>
      <c r="F105" s="467">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65" t="s">
        <v>3498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65" t="s">
        <v>3500</v>
      </c>
      <c r="D108" s="3165" t="s">
        <v>3502</v>
      </c>
      <c r="E108" s="3165" t="s">
        <v>3503</v>
      </c>
      <c r="F108" s="3167" t="s">
        <v>3504</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65" t="s">
        <v>3506</v>
      </c>
      <c r="D117" s="3165" t="s">
        <v>3507</v>
      </c>
      <c r="E117" s="3165" t="s">
        <v>3508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168" t="s">
        <v>3509</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65" t="s">
        <v>3500</v>
      </c>
      <c r="D123" s="3165" t="s">
        <v>3502</v>
      </c>
      <c r="E123" s="3165" t="s">
        <v>3503</v>
      </c>
      <c r="F123" s="3167" t="s">
        <v>3504</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10" sqref="F1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86.864599999999996</v>
      </c>
      <c r="C2" s="1288" t="s">
        <v>879</v>
      </c>
      <c r="D2" s="1374">
        <f ca="1">C40+J29+L46</f>
        <v>868646</v>
      </c>
      <c r="E2" s="1294" t="s">
        <v>880</v>
      </c>
      <c r="F2" s="1295"/>
      <c r="G2" s="2474"/>
      <c r="H2" s="2464"/>
      <c r="I2" s="2464"/>
      <c r="J2" s="2464"/>
      <c r="K2" s="2465"/>
      <c r="L2" s="2464"/>
      <c r="M2" s="2464"/>
    </row>
    <row r="3" spans="1:37" ht="18" customHeight="1" thickBot="1">
      <c r="A3" s="1296" t="s">
        <v>881</v>
      </c>
      <c r="B3" s="1297">
        <f ca="1">IF(ISERROR(D2/F43),0,ROUND(D2/F43,0))</f>
        <v>8320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58375</v>
      </c>
      <c r="D5" s="1272" t="s">
        <v>889</v>
      </c>
      <c r="E5" s="1008"/>
      <c r="F5" s="1009"/>
      <c r="G5" s="1291"/>
      <c r="H5" s="291">
        <v>1</v>
      </c>
      <c r="I5" s="292" t="s">
        <v>888</v>
      </c>
      <c r="J5" s="1007">
        <f ca="1">J6+J10+J12</f>
        <v>0</v>
      </c>
      <c r="K5" s="1272" t="s">
        <v>889</v>
      </c>
      <c r="L5" s="1008"/>
      <c r="M5" s="1009"/>
    </row>
    <row r="6" spans="1:37" ht="18" customHeight="1">
      <c r="A6" s="1006" t="s">
        <v>398</v>
      </c>
      <c r="B6" s="3357" t="s">
        <v>694</v>
      </c>
      <c r="C6" s="1011">
        <f ca="1">ROUND(F6*F8*F7*(1-F9),0)</f>
        <v>58302</v>
      </c>
      <c r="D6" s="147" t="s">
        <v>2102</v>
      </c>
      <c r="E6" s="294" t="s">
        <v>696</v>
      </c>
      <c r="F6" s="295">
        <f ca="1">INDIRECT("'数据-取费表'!u"&amp;$G$1)</f>
        <v>1.7</v>
      </c>
      <c r="G6" s="1291"/>
      <c r="H6" s="1006" t="s">
        <v>398</v>
      </c>
      <c r="I6" s="3357" t="s">
        <v>694</v>
      </c>
      <c r="J6" s="293">
        <f ca="1">ROUND(M6*M8*M7*(1-M9),0)</f>
        <v>0</v>
      </c>
      <c r="K6" s="1283" t="s">
        <v>2103</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104.4</v>
      </c>
      <c r="G7" s="1291"/>
      <c r="H7" s="296"/>
      <c r="I7" s="3358"/>
      <c r="J7" s="298"/>
      <c r="K7" s="299"/>
      <c r="L7" s="294" t="s">
        <v>697</v>
      </c>
      <c r="M7" s="295">
        <f ca="1">F7</f>
        <v>104.4</v>
      </c>
    </row>
    <row r="8" spans="1:37" ht="18" customHeight="1">
      <c r="A8" s="296"/>
      <c r="B8" s="3358"/>
      <c r="C8" s="298"/>
      <c r="D8" s="299"/>
      <c r="E8" s="294" t="s">
        <v>698</v>
      </c>
      <c r="F8" s="295">
        <f ca="1">INDIRECT("'数据-取费表'!ai"&amp;$G$1)</f>
        <v>365</v>
      </c>
      <c r="G8" s="1291"/>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73</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506591</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417600</v>
      </c>
      <c r="D14" s="1256" t="s">
        <v>708</v>
      </c>
      <c r="E14" s="1254"/>
      <c r="F14" s="311"/>
      <c r="G14" s="1291"/>
      <c r="H14" s="928" t="s">
        <v>398</v>
      </c>
      <c r="I14" s="294" t="s">
        <v>709</v>
      </c>
      <c r="J14" s="21">
        <f ca="1">C29</f>
        <v>610351</v>
      </c>
      <c r="K14" s="12"/>
      <c r="L14" s="759"/>
      <c r="M14" s="760"/>
    </row>
    <row r="15" spans="1:37" s="1303" customFormat="1" ht="18" customHeight="1" thickBot="1">
      <c r="A15" s="928" t="s">
        <v>399</v>
      </c>
      <c r="B15" s="294" t="s">
        <v>710</v>
      </c>
      <c r="C15" s="21">
        <f ca="1">ROUND(C14*F15,0)</f>
        <v>20880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1831</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8352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467712</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9354</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1831</v>
      </c>
      <c r="K22" s="1255" t="s">
        <v>739</v>
      </c>
      <c r="L22" s="294" t="s">
        <v>712</v>
      </c>
      <c r="M22" s="320">
        <f ca="1">INDIRECT("'数据-取费表'!Ak"&amp;$G$1)</f>
        <v>3.0000000000000001E-3</v>
      </c>
    </row>
    <row r="23" spans="1:37" s="1303" customFormat="1" ht="18" customHeight="1">
      <c r="A23" s="928" t="s">
        <v>397</v>
      </c>
      <c r="B23" s="294" t="s">
        <v>740</v>
      </c>
      <c r="C23" s="21">
        <f ca="1">IF('数据-取费表'!B22&lt;=1,ROUND(C19*F24*F23/2,0)+ROUND(C20*F24*F23/2,0),ROUND(C19*(POWER((1+F24),F23/2)-1),0)+ROUND(C20*(POWER((1+F24),F23/2)-1),0))</f>
        <v>14789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-1831</v>
      </c>
      <c r="K25" s="1032" t="s">
        <v>753</v>
      </c>
      <c r="L25" s="1033"/>
      <c r="M25" s="1034"/>
    </row>
    <row r="26" spans="1:37" ht="18" customHeight="1">
      <c r="A26" s="928" t="s">
        <v>397</v>
      </c>
      <c r="B26" s="294" t="s">
        <v>754</v>
      </c>
      <c r="C26" s="21">
        <f ca="1">ROUND((C19+C20)*F26,0)</f>
        <v>71560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610351</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12402</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9772</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3109</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6663</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1831</v>
      </c>
      <c r="D36" s="1255" t="s">
        <v>771</v>
      </c>
      <c r="E36" s="294" t="s">
        <v>712</v>
      </c>
      <c r="F36" s="320">
        <f ca="1">INDIRECT("'数据-取费表'!Ak"&amp;$G$1)</f>
        <v>3.0000000000000001E-3</v>
      </c>
      <c r="G36" s="1291"/>
      <c r="H36" s="2469"/>
      <c r="I36" s="1304"/>
      <c r="J36" s="1305"/>
      <c r="K36" s="2327"/>
      <c r="L36" s="2469"/>
      <c r="M36" s="2469"/>
    </row>
    <row r="37" spans="1:18" ht="18" customHeight="1">
      <c r="A37" s="928" t="s">
        <v>437</v>
      </c>
      <c r="B37" s="294" t="s">
        <v>742</v>
      </c>
      <c r="C37" s="21">
        <f ca="1">ROUND(C13*F37,0)</f>
        <v>507</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292</v>
      </c>
      <c r="D38" s="1029" t="s">
        <v>748</v>
      </c>
      <c r="E38" s="1027" t="s">
        <v>744</v>
      </c>
      <c r="F38" s="1023">
        <f ca="1">INDIRECT("'数据-取费表'!Am"&amp;$G$1)</f>
        <v>5.0000000000000001E-3</v>
      </c>
      <c r="G38" s="1291"/>
      <c r="H38" s="2469"/>
      <c r="I38" s="1304"/>
      <c r="J38" s="1305"/>
      <c r="K38" s="2467"/>
      <c r="L38" s="2469"/>
      <c r="M38" s="2469"/>
    </row>
    <row r="39" spans="1:18" ht="24.6" customHeight="1" thickTop="1">
      <c r="A39" s="1016" t="s">
        <v>394</v>
      </c>
      <c r="B39" s="1031" t="s">
        <v>772</v>
      </c>
      <c r="C39" s="302">
        <f ca="1">C5-C30</f>
        <v>45973</v>
      </c>
      <c r="D39" s="1032" t="s">
        <v>773</v>
      </c>
      <c r="E39" s="1033"/>
      <c r="F39" s="1034"/>
      <c r="G39" s="1291"/>
      <c r="H39" s="2469"/>
      <c r="I39" s="1304"/>
      <c r="J39" s="1305"/>
      <c r="K39" s="2467"/>
      <c r="L39" s="2469"/>
      <c r="M39" s="2469"/>
    </row>
    <row r="40" spans="1:18" ht="18" customHeight="1">
      <c r="A40" s="291" t="s">
        <v>395</v>
      </c>
      <c r="B40" s="292" t="s">
        <v>774</v>
      </c>
      <c r="C40" s="293">
        <f ca="1">ROUND(C39*(1-((1+F42)/(1+F40))^F41)/(F40-F42),0)</f>
        <v>841418</v>
      </c>
      <c r="D40" s="316" t="s">
        <v>758</v>
      </c>
      <c r="E40" s="294" t="s">
        <v>759</v>
      </c>
      <c r="F40" s="304">
        <f ca="1">INDIRECT("'数据-取费表'!I"&amp;$G$1)</f>
        <v>5.5E-2</v>
      </c>
      <c r="G40" s="1291"/>
      <c r="H40" s="1365">
        <f ca="1">C39/C5</f>
        <v>0.78754603854389726</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8060</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-87.554699999999997</v>
      </c>
      <c r="D45" s="3126" t="s">
        <v>3348</v>
      </c>
      <c r="E45" s="1306"/>
      <c r="F45" s="1306"/>
      <c r="O45" s="1309" t="s">
        <v>808</v>
      </c>
      <c r="P45" s="1365"/>
      <c r="Q45" s="1365"/>
      <c r="R45" s="1365"/>
    </row>
    <row r="46" spans="1:18" s="1291" customFormat="1" ht="13.8" thickBot="1">
      <c r="A46" s="1310" t="s">
        <v>809</v>
      </c>
      <c r="C46" s="1311">
        <f ca="1">ROUND(C45,0)</f>
        <v>-88</v>
      </c>
      <c r="D46" s="1312" t="str">
        <f>C2</f>
        <v>万元</v>
      </c>
      <c r="I46" s="1313" t="s">
        <v>810</v>
      </c>
      <c r="J46" s="1314"/>
      <c r="K46" s="1315"/>
      <c r="L46" s="1316">
        <f ca="1">IF(M47="住宅",0,IF(L48&gt;J51,L60,J60))</f>
        <v>27228</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841418</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27228</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610351</v>
      </c>
      <c r="R49" s="1326" t="s">
        <v>818</v>
      </c>
    </row>
    <row r="50" spans="1:18" s="1291" customFormat="1" ht="13.8"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191900</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55" t="s">
        <v>837</v>
      </c>
      <c r="L53" s="3356"/>
      <c r="O53" s="1324" t="s">
        <v>409</v>
      </c>
      <c r="P53" s="1325" t="s">
        <v>838</v>
      </c>
      <c r="Q53" s="1326">
        <f ca="1">Q47+Q48</f>
        <v>868646</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506591</v>
      </c>
      <c r="D56" s="1351"/>
      <c r="E56" s="1352"/>
      <c r="F56" s="1344"/>
      <c r="I56" s="1353" t="s">
        <v>842</v>
      </c>
      <c r="J56" s="1354" t="s">
        <v>3442</v>
      </c>
      <c r="K56" s="1327" t="s">
        <v>843</v>
      </c>
      <c r="L56" s="1330" t="str">
        <f ca="1">IF(L48&lt;J51,"——",L48-J51)</f>
        <v>——</v>
      </c>
      <c r="O56" s="1324" t="s">
        <v>403</v>
      </c>
      <c r="P56" s="1325" t="s">
        <v>817</v>
      </c>
      <c r="Q56" s="1326">
        <f ca="1">C40+J29</f>
        <v>841418</v>
      </c>
      <c r="R56" s="1326" t="s">
        <v>818</v>
      </c>
    </row>
    <row r="57" spans="1:18" s="1291" customFormat="1" ht="24.6" thickBot="1">
      <c r="A57" s="1355"/>
      <c r="B57" s="896" t="s">
        <v>767</v>
      </c>
      <c r="C57" s="230">
        <f ca="1">C29</f>
        <v>610351</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2338</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244140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27228</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841418</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1831</v>
      </c>
      <c r="D64" s="910" t="s">
        <v>791</v>
      </c>
      <c r="E64" s="896" t="s">
        <v>783</v>
      </c>
      <c r="F64" s="320">
        <f t="shared" ca="1" si="0"/>
        <v>3.0000000000000001E-3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507</v>
      </c>
      <c r="D65" s="910" t="s">
        <v>743</v>
      </c>
      <c r="E65" s="896" t="s">
        <v>744</v>
      </c>
      <c r="F65" s="321">
        <f t="shared" ca="1" si="0"/>
        <v>1E-3</v>
      </c>
      <c r="I65" s="1366" t="s">
        <v>867</v>
      </c>
      <c r="J65" s="610">
        <v>40</v>
      </c>
      <c r="K65" s="610">
        <v>30</v>
      </c>
      <c r="L65" s="610">
        <v>50</v>
      </c>
      <c r="M65" s="1368">
        <v>0.02</v>
      </c>
      <c r="O65" s="1324" t="s">
        <v>403</v>
      </c>
      <c r="P65" s="1325" t="s">
        <v>868</v>
      </c>
      <c r="Q65" s="1326">
        <f ca="1">C40+J29</f>
        <v>841418</v>
      </c>
      <c r="R65" s="1326" t="s">
        <v>818</v>
      </c>
    </row>
    <row r="66" spans="1:18" s="1291" customFormat="1" ht="16.2" thickBot="1">
      <c r="A66" s="928" t="s">
        <v>793</v>
      </c>
      <c r="B66" s="896" t="s">
        <v>728</v>
      </c>
      <c r="C66" s="21">
        <f ca="1">ROUND(C48*F66,0)</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-2338</v>
      </c>
      <c r="D67" s="909" t="s">
        <v>753</v>
      </c>
      <c r="E67" s="914"/>
      <c r="F67" s="915"/>
      <c r="O67" s="1333" t="s">
        <v>405</v>
      </c>
      <c r="P67" s="1325" t="s">
        <v>850</v>
      </c>
      <c r="Q67" s="1369">
        <f ca="1">L51</f>
        <v>191900</v>
      </c>
      <c r="R67" s="1326" t="s">
        <v>870</v>
      </c>
    </row>
    <row r="68" spans="1:18" s="1291" customFormat="1" ht="16.2" thickBot="1">
      <c r="A68" s="893" t="s">
        <v>395</v>
      </c>
      <c r="B68" s="894" t="s">
        <v>774</v>
      </c>
      <c r="C68" s="293">
        <f ca="1">ROUND(C67*(1-((1+F70)/(1+F68))^F69)/(F68-F70),0)</f>
        <v>-34129</v>
      </c>
      <c r="D68" s="911" t="s">
        <v>758</v>
      </c>
      <c r="E68" s="896" t="s">
        <v>759</v>
      </c>
      <c r="F68" s="304">
        <f ca="1">F40</f>
        <v>5.5E-2</v>
      </c>
      <c r="O68" s="1333" t="s">
        <v>406</v>
      </c>
      <c r="P68" s="1370" t="s">
        <v>871</v>
      </c>
      <c r="Q68" s="1326">
        <f ca="1">ROUND(Q69-Q70*Q71,0)</f>
        <v>10512</v>
      </c>
      <c r="R68" s="1326" t="s">
        <v>414</v>
      </c>
    </row>
    <row r="69" spans="1:18" s="1291" customFormat="1" ht="13.8" thickBot="1">
      <c r="A69" s="897"/>
      <c r="B69" s="898"/>
      <c r="C69" s="298"/>
      <c r="D69" s="916" t="s">
        <v>762</v>
      </c>
      <c r="E69" s="896" t="s">
        <v>763</v>
      </c>
      <c r="F69" s="324">
        <f ca="1">F41</f>
        <v>30.33</v>
      </c>
      <c r="O69" s="1333" t="s">
        <v>411</v>
      </c>
      <c r="P69" s="1370" t="s">
        <v>872</v>
      </c>
      <c r="Q69" s="1326">
        <f ca="1">C39</f>
        <v>45973</v>
      </c>
      <c r="R69" s="1326" t="s">
        <v>818</v>
      </c>
    </row>
    <row r="70" spans="1:18" s="1291" customFormat="1" ht="13.8" thickBot="1">
      <c r="A70" s="900"/>
      <c r="B70" s="901"/>
      <c r="C70" s="302"/>
      <c r="D70" s="912"/>
      <c r="E70" s="896" t="s">
        <v>766</v>
      </c>
      <c r="F70" s="991"/>
      <c r="O70" s="1333" t="s">
        <v>412</v>
      </c>
      <c r="P70" s="1370" t="s">
        <v>873</v>
      </c>
      <c r="Q70" s="1326">
        <f ca="1">C13</f>
        <v>506591</v>
      </c>
      <c r="R70" s="1326" t="s">
        <v>818</v>
      </c>
    </row>
    <row r="71" spans="1:18" s="1291" customFormat="1" ht="13.8" thickBot="1">
      <c r="A71" s="917" t="s">
        <v>396</v>
      </c>
      <c r="B71" s="918" t="s">
        <v>776</v>
      </c>
      <c r="C71" s="327">
        <f ca="1">ROUND(C68/F71,0)</f>
        <v>-327</v>
      </c>
      <c r="D71" s="919" t="s">
        <v>777</v>
      </c>
      <c r="E71" s="920" t="s">
        <v>778</v>
      </c>
      <c r="F71" s="330">
        <f ca="1">F43</f>
        <v>104.4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35461</v>
      </c>
      <c r="D75" s="1291"/>
      <c r="E75" s="1291"/>
      <c r="F75" s="1291"/>
      <c r="K75" s="1308"/>
      <c r="L75" s="1291"/>
      <c r="O75" s="1324" t="s">
        <v>409</v>
      </c>
      <c r="P75" s="1325" t="s">
        <v>838</v>
      </c>
      <c r="Q75" s="1326">
        <f ca="1">Q65+Q66</f>
        <v>841418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0.22899999999999998</v>
      </c>
    </row>
    <row r="80" spans="1:18">
      <c r="B80" s="331" t="s">
        <v>800</v>
      </c>
      <c r="C80" s="266">
        <f ca="1">ROUND(C75/C39,3)</f>
        <v>0.77100000000000002</v>
      </c>
    </row>
    <row r="81" spans="2:3">
      <c r="B81" s="262" t="s">
        <v>801</v>
      </c>
      <c r="C81" s="230"/>
    </row>
    <row r="82" spans="2:3">
      <c r="B82" s="265" t="s">
        <v>802</v>
      </c>
      <c r="C82" s="267">
        <f ca="1">1-C83</f>
        <v>0.39800000000000002</v>
      </c>
    </row>
    <row r="83" spans="2:3">
      <c r="B83" s="265" t="s">
        <v>803</v>
      </c>
      <c r="C83" s="266">
        <f ca="1">ROUND(C13/C40,3)</f>
        <v>0.60199999999999998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2" customHeight="1">
      <c r="A2" s="1292" t="s">
        <v>2311</v>
      </c>
      <c r="B2" s="2590" t="e">
        <f>IF(D2="——",C40,C40+E2)</f>
        <v>#DIV/0!</v>
      </c>
      <c r="C2" s="2591" t="s">
        <v>2312</v>
      </c>
      <c r="D2" s="3134" t="s">
        <v>3354</v>
      </c>
      <c r="E2" s="3135"/>
      <c r="F2" s="2593"/>
      <c r="G2" s="2594"/>
      <c r="H2" s="2595"/>
      <c r="I2" s="2596"/>
      <c r="J2" s="3414" t="s">
        <v>2313</v>
      </c>
      <c r="K2" s="3415"/>
      <c r="L2" s="2597" t="s">
        <v>2314</v>
      </c>
      <c r="M2" s="2597" t="s">
        <v>2315</v>
      </c>
      <c r="N2" s="2597" t="s">
        <v>2316</v>
      </c>
      <c r="O2" s="2597" t="s">
        <v>2317</v>
      </c>
      <c r="P2" s="2597" t="s">
        <v>2318</v>
      </c>
      <c r="Q2" s="2598" t="s">
        <v>2319</v>
      </c>
      <c r="R2" s="2599" t="s">
        <v>2320</v>
      </c>
      <c r="S2" s="2588"/>
      <c r="T2" s="2588"/>
      <c r="U2" s="2588"/>
      <c r="V2" s="2596"/>
    </row>
    <row r="3" spans="1:22" s="2600" customFormat="1" ht="13.2" customHeight="1">
      <c r="A3" s="2601" t="s">
        <v>2321</v>
      </c>
      <c r="B3" s="2602" t="e">
        <f>ROUND(B2*10000/B4,0)</f>
        <v>#DIV/0!</v>
      </c>
      <c r="C3" s="2591" t="s">
        <v>2322</v>
      </c>
      <c r="D3" s="2591"/>
      <c r="E3" s="2592"/>
      <c r="F3" s="2593"/>
      <c r="G3" s="2594"/>
      <c r="H3" s="2595"/>
      <c r="I3" s="2596"/>
      <c r="J3" s="3416" t="s">
        <v>2323</v>
      </c>
      <c r="K3" s="3417"/>
      <c r="L3" s="2603"/>
      <c r="M3" s="2603"/>
      <c r="N3" s="2603"/>
      <c r="O3" s="2603"/>
      <c r="P3" s="2603"/>
      <c r="Q3" s="2604"/>
      <c r="R3" s="2605">
        <f>SUM(L3:Q3)</f>
        <v>0</v>
      </c>
      <c r="S3" s="2588"/>
      <c r="T3" s="2588"/>
      <c r="U3" s="2588"/>
      <c r="V3" s="2596"/>
    </row>
    <row r="4" spans="1:22" s="2600" customFormat="1" ht="13.2" customHeight="1">
      <c r="A4" s="2606" t="s">
        <v>2324</v>
      </c>
      <c r="B4" s="2607"/>
      <c r="C4" s="2591"/>
      <c r="D4" s="2591"/>
      <c r="E4" s="2592"/>
      <c r="F4" s="2593"/>
      <c r="G4" s="2594"/>
      <c r="H4" s="2595"/>
      <c r="I4" s="2596"/>
      <c r="J4" s="3416" t="s">
        <v>2325</v>
      </c>
      <c r="K4" s="3417"/>
      <c r="L4" s="2608"/>
      <c r="M4" s="2608"/>
      <c r="N4" s="2608"/>
      <c r="O4" s="2608"/>
      <c r="P4" s="2608"/>
      <c r="Q4" s="2609"/>
      <c r="R4" s="2610">
        <f>SUM(L4:Q4)</f>
        <v>0</v>
      </c>
      <c r="S4" s="2588"/>
      <c r="T4" s="2588"/>
      <c r="U4" s="2588"/>
      <c r="V4" s="2596"/>
    </row>
    <row r="5" spans="1:22" s="2600" customFormat="1" ht="13.2"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2" customHeight="1" thickBot="1">
      <c r="A6" s="3422" t="s">
        <v>2329</v>
      </c>
      <c r="B6" s="3423"/>
      <c r="C6" s="3424"/>
      <c r="D6" s="2617"/>
      <c r="E6" s="2618"/>
      <c r="F6" s="2619"/>
      <c r="G6" s="2620"/>
      <c r="H6" s="2595"/>
      <c r="I6" s="2596"/>
      <c r="J6" s="3408">
        <v>1</v>
      </c>
      <c r="K6" s="3409"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2" customHeight="1">
      <c r="A7" s="2623" t="s">
        <v>2339</v>
      </c>
      <c r="B7" s="2624"/>
      <c r="C7" s="2625"/>
      <c r="D7" s="2626">
        <f>SUM(D9,D10,D11,D17,0)</f>
        <v>0</v>
      </c>
      <c r="E7" s="2627" t="e">
        <f>E9+E10+E11+E17</f>
        <v>#DIV/0!</v>
      </c>
      <c r="F7" s="2628"/>
      <c r="G7" s="2629"/>
      <c r="H7" s="2595"/>
      <c r="I7" s="2596"/>
      <c r="J7" s="3408"/>
      <c r="K7" s="3410"/>
      <c r="L7" s="2630" t="s">
        <v>2340</v>
      </c>
      <c r="M7" s="2631"/>
      <c r="N7" s="2607"/>
      <c r="O7" s="2632"/>
      <c r="P7" s="2632"/>
      <c r="Q7" s="2633">
        <v>365</v>
      </c>
      <c r="R7" s="2634">
        <f>ROUND(M7*N7*O7*P7*Q7/10000,0)</f>
        <v>0</v>
      </c>
      <c r="S7" s="2588"/>
      <c r="T7" s="2588" t="s">
        <v>2341</v>
      </c>
      <c r="U7" s="2588"/>
      <c r="V7" s="2596"/>
    </row>
    <row r="8" spans="1:22" s="2600" customFormat="1" ht="13.2" customHeight="1">
      <c r="A8" s="2635" t="s">
        <v>2342</v>
      </c>
      <c r="B8" s="3425" t="s">
        <v>2343</v>
      </c>
      <c r="C8" s="3426"/>
      <c r="D8" s="2636" t="s">
        <v>2344</v>
      </c>
      <c r="E8" s="2637" t="s">
        <v>2345</v>
      </c>
      <c r="F8" s="2638" t="s">
        <v>2346</v>
      </c>
      <c r="G8" s="2639"/>
      <c r="H8" s="2595"/>
      <c r="I8" s="2596"/>
      <c r="J8" s="3408"/>
      <c r="K8" s="3410"/>
      <c r="L8" s="2630" t="s">
        <v>2347</v>
      </c>
      <c r="M8" s="2631"/>
      <c r="N8" s="2607"/>
      <c r="O8" s="2632"/>
      <c r="P8" s="2632"/>
      <c r="Q8" s="2633">
        <v>365</v>
      </c>
      <c r="R8" s="2634">
        <f t="shared" ref="R8:R13" si="0">ROUND(M8*N8*O8*P8*Q8/10000,0)</f>
        <v>0</v>
      </c>
      <c r="S8" s="2588"/>
      <c r="T8" s="2588" t="s">
        <v>2348</v>
      </c>
      <c r="U8" s="2588"/>
      <c r="V8" s="2596"/>
    </row>
    <row r="9" spans="1:22" s="2600" customFormat="1" ht="13.2" customHeight="1">
      <c r="A9" s="2635">
        <v>1</v>
      </c>
      <c r="B9" s="3425" t="s">
        <v>2349</v>
      </c>
      <c r="C9" s="3426"/>
      <c r="D9" s="2636">
        <f>ROUND(D6*E9,0)</f>
        <v>0</v>
      </c>
      <c r="E9" s="2640"/>
      <c r="F9" s="2641" t="s">
        <v>2350</v>
      </c>
      <c r="G9" s="2620"/>
      <c r="H9" s="2595"/>
      <c r="I9" s="2596"/>
      <c r="J9" s="3408"/>
      <c r="K9" s="3410"/>
      <c r="L9" s="2630" t="s">
        <v>2351</v>
      </c>
      <c r="M9" s="2631"/>
      <c r="N9" s="2607"/>
      <c r="O9" s="2632"/>
      <c r="P9" s="2632"/>
      <c r="Q9" s="2633">
        <v>365</v>
      </c>
      <c r="R9" s="2634">
        <f t="shared" si="0"/>
        <v>0</v>
      </c>
      <c r="S9" s="2588"/>
      <c r="T9" s="2588"/>
      <c r="U9" s="2588"/>
      <c r="V9" s="2596"/>
    </row>
    <row r="10" spans="1:22" s="2600" customFormat="1" ht="13.2" customHeight="1">
      <c r="A10" s="2635">
        <v>2</v>
      </c>
      <c r="B10" s="3425" t="s">
        <v>2352</v>
      </c>
      <c r="C10" s="3426"/>
      <c r="D10" s="2636">
        <f>ROUND(D6*E10,0)</f>
        <v>0</v>
      </c>
      <c r="E10" s="2640"/>
      <c r="F10" s="2641" t="s">
        <v>2353</v>
      </c>
      <c r="G10" s="2620"/>
      <c r="H10" s="2595"/>
      <c r="I10" s="2596"/>
      <c r="J10" s="3408"/>
      <c r="K10" s="3410"/>
      <c r="L10" s="2630" t="s">
        <v>2354</v>
      </c>
      <c r="M10" s="2631"/>
      <c r="N10" s="2607"/>
      <c r="O10" s="2632"/>
      <c r="P10" s="2632"/>
      <c r="Q10" s="2633">
        <v>365</v>
      </c>
      <c r="R10" s="2634">
        <f t="shared" si="0"/>
        <v>0</v>
      </c>
      <c r="S10" s="2588"/>
      <c r="T10" s="2588"/>
      <c r="U10" s="2588"/>
      <c r="V10" s="2596"/>
    </row>
    <row r="11" spans="1:22" s="2600" customFormat="1" ht="13.2" customHeight="1">
      <c r="A11" s="2635">
        <v>3</v>
      </c>
      <c r="B11" s="3425" t="s">
        <v>2355</v>
      </c>
      <c r="C11" s="3426"/>
      <c r="D11" s="2636">
        <f>D12+D14+D15+D16</f>
        <v>0</v>
      </c>
      <c r="E11" s="2642" t="e">
        <f>D11/D6</f>
        <v>#DIV/0!</v>
      </c>
      <c r="F11" s="2638"/>
      <c r="G11" s="2639"/>
      <c r="H11" s="2595"/>
      <c r="I11" s="2596"/>
      <c r="J11" s="3408"/>
      <c r="K11" s="3410"/>
      <c r="L11" s="2630" t="s">
        <v>2356</v>
      </c>
      <c r="M11" s="2631"/>
      <c r="N11" s="2607"/>
      <c r="O11" s="2632"/>
      <c r="P11" s="2632"/>
      <c r="Q11" s="2633">
        <v>365</v>
      </c>
      <c r="R11" s="2634">
        <f t="shared" si="0"/>
        <v>0</v>
      </c>
      <c r="S11" s="2588"/>
      <c r="T11" s="2588"/>
      <c r="U11" s="2588"/>
      <c r="V11" s="2596"/>
    </row>
    <row r="12" spans="1:22" s="2600" customFormat="1" ht="13.2" customHeight="1">
      <c r="A12" s="2643" t="s">
        <v>2357</v>
      </c>
      <c r="B12" s="3418" t="s">
        <v>2358</v>
      </c>
      <c r="C12" s="3419"/>
      <c r="D12" s="2644">
        <f>ROUND(D13*1.2%*(1-30%),0)</f>
        <v>0</v>
      </c>
      <c r="E12" s="2645">
        <v>1.2E-2</v>
      </c>
      <c r="F12" s="2638" t="s">
        <v>2359</v>
      </c>
      <c r="G12" s="2639"/>
      <c r="H12" s="2595"/>
      <c r="I12" s="2596"/>
      <c r="J12" s="3408"/>
      <c r="K12" s="3410"/>
      <c r="L12" s="2630" t="s">
        <v>2360</v>
      </c>
      <c r="M12" s="2631"/>
      <c r="N12" s="2607"/>
      <c r="O12" s="2632"/>
      <c r="P12" s="2632"/>
      <c r="Q12" s="2633">
        <v>365</v>
      </c>
      <c r="R12" s="2634">
        <f t="shared" si="0"/>
        <v>0</v>
      </c>
      <c r="S12" s="2588"/>
      <c r="T12" s="2588"/>
      <c r="U12" s="2588"/>
      <c r="V12" s="2596"/>
    </row>
    <row r="13" spans="1:22" s="2600" customFormat="1" ht="13.2" customHeight="1">
      <c r="A13" s="2643"/>
      <c r="B13" s="2646"/>
      <c r="C13" s="2647" t="s">
        <v>2361</v>
      </c>
      <c r="D13" s="2648"/>
      <c r="E13" s="2649"/>
      <c r="F13" s="2638"/>
      <c r="G13" s="2639"/>
      <c r="H13" s="2595"/>
      <c r="I13" s="2596"/>
      <c r="J13" s="3408"/>
      <c r="K13" s="3410"/>
      <c r="L13" s="2630" t="s">
        <v>2362</v>
      </c>
      <c r="M13" s="2631"/>
      <c r="N13" s="2607"/>
      <c r="O13" s="2632"/>
      <c r="P13" s="2632"/>
      <c r="Q13" s="2633">
        <v>365</v>
      </c>
      <c r="R13" s="2634">
        <f t="shared" si="0"/>
        <v>0</v>
      </c>
      <c r="S13" s="2588"/>
      <c r="T13" s="2588"/>
      <c r="U13" s="2588"/>
      <c r="V13" s="2596"/>
    </row>
    <row r="14" spans="1:22" s="2600" customFormat="1" ht="13.2" customHeight="1">
      <c r="A14" s="2643" t="s">
        <v>2363</v>
      </c>
      <c r="B14" s="3418" t="s">
        <v>2364</v>
      </c>
      <c r="C14" s="3419"/>
      <c r="D14" s="2644">
        <f>ROUND(E14*B5/10000,0)</f>
        <v>0</v>
      </c>
      <c r="E14" s="2633"/>
      <c r="F14" s="2638" t="s">
        <v>2365</v>
      </c>
      <c r="G14" s="2639"/>
      <c r="H14" s="2595"/>
      <c r="I14" s="2596"/>
      <c r="J14" s="3408"/>
      <c r="K14" s="3411"/>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2367</v>
      </c>
      <c r="B15" s="3418" t="s">
        <v>2368</v>
      </c>
      <c r="C15" s="3419"/>
      <c r="D15" s="2644">
        <f>ROUND(D6*E15,0)</f>
        <v>0</v>
      </c>
      <c r="E15" s="2645">
        <v>5.5E-2</v>
      </c>
      <c r="F15" s="2638" t="s">
        <v>2369</v>
      </c>
      <c r="G15" s="2620"/>
      <c r="H15" s="2595"/>
      <c r="I15" s="2596"/>
      <c r="J15" s="3408">
        <v>2</v>
      </c>
      <c r="K15" s="3409"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2" customHeight="1">
      <c r="A16" s="2643" t="s">
        <v>2376</v>
      </c>
      <c r="B16" s="3418" t="s">
        <v>2377</v>
      </c>
      <c r="C16" s="3419"/>
      <c r="D16" s="2655">
        <f>D6*E16</f>
        <v>0</v>
      </c>
      <c r="E16" s="2656"/>
      <c r="F16" s="2641" t="s">
        <v>2378</v>
      </c>
      <c r="G16" s="2620"/>
      <c r="H16" s="2595"/>
      <c r="I16" s="2596"/>
      <c r="J16" s="3408"/>
      <c r="K16" s="3410"/>
      <c r="L16" s="2630" t="s">
        <v>2379</v>
      </c>
      <c r="M16" s="2631"/>
      <c r="N16" s="2631"/>
      <c r="O16" s="2632"/>
      <c r="P16" s="2633">
        <v>365</v>
      </c>
      <c r="Q16" s="2607"/>
      <c r="R16" s="2654">
        <f>ROUND(M16*N16*O16*P16/10000,0)</f>
        <v>0</v>
      </c>
      <c r="S16" s="2588"/>
      <c r="T16" s="2588"/>
      <c r="U16" s="2588"/>
      <c r="V16" s="2596"/>
    </row>
    <row r="17" spans="1:22" s="2600" customFormat="1" ht="13.2" customHeight="1" thickBot="1">
      <c r="A17" s="2657">
        <v>4</v>
      </c>
      <c r="B17" s="3420" t="s">
        <v>2380</v>
      </c>
      <c r="C17" s="3421"/>
      <c r="D17" s="2658">
        <f>ROUND(D6*E17,0)</f>
        <v>0</v>
      </c>
      <c r="E17" s="2659"/>
      <c r="F17" s="2660" t="s">
        <v>2381</v>
      </c>
      <c r="G17" s="2620"/>
      <c r="H17" s="2595"/>
      <c r="I17" s="2596"/>
      <c r="J17" s="3408"/>
      <c r="K17" s="3410"/>
      <c r="L17" s="2630" t="s">
        <v>2382</v>
      </c>
      <c r="M17" s="2631"/>
      <c r="N17" s="2631"/>
      <c r="O17" s="2632"/>
      <c r="P17" s="2633">
        <v>365</v>
      </c>
      <c r="Q17" s="2607"/>
      <c r="R17" s="2654">
        <f>ROUND(M17*N17*O17*P17/10000,0)</f>
        <v>0</v>
      </c>
      <c r="S17" s="2588"/>
      <c r="T17" s="2588"/>
      <c r="U17" s="2588"/>
      <c r="V17" s="2596"/>
    </row>
    <row r="18" spans="1:22" s="2600" customFormat="1" ht="13.2" customHeight="1" thickBot="1">
      <c r="A18" s="2623" t="s">
        <v>2383</v>
      </c>
      <c r="B18" s="2624"/>
      <c r="C18" s="2624"/>
      <c r="D18" s="2661">
        <f>ROUND(D6*E18,0)</f>
        <v>0</v>
      </c>
      <c r="E18" s="2662"/>
      <c r="F18" s="2663" t="s">
        <v>2384</v>
      </c>
      <c r="G18" s="2620"/>
      <c r="H18" s="2595"/>
      <c r="I18" s="2596"/>
      <c r="J18" s="3408"/>
      <c r="K18" s="3410"/>
      <c r="L18" s="2630" t="s">
        <v>2385</v>
      </c>
      <c r="M18" s="2631"/>
      <c r="N18" s="2631"/>
      <c r="O18" s="2632"/>
      <c r="P18" s="2633">
        <v>365</v>
      </c>
      <c r="Q18" s="2607"/>
      <c r="R18" s="2654">
        <f>ROUND(M18*N18*O18*P18/10000,0)</f>
        <v>0</v>
      </c>
      <c r="S18" s="2588"/>
      <c r="T18" s="2588"/>
      <c r="U18" s="2588"/>
      <c r="V18" s="2596"/>
    </row>
    <row r="19" spans="1:22" s="2600" customFormat="1" ht="13.2" customHeight="1" thickBot="1">
      <c r="A19" s="2664" t="s">
        <v>2386</v>
      </c>
      <c r="B19" s="2618"/>
      <c r="C19" s="2618"/>
      <c r="D19" s="2618"/>
      <c r="E19" s="2618"/>
      <c r="F19" s="2619"/>
      <c r="G19" s="2639"/>
      <c r="H19" s="2595"/>
      <c r="I19" s="2596"/>
      <c r="J19" s="3408"/>
      <c r="K19" s="3411"/>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08">
        <v>3</v>
      </c>
      <c r="K20" s="3409"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2" customHeight="1">
      <c r="A21" s="2623"/>
      <c r="B21" s="2624"/>
      <c r="C21" s="2669" t="s">
        <v>2395</v>
      </c>
      <c r="D21" s="2670" t="s">
        <v>2396</v>
      </c>
      <c r="E21" s="2671" t="s">
        <v>2397</v>
      </c>
      <c r="F21" s="2667"/>
      <c r="G21" s="2639"/>
      <c r="H21" s="2595"/>
      <c r="I21" s="2596"/>
      <c r="J21" s="3408"/>
      <c r="K21" s="3410"/>
      <c r="L21" s="2630" t="s">
        <v>2398</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2399</v>
      </c>
      <c r="D22" s="2674" t="s">
        <v>2400</v>
      </c>
      <c r="E22" s="2675" t="s">
        <v>2401</v>
      </c>
      <c r="F22" s="2667"/>
      <c r="G22" s="2588"/>
      <c r="H22" s="2595"/>
      <c r="I22" s="2596"/>
      <c r="J22" s="3408"/>
      <c r="K22" s="3410"/>
      <c r="L22" s="2630" t="s">
        <v>2402</v>
      </c>
      <c r="M22" s="2631"/>
      <c r="N22" s="2631"/>
      <c r="O22" s="2632"/>
      <c r="P22" s="2633">
        <v>365</v>
      </c>
      <c r="Q22" s="2607"/>
      <c r="R22" s="2672">
        <f>ROUND(M22*N22*O22*P22/10000,0)</f>
        <v>0</v>
      </c>
      <c r="S22" s="2588"/>
      <c r="T22" s="2588"/>
      <c r="U22" s="2588"/>
      <c r="V22" s="2596"/>
    </row>
    <row r="23" spans="1:22" s="2600" customFormat="1" ht="13.2" customHeight="1">
      <c r="A23" s="2676">
        <v>1</v>
      </c>
      <c r="B23" s="2677" t="s">
        <v>2403</v>
      </c>
      <c r="C23" s="2678">
        <f>D6</f>
        <v>0</v>
      </c>
      <c r="D23" s="2679">
        <f>C23*(1+D24)</f>
        <v>0</v>
      </c>
      <c r="E23" s="2680">
        <f>D23*(1+E24)</f>
        <v>0</v>
      </c>
      <c r="F23" s="2681"/>
      <c r="G23" s="2682"/>
      <c r="H23" s="2595"/>
      <c r="I23" s="2596"/>
      <c r="J23" s="3408"/>
      <c r="K23" s="3410"/>
      <c r="L23" s="2630" t="s">
        <v>2404</v>
      </c>
      <c r="M23" s="2631"/>
      <c r="N23" s="2631"/>
      <c r="O23" s="2632"/>
      <c r="P23" s="2633">
        <v>365</v>
      </c>
      <c r="Q23" s="2607"/>
      <c r="R23" s="2672">
        <f>ROUND(M23*N23*O23*P23/10000,0)</f>
        <v>0</v>
      </c>
      <c r="S23" s="2588"/>
      <c r="T23" s="2588"/>
      <c r="U23" s="2588"/>
      <c r="V23" s="2596"/>
    </row>
    <row r="24" spans="1:22" s="2600" customFormat="1" ht="13.2" customHeight="1">
      <c r="A24" s="2683"/>
      <c r="B24" s="2684" t="s">
        <v>2405</v>
      </c>
      <c r="C24" s="2685"/>
      <c r="D24" s="2686"/>
      <c r="E24" s="2687"/>
      <c r="F24" s="2688"/>
      <c r="G24" s="2682"/>
      <c r="H24" s="2595"/>
      <c r="I24" s="2596"/>
      <c r="J24" s="3408"/>
      <c r="K24" s="3411"/>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2" customHeight="1">
      <c r="A26" s="2676">
        <v>2</v>
      </c>
      <c r="B26" s="2677" t="s">
        <v>2407</v>
      </c>
      <c r="C26" s="2678">
        <f>D7</f>
        <v>0</v>
      </c>
      <c r="D26" s="2679">
        <f>D23*D27</f>
        <v>0</v>
      </c>
      <c r="E26" s="2680">
        <f>E23*E27</f>
        <v>0</v>
      </c>
      <c r="F26" s="2681"/>
      <c r="G26" s="2682"/>
      <c r="H26" s="2595"/>
      <c r="I26" s="2596"/>
      <c r="J26" s="3412">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2" customHeight="1">
      <c r="A27" s="2683"/>
      <c r="B27" s="2684" t="s">
        <v>2413</v>
      </c>
      <c r="C27" s="2701" t="e">
        <f>E7</f>
        <v>#DIV/0!</v>
      </c>
      <c r="D27" s="2686"/>
      <c r="E27" s="2687"/>
      <c r="F27" s="2688"/>
      <c r="G27" s="2682"/>
      <c r="H27" s="2702"/>
      <c r="I27" s="2694"/>
      <c r="J27" s="3413"/>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2"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2" customHeight="1">
      <c r="A32" s="2676">
        <v>4</v>
      </c>
      <c r="B32" s="2677" t="s">
        <v>2421</v>
      </c>
      <c r="C32" s="2678">
        <f>C23-C26-C29</f>
        <v>0</v>
      </c>
      <c r="D32" s="2679">
        <f>D23-D26-D29</f>
        <v>0</v>
      </c>
      <c r="E32" s="2680">
        <f>E23-E26-E29</f>
        <v>0</v>
      </c>
      <c r="F32" s="2681"/>
      <c r="G32" s="2588"/>
      <c r="H32" s="2595"/>
      <c r="I32" s="2596"/>
      <c r="J32" s="3414" t="s">
        <v>2313</v>
      </c>
      <c r="K32" s="3415"/>
      <c r="L32" s="2597" t="s">
        <v>2314</v>
      </c>
      <c r="M32" s="2597" t="s">
        <v>2315</v>
      </c>
      <c r="N32" s="2597" t="s">
        <v>2316</v>
      </c>
      <c r="O32" s="2597" t="s">
        <v>2317</v>
      </c>
      <c r="P32" s="2597" t="s">
        <v>2318</v>
      </c>
      <c r="Q32" s="2598" t="s">
        <v>2319</v>
      </c>
      <c r="R32" s="2717" t="s">
        <v>2320</v>
      </c>
      <c r="S32" s="2588"/>
      <c r="T32" s="2588"/>
      <c r="U32" s="2588"/>
      <c r="V32" s="2694"/>
    </row>
    <row r="33" spans="1:23" s="2600" customFormat="1" ht="13.2" customHeight="1">
      <c r="A33" s="2676"/>
      <c r="B33" s="2677"/>
      <c r="C33" s="2678"/>
      <c r="D33" s="2718"/>
      <c r="E33" s="2719"/>
      <c r="F33" s="2681"/>
      <c r="G33" s="2588"/>
      <c r="H33" s="2702"/>
      <c r="I33" s="2694"/>
      <c r="J33" s="3416" t="s">
        <v>2323</v>
      </c>
      <c r="K33" s="3417"/>
      <c r="L33" s="2603"/>
      <c r="M33" s="2603"/>
      <c r="N33" s="2603"/>
      <c r="O33" s="2603"/>
      <c r="P33" s="2603"/>
      <c r="Q33" s="2604"/>
      <c r="R33" s="2720">
        <f>SUM(L33:Q33)</f>
        <v>0</v>
      </c>
      <c r="S33" s="2588"/>
      <c r="T33" s="2588"/>
      <c r="U33" s="2588"/>
      <c r="V33" s="2596"/>
    </row>
    <row r="34" spans="1:23" s="2600" customFormat="1" ht="13.2" customHeight="1">
      <c r="A34" s="2676">
        <v>5</v>
      </c>
      <c r="B34" s="2677" t="s">
        <v>2422</v>
      </c>
      <c r="C34" s="2721"/>
      <c r="D34" s="2722"/>
      <c r="E34" s="2723"/>
      <c r="F34" s="2681"/>
      <c r="G34" s="2588"/>
      <c r="H34" s="2702"/>
      <c r="I34" s="2694"/>
      <c r="J34" s="3416" t="s">
        <v>2325</v>
      </c>
      <c r="K34" s="3417"/>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2" customHeight="1" thickBot="1">
      <c r="A36" s="2676">
        <v>7</v>
      </c>
      <c r="B36" s="2730" t="s">
        <v>2424</v>
      </c>
      <c r="C36" s="2731"/>
      <c r="D36" s="2732"/>
      <c r="E36" s="2733"/>
      <c r="F36" s="2734">
        <f>C36+D36+E36</f>
        <v>0</v>
      </c>
      <c r="G36" s="2588"/>
      <c r="H36" s="2595"/>
      <c r="I36" s="2596"/>
      <c r="J36" s="3408">
        <v>1</v>
      </c>
      <c r="K36" s="3409" t="s">
        <v>2425</v>
      </c>
      <c r="L36" s="2621"/>
      <c r="M36" s="2622"/>
      <c r="N36" s="2622"/>
      <c r="O36" s="2622"/>
      <c r="P36" s="2622"/>
      <c r="Q36" s="2622"/>
      <c r="R36" s="2605" t="s">
        <v>2337</v>
      </c>
      <c r="S36" s="2588"/>
      <c r="T36" s="2588" t="s">
        <v>2338</v>
      </c>
      <c r="U36" s="2588"/>
      <c r="V36" s="2596"/>
    </row>
    <row r="37" spans="1:23" s="2600" customFormat="1" ht="13.2" customHeight="1">
      <c r="A37" s="2676"/>
      <c r="B37" s="2677"/>
      <c r="C37" s="2677"/>
      <c r="D37" s="2677"/>
      <c r="E37" s="2677"/>
      <c r="F37" s="2681"/>
      <c r="G37" s="2588"/>
      <c r="H37" s="2595"/>
      <c r="I37" s="2596"/>
      <c r="J37" s="3408"/>
      <c r="K37" s="3410"/>
      <c r="L37" s="2630"/>
      <c r="M37" s="2631"/>
      <c r="N37" s="2607"/>
      <c r="O37" s="2632"/>
      <c r="P37" s="2632"/>
      <c r="Q37" s="2633"/>
      <c r="R37" s="2634"/>
      <c r="S37" s="2588"/>
      <c r="T37" s="2588" t="s">
        <v>2341</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08"/>
      <c r="K38" s="3410"/>
      <c r="L38" s="2630"/>
      <c r="M38" s="2631"/>
      <c r="N38" s="2607"/>
      <c r="O38" s="2632"/>
      <c r="P38" s="2632"/>
      <c r="Q38" s="2633"/>
      <c r="R38" s="2634"/>
      <c r="S38" s="2588"/>
      <c r="T38" s="2588" t="s">
        <v>2348</v>
      </c>
      <c r="U38" s="2588"/>
      <c r="V38" s="2596"/>
    </row>
    <row r="39" spans="1:23" s="2600" customFormat="1" ht="13.2" customHeight="1">
      <c r="A39" s="2676">
        <v>9</v>
      </c>
      <c r="B39" s="2677" t="s">
        <v>2426</v>
      </c>
      <c r="C39" s="2644" t="e">
        <f>C38</f>
        <v>#DIV/0!</v>
      </c>
      <c r="D39" s="2677">
        <f>D38/(1+D34)^C36</f>
        <v>0</v>
      </c>
      <c r="E39" s="2677">
        <f>E38/(1+E34)^(C36+D36)</f>
        <v>0</v>
      </c>
      <c r="F39" s="2681"/>
      <c r="G39" s="2596"/>
      <c r="H39" s="2595"/>
      <c r="I39" s="2596"/>
      <c r="J39" s="3408"/>
      <c r="K39" s="3410"/>
      <c r="L39" s="2630"/>
      <c r="M39" s="2631"/>
      <c r="N39" s="2607"/>
      <c r="O39" s="2632"/>
      <c r="P39" s="2632"/>
      <c r="Q39" s="2633"/>
      <c r="R39" s="2634"/>
      <c r="S39" s="2588"/>
      <c r="T39" s="2588"/>
      <c r="U39" s="2588"/>
      <c r="V39" s="2596"/>
    </row>
    <row r="40" spans="1:23" s="2600" customFormat="1" ht="13.2" customHeight="1">
      <c r="A40" s="2735">
        <v>10</v>
      </c>
      <c r="B40" s="2677" t="s">
        <v>2427</v>
      </c>
      <c r="C40" s="2736" t="e">
        <f>C39+D39+E39</f>
        <v>#DIV/0!</v>
      </c>
      <c r="D40" s="2737"/>
      <c r="E40" s="2737"/>
      <c r="F40" s="2738"/>
      <c r="G40" s="2588"/>
      <c r="H40" s="2595"/>
      <c r="I40" s="2596"/>
      <c r="J40" s="3408"/>
      <c r="K40" s="3411"/>
      <c r="L40" s="2650" t="s">
        <v>2366</v>
      </c>
      <c r="M40" s="2651"/>
      <c r="N40" s="2651"/>
      <c r="O40" s="2652"/>
      <c r="P40" s="2652"/>
      <c r="Q40" s="2653"/>
      <c r="R40" s="2599">
        <f>SUM(R37:R39)</f>
        <v>0</v>
      </c>
      <c r="S40" s="2588"/>
      <c r="T40" s="2588"/>
      <c r="U40" s="2588"/>
      <c r="V40" s="2596"/>
    </row>
    <row r="41" spans="1:23" s="2600" customFormat="1" ht="13.2"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2" customHeight="1">
      <c r="G42" s="2595"/>
      <c r="H42" s="2595"/>
      <c r="I42" s="2596"/>
      <c r="J42" s="3412">
        <v>3</v>
      </c>
      <c r="K42" s="2696" t="s">
        <v>2408</v>
      </c>
      <c r="L42" s="2697"/>
      <c r="M42" s="2698"/>
      <c r="N42" s="2699" t="s">
        <v>2409</v>
      </c>
      <c r="O42" s="2699" t="s">
        <v>2410</v>
      </c>
      <c r="P42" s="2700" t="s">
        <v>2411</v>
      </c>
      <c r="Q42" s="2700" t="s">
        <v>2412</v>
      </c>
      <c r="R42" s="2605" t="s">
        <v>2337</v>
      </c>
      <c r="S42" s="2639"/>
      <c r="T42" s="2639"/>
      <c r="U42" s="2588"/>
      <c r="V42" s="2596"/>
    </row>
    <row r="43" spans="1:23" ht="13.2" customHeight="1">
      <c r="A43" s="2600"/>
      <c r="B43" s="2600"/>
      <c r="C43" s="2600"/>
      <c r="D43" s="2600"/>
      <c r="E43" s="2600"/>
      <c r="F43" s="2600"/>
      <c r="I43" s="2583"/>
      <c r="J43" s="3413"/>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86.864599999999996</v>
      </c>
      <c r="C2" s="1728" t="s">
        <v>1651</v>
      </c>
      <c r="D2" s="1729" t="s">
        <v>1652</v>
      </c>
      <c r="E2" s="2389">
        <f>SUM(E6:E13)</f>
        <v>104.4</v>
      </c>
      <c r="F2" s="2475"/>
      <c r="G2" s="459"/>
      <c r="H2" s="459"/>
      <c r="I2" s="459"/>
      <c r="J2" s="459"/>
      <c r="K2" s="459"/>
      <c r="L2" s="459"/>
      <c r="M2" s="459"/>
      <c r="N2" s="459"/>
      <c r="O2" s="459"/>
      <c r="P2" s="459"/>
      <c r="Q2" s="459"/>
      <c r="R2" s="459"/>
      <c r="S2" s="459"/>
    </row>
    <row r="3" spans="1:22" ht="15.6">
      <c r="A3" s="1727" t="s">
        <v>686</v>
      </c>
      <c r="B3" s="2383">
        <f ca="1">ROUND(B2*10000/E2,0)</f>
        <v>8320</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27" t="s">
        <v>1654</v>
      </c>
      <c r="C5" s="3428"/>
      <c r="D5" s="2476"/>
      <c r="E5" s="1730"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86.864599999999996</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378" t="s">
        <v>1667</v>
      </c>
      <c r="D4" s="3379"/>
      <c r="E4" s="3380" t="s">
        <v>1668</v>
      </c>
      <c r="F4" s="3381"/>
      <c r="G4" s="3378" t="s">
        <v>1669</v>
      </c>
      <c r="H4" s="3379"/>
      <c r="I4" s="3378" t="s">
        <v>1670</v>
      </c>
      <c r="J4" s="3379"/>
      <c r="K4" s="1743" t="s">
        <v>1671</v>
      </c>
      <c r="L4" s="2482"/>
      <c r="M4" s="2483"/>
      <c r="N4" s="2483"/>
      <c r="O4" s="2483"/>
      <c r="P4" s="3433" t="s">
        <v>1672</v>
      </c>
      <c r="Q4" s="3434"/>
      <c r="R4" s="3437" t="s">
        <v>1668</v>
      </c>
      <c r="S4" s="3438"/>
      <c r="T4" s="3437" t="s">
        <v>1669</v>
      </c>
      <c r="U4" s="3438"/>
      <c r="V4" s="3362" t="s">
        <v>1670</v>
      </c>
      <c r="W4" s="3362"/>
      <c r="X4" s="1264"/>
      <c r="Y4" s="3437" t="s">
        <v>1672</v>
      </c>
      <c r="Z4" s="3438"/>
      <c r="AA4" s="3432" t="s">
        <v>1668</v>
      </c>
      <c r="AB4" s="3432" t="s">
        <v>1669</v>
      </c>
      <c r="AC4" s="3432" t="s">
        <v>1670</v>
      </c>
    </row>
    <row r="5" spans="1:29">
      <c r="A5" s="348"/>
      <c r="B5" s="349"/>
      <c r="C5" s="3439" t="s">
        <v>1673</v>
      </c>
      <c r="D5" s="3398"/>
      <c r="E5" s="3440" t="s">
        <v>1674</v>
      </c>
      <c r="F5" s="3441"/>
      <c r="G5" s="3439" t="s">
        <v>1675</v>
      </c>
      <c r="H5" s="3398"/>
      <c r="I5" s="3439" t="s">
        <v>1676</v>
      </c>
      <c r="J5" s="3398"/>
      <c r="K5" s="1744"/>
      <c r="L5" s="2482"/>
      <c r="M5" s="2483"/>
      <c r="N5" s="2483"/>
      <c r="O5" s="2483"/>
      <c r="P5" s="3435"/>
      <c r="Q5" s="3385"/>
      <c r="R5" s="3390"/>
      <c r="S5" s="3391"/>
      <c r="T5" s="3390"/>
      <c r="U5" s="3391"/>
      <c r="V5" s="3362"/>
      <c r="W5" s="3362"/>
      <c r="X5" s="1264"/>
      <c r="Y5" s="3390"/>
      <c r="Z5" s="3391"/>
      <c r="AA5" s="3406"/>
      <c r="AB5" s="3406"/>
      <c r="AC5" s="3406"/>
    </row>
    <row r="6" spans="1:29" ht="15" thickBot="1">
      <c r="A6" s="350"/>
      <c r="B6" s="351"/>
      <c r="C6" s="3395" t="s">
        <v>1677</v>
      </c>
      <c r="D6" s="3396"/>
      <c r="E6" s="3403" t="s">
        <v>1677</v>
      </c>
      <c r="F6" s="3404"/>
      <c r="G6" s="3395" t="s">
        <v>1677</v>
      </c>
      <c r="H6" s="3396"/>
      <c r="I6" s="3395" t="s">
        <v>1677</v>
      </c>
      <c r="J6" s="3396"/>
      <c r="K6" s="1744" t="s">
        <v>1678</v>
      </c>
      <c r="L6" s="2482"/>
      <c r="M6" s="2483"/>
      <c r="N6" s="2483"/>
      <c r="O6" s="2483"/>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401" t="s">
        <v>1680</v>
      </c>
      <c r="Q7" s="3402"/>
      <c r="R7" s="664" t="s">
        <v>20</v>
      </c>
      <c r="S7" s="665">
        <f t="shared" ref="S7:S15" si="0">F7</f>
        <v>0</v>
      </c>
      <c r="T7" s="664" t="s">
        <v>20</v>
      </c>
      <c r="U7" s="665">
        <f t="shared" ref="U7:U15" si="1">H7</f>
        <v>0</v>
      </c>
      <c r="V7" s="664" t="s">
        <v>20</v>
      </c>
      <c r="W7" s="665">
        <f t="shared" ref="W7:W15" si="2">J7</f>
        <v>0</v>
      </c>
      <c r="X7" s="666"/>
      <c r="Y7" s="3401" t="s">
        <v>1680</v>
      </c>
      <c r="Z7" s="3400"/>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401" t="s">
        <v>1683</v>
      </c>
      <c r="Q8" s="3400"/>
      <c r="R8" s="664" t="s">
        <v>20</v>
      </c>
      <c r="S8" s="665">
        <f t="shared" si="0"/>
        <v>100</v>
      </c>
      <c r="T8" s="664" t="s">
        <v>20</v>
      </c>
      <c r="U8" s="665">
        <f t="shared" si="1"/>
        <v>100</v>
      </c>
      <c r="V8" s="664" t="s">
        <v>20</v>
      </c>
      <c r="W8" s="665">
        <f t="shared" si="2"/>
        <v>100</v>
      </c>
      <c r="X8" s="666"/>
      <c r="Y8" s="3401" t="s">
        <v>1683</v>
      </c>
      <c r="Z8" s="3400"/>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60"/>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60"/>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60"/>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60"/>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66" t="s">
        <v>1691</v>
      </c>
      <c r="Q15" s="1262" t="str">
        <f t="shared" si="6"/>
        <v>居住社区成熟度</v>
      </c>
      <c r="R15" s="667" t="s">
        <v>18</v>
      </c>
      <c r="S15" s="668">
        <f t="shared" si="0"/>
        <v>100</v>
      </c>
      <c r="T15" s="667" t="s">
        <v>18</v>
      </c>
      <c r="U15" s="668">
        <f t="shared" si="1"/>
        <v>100</v>
      </c>
      <c r="V15" s="667" t="s">
        <v>18</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367"/>
      <c r="Q16" s="1262"/>
      <c r="R16" s="667"/>
      <c r="S16" s="668"/>
      <c r="T16" s="667"/>
      <c r="U16" s="668"/>
      <c r="V16" s="667"/>
      <c r="W16" s="668"/>
      <c r="X16" s="1264"/>
      <c r="Y16" s="336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67"/>
      <c r="Q17" s="1262" t="str">
        <f>B17</f>
        <v>交通便捷度</v>
      </c>
      <c r="R17" s="667" t="s">
        <v>18</v>
      </c>
      <c r="S17" s="668">
        <f>F17</f>
        <v>100</v>
      </c>
      <c r="T17" s="667" t="s">
        <v>18</v>
      </c>
      <c r="U17" s="668">
        <f>H17</f>
        <v>100</v>
      </c>
      <c r="V17" s="667" t="s">
        <v>18</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367"/>
      <c r="Q18" s="1262"/>
      <c r="R18" s="667"/>
      <c r="S18" s="668"/>
      <c r="T18" s="667"/>
      <c r="U18" s="668"/>
      <c r="V18" s="667"/>
      <c r="W18" s="668"/>
      <c r="X18" s="1264"/>
      <c r="Y18" s="3369"/>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67"/>
      <c r="Q19" s="1262" t="str">
        <f>B19</f>
        <v>公共配套设施</v>
      </c>
      <c r="R19" s="667" t="s">
        <v>18</v>
      </c>
      <c r="S19" s="668">
        <f>F19</f>
        <v>100</v>
      </c>
      <c r="T19" s="667" t="s">
        <v>18</v>
      </c>
      <c r="U19" s="668">
        <f>H19</f>
        <v>100</v>
      </c>
      <c r="V19" s="667" t="s">
        <v>18</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367"/>
      <c r="Q20" s="1262"/>
      <c r="R20" s="667"/>
      <c r="S20" s="668"/>
      <c r="T20" s="667"/>
      <c r="U20" s="668"/>
      <c r="V20" s="667"/>
      <c r="W20" s="668"/>
      <c r="X20" s="1264"/>
      <c r="Y20" s="3369"/>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367"/>
      <c r="Q22" s="1262"/>
      <c r="R22" s="667"/>
      <c r="S22" s="668"/>
      <c r="T22" s="667"/>
      <c r="U22" s="668"/>
      <c r="V22" s="667"/>
      <c r="W22" s="668"/>
      <c r="X22" s="1264"/>
      <c r="Y22" s="3369"/>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67"/>
      <c r="Q23" s="1262" t="str">
        <f>B23</f>
        <v>自然及人文环境</v>
      </c>
      <c r="R23" s="667" t="s">
        <v>18</v>
      </c>
      <c r="S23" s="668">
        <f>F23</f>
        <v>100</v>
      </c>
      <c r="T23" s="667" t="s">
        <v>18</v>
      </c>
      <c r="U23" s="668">
        <f>H23</f>
        <v>100</v>
      </c>
      <c r="V23" s="667" t="s">
        <v>18</v>
      </c>
      <c r="W23" s="668">
        <f>J23</f>
        <v>100</v>
      </c>
      <c r="X23" s="1264"/>
      <c r="Y23" s="336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367"/>
      <c r="Q24" s="1262"/>
      <c r="R24" s="667"/>
      <c r="S24" s="668"/>
      <c r="T24" s="667"/>
      <c r="U24" s="668"/>
      <c r="V24" s="667"/>
      <c r="W24" s="668"/>
      <c r="X24" s="1264"/>
      <c r="Y24" s="336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6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6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367"/>
      <c r="Q26" s="1262" t="str">
        <f t="shared" si="11"/>
        <v>朝向</v>
      </c>
      <c r="R26" s="667" t="s">
        <v>18</v>
      </c>
      <c r="S26" s="668">
        <f t="shared" si="12"/>
        <v>100</v>
      </c>
      <c r="T26" s="667" t="s">
        <v>18</v>
      </c>
      <c r="U26" s="668">
        <f t="shared" si="13"/>
        <v>100</v>
      </c>
      <c r="V26" s="667" t="s">
        <v>18</v>
      </c>
      <c r="W26" s="668">
        <f t="shared" si="14"/>
        <v>100</v>
      </c>
      <c r="X26" s="1264"/>
      <c r="Y26" s="3369"/>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367"/>
      <c r="Q27" s="530">
        <f t="shared" si="11"/>
        <v>111</v>
      </c>
      <c r="R27" s="664" t="s">
        <v>18</v>
      </c>
      <c r="S27" s="665">
        <f t="shared" si="12"/>
        <v>100</v>
      </c>
      <c r="T27" s="664" t="s">
        <v>18</v>
      </c>
      <c r="U27" s="665">
        <f t="shared" si="13"/>
        <v>100</v>
      </c>
      <c r="V27" s="664" t="s">
        <v>18</v>
      </c>
      <c r="W27" s="665">
        <f t="shared" si="14"/>
        <v>100</v>
      </c>
      <c r="X27" s="666"/>
      <c r="Y27" s="336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67"/>
      <c r="Q28" s="1262">
        <f t="shared" si="11"/>
        <v>111</v>
      </c>
      <c r="R28" s="667" t="s">
        <v>18</v>
      </c>
      <c r="S28" s="668">
        <f t="shared" si="12"/>
        <v>100</v>
      </c>
      <c r="T28" s="667" t="s">
        <v>18</v>
      </c>
      <c r="U28" s="668">
        <f t="shared" si="13"/>
        <v>100</v>
      </c>
      <c r="V28" s="667" t="s">
        <v>18</v>
      </c>
      <c r="W28" s="668">
        <f t="shared" si="14"/>
        <v>100</v>
      </c>
      <c r="X28" s="1264"/>
      <c r="Y28" s="336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67"/>
      <c r="Q29" s="1262">
        <f t="shared" si="11"/>
        <v>111</v>
      </c>
      <c r="R29" s="667" t="s">
        <v>18</v>
      </c>
      <c r="S29" s="668">
        <f t="shared" si="12"/>
        <v>100</v>
      </c>
      <c r="T29" s="667" t="s">
        <v>18</v>
      </c>
      <c r="U29" s="668">
        <f t="shared" si="13"/>
        <v>100</v>
      </c>
      <c r="V29" s="667" t="s">
        <v>18</v>
      </c>
      <c r="W29" s="668">
        <f t="shared" si="14"/>
        <v>100</v>
      </c>
      <c r="X29" s="1264"/>
      <c r="Y29" s="336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67"/>
      <c r="Q30" s="1262">
        <f t="shared" si="11"/>
        <v>111</v>
      </c>
      <c r="R30" s="667" t="s">
        <v>18</v>
      </c>
      <c r="S30" s="668">
        <f t="shared" si="12"/>
        <v>100</v>
      </c>
      <c r="T30" s="667" t="s">
        <v>18</v>
      </c>
      <c r="U30" s="668">
        <f t="shared" si="13"/>
        <v>100</v>
      </c>
      <c r="V30" s="667" t="s">
        <v>18</v>
      </c>
      <c r="W30" s="668">
        <f t="shared" si="14"/>
        <v>100</v>
      </c>
      <c r="X30" s="1264"/>
      <c r="Y30" s="3369"/>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67"/>
      <c r="Q31" s="1262">
        <f t="shared" si="11"/>
        <v>111</v>
      </c>
      <c r="R31" s="667" t="s">
        <v>18</v>
      </c>
      <c r="S31" s="668">
        <f t="shared" si="12"/>
        <v>100</v>
      </c>
      <c r="T31" s="667" t="s">
        <v>18</v>
      </c>
      <c r="U31" s="668">
        <f t="shared" si="13"/>
        <v>100</v>
      </c>
      <c r="V31" s="667" t="s">
        <v>18</v>
      </c>
      <c r="W31" s="668">
        <f t="shared" si="14"/>
        <v>100</v>
      </c>
      <c r="X31" s="1264"/>
      <c r="Y31" s="336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370" t="s">
        <v>1696</v>
      </c>
      <c r="Q32" s="1262" t="str">
        <f t="shared" si="11"/>
        <v>建筑类型</v>
      </c>
      <c r="R32" s="667" t="s">
        <v>18</v>
      </c>
      <c r="S32" s="668">
        <f t="shared" si="12"/>
        <v>100</v>
      </c>
      <c r="T32" s="667" t="s">
        <v>18</v>
      </c>
      <c r="U32" s="668">
        <f t="shared" si="13"/>
        <v>100</v>
      </c>
      <c r="V32" s="667" t="s">
        <v>18</v>
      </c>
      <c r="W32" s="668">
        <f t="shared" si="14"/>
        <v>100</v>
      </c>
      <c r="X32" s="1264"/>
      <c r="Y32" s="337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371"/>
      <c r="Q33" s="531" t="str">
        <f t="shared" si="11"/>
        <v>项目建筑规模</v>
      </c>
      <c r="R33" s="669" t="s">
        <v>18</v>
      </c>
      <c r="S33" s="670" t="e">
        <f t="shared" si="12"/>
        <v>#N/A</v>
      </c>
      <c r="T33" s="669" t="s">
        <v>18</v>
      </c>
      <c r="U33" s="670" t="e">
        <f t="shared" si="13"/>
        <v>#N/A</v>
      </c>
      <c r="V33" s="669" t="s">
        <v>18</v>
      </c>
      <c r="W33" s="670" t="e">
        <f t="shared" si="14"/>
        <v>#N/A</v>
      </c>
      <c r="X33" s="671"/>
      <c r="Y33" s="337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371"/>
      <c r="Q34" s="1262" t="str">
        <f t="shared" si="11"/>
        <v>建筑结构</v>
      </c>
      <c r="R34" s="667" t="s">
        <v>18</v>
      </c>
      <c r="S34" s="668">
        <f t="shared" si="12"/>
        <v>100</v>
      </c>
      <c r="T34" s="667" t="s">
        <v>18</v>
      </c>
      <c r="U34" s="668">
        <f t="shared" si="13"/>
        <v>100</v>
      </c>
      <c r="V34" s="667" t="s">
        <v>18</v>
      </c>
      <c r="W34" s="668">
        <f t="shared" si="14"/>
        <v>100</v>
      </c>
      <c r="X34" s="1264"/>
      <c r="Y34" s="337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371"/>
      <c r="Q35" s="1262" t="str">
        <f t="shared" si="11"/>
        <v>建筑品质</v>
      </c>
      <c r="R35" s="667" t="s">
        <v>18</v>
      </c>
      <c r="S35" s="668">
        <f t="shared" si="12"/>
        <v>100</v>
      </c>
      <c r="T35" s="667" t="s">
        <v>18</v>
      </c>
      <c r="U35" s="668">
        <f t="shared" si="13"/>
        <v>100</v>
      </c>
      <c r="V35" s="667" t="s">
        <v>18</v>
      </c>
      <c r="W35" s="668">
        <f t="shared" si="14"/>
        <v>100</v>
      </c>
      <c r="X35" s="1264"/>
      <c r="Y35" s="337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371"/>
      <c r="Q36" s="1262" t="str">
        <f t="shared" si="11"/>
        <v>公共部分装修</v>
      </c>
      <c r="R36" s="667" t="s">
        <v>18</v>
      </c>
      <c r="S36" s="668">
        <f t="shared" si="12"/>
        <v>100</v>
      </c>
      <c r="T36" s="667" t="s">
        <v>18</v>
      </c>
      <c r="U36" s="668">
        <f t="shared" si="13"/>
        <v>100</v>
      </c>
      <c r="V36" s="667" t="s">
        <v>18</v>
      </c>
      <c r="W36" s="668">
        <f t="shared" si="14"/>
        <v>100</v>
      </c>
      <c r="X36" s="1264"/>
      <c r="Y36" s="337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371"/>
      <c r="Q37" s="530" t="str">
        <f t="shared" si="11"/>
        <v>成新度</v>
      </c>
      <c r="R37" s="664" t="s">
        <v>18</v>
      </c>
      <c r="S37" s="665" t="e">
        <f t="shared" si="12"/>
        <v>#N/A</v>
      </c>
      <c r="T37" s="664" t="s">
        <v>18</v>
      </c>
      <c r="U37" s="665" t="e">
        <f t="shared" si="13"/>
        <v>#N/A</v>
      </c>
      <c r="V37" s="664" t="s">
        <v>18</v>
      </c>
      <c r="W37" s="665" t="e">
        <f t="shared" si="14"/>
        <v>#N/A</v>
      </c>
      <c r="X37" s="666"/>
      <c r="Y37" s="337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371" t="s">
        <v>1696</v>
      </c>
      <c r="Q38" s="1262" t="str">
        <f t="shared" si="11"/>
        <v>物业管理</v>
      </c>
      <c r="R38" s="667" t="s">
        <v>18</v>
      </c>
      <c r="S38" s="668">
        <f t="shared" si="12"/>
        <v>100</v>
      </c>
      <c r="T38" s="667" t="s">
        <v>18</v>
      </c>
      <c r="U38" s="668">
        <f t="shared" si="13"/>
        <v>100</v>
      </c>
      <c r="V38" s="667" t="s">
        <v>18</v>
      </c>
      <c r="W38" s="668">
        <f t="shared" si="14"/>
        <v>100</v>
      </c>
      <c r="X38" s="1264"/>
      <c r="Y38" s="337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371"/>
      <c r="Q39" s="1262" t="str">
        <f t="shared" si="11"/>
        <v>市政基础设施</v>
      </c>
      <c r="R39" s="667" t="s">
        <v>18</v>
      </c>
      <c r="S39" s="668">
        <f t="shared" si="12"/>
        <v>100</v>
      </c>
      <c r="T39" s="667" t="s">
        <v>18</v>
      </c>
      <c r="U39" s="668">
        <f t="shared" si="13"/>
        <v>100</v>
      </c>
      <c r="V39" s="667" t="s">
        <v>18</v>
      </c>
      <c r="W39" s="668">
        <f t="shared" si="14"/>
        <v>100</v>
      </c>
      <c r="X39" s="1264"/>
      <c r="Y39" s="337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371"/>
      <c r="Q40" s="1262" t="str">
        <f t="shared" si="11"/>
        <v>房型</v>
      </c>
      <c r="R40" s="667" t="s">
        <v>18</v>
      </c>
      <c r="S40" s="668">
        <f t="shared" si="12"/>
        <v>100</v>
      </c>
      <c r="T40" s="667" t="s">
        <v>18</v>
      </c>
      <c r="U40" s="668">
        <f t="shared" si="13"/>
        <v>100</v>
      </c>
      <c r="V40" s="667" t="s">
        <v>18</v>
      </c>
      <c r="W40" s="668">
        <f t="shared" si="14"/>
        <v>100</v>
      </c>
      <c r="X40" s="1264"/>
      <c r="Y40" s="3373"/>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371"/>
      <c r="Q42" s="1262" t="str">
        <f t="shared" si="11"/>
        <v>内部装修</v>
      </c>
      <c r="R42" s="667" t="s">
        <v>18</v>
      </c>
      <c r="S42" s="668">
        <f t="shared" si="12"/>
        <v>100</v>
      </c>
      <c r="T42" s="667" t="s">
        <v>18</v>
      </c>
      <c r="U42" s="668">
        <f t="shared" si="13"/>
        <v>100</v>
      </c>
      <c r="V42" s="667" t="s">
        <v>18</v>
      </c>
      <c r="W42" s="668">
        <f t="shared" si="14"/>
        <v>100</v>
      </c>
      <c r="X42" s="1264"/>
      <c r="Y42" s="3373"/>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371"/>
      <c r="Q43" s="1262" t="str">
        <f t="shared" si="11"/>
        <v>内部装修维护情况</v>
      </c>
      <c r="R43" s="667" t="s">
        <v>18</v>
      </c>
      <c r="S43" s="668">
        <f t="shared" si="12"/>
        <v>100</v>
      </c>
      <c r="T43" s="667" t="s">
        <v>18</v>
      </c>
      <c r="U43" s="668">
        <f t="shared" si="13"/>
        <v>100</v>
      </c>
      <c r="V43" s="667" t="s">
        <v>18</v>
      </c>
      <c r="W43" s="668">
        <f t="shared" si="14"/>
        <v>100</v>
      </c>
      <c r="X43" s="1264"/>
      <c r="Y43" s="337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371"/>
      <c r="Q44" s="530">
        <f t="shared" si="11"/>
        <v>111</v>
      </c>
      <c r="R44" s="664" t="s">
        <v>18</v>
      </c>
      <c r="S44" s="665">
        <f t="shared" si="12"/>
        <v>100</v>
      </c>
      <c r="T44" s="664" t="s">
        <v>18</v>
      </c>
      <c r="U44" s="665">
        <f t="shared" si="13"/>
        <v>100</v>
      </c>
      <c r="V44" s="664" t="s">
        <v>18</v>
      </c>
      <c r="W44" s="665">
        <f t="shared" si="14"/>
        <v>100</v>
      </c>
      <c r="X44" s="666"/>
      <c r="Y44" s="337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371"/>
      <c r="Q45" s="1262">
        <f t="shared" si="11"/>
        <v>111</v>
      </c>
      <c r="R45" s="667" t="s">
        <v>18</v>
      </c>
      <c r="S45" s="668">
        <f t="shared" si="12"/>
        <v>100</v>
      </c>
      <c r="T45" s="667" t="s">
        <v>18</v>
      </c>
      <c r="U45" s="668">
        <f t="shared" si="13"/>
        <v>100</v>
      </c>
      <c r="V45" s="667" t="s">
        <v>18</v>
      </c>
      <c r="W45" s="668">
        <f t="shared" si="14"/>
        <v>100</v>
      </c>
      <c r="X45" s="1264"/>
      <c r="Y45" s="3373"/>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372"/>
      <c r="Q46" s="1262">
        <f t="shared" si="11"/>
        <v>111</v>
      </c>
      <c r="R46" s="667" t="s">
        <v>17</v>
      </c>
      <c r="S46" s="668">
        <f t="shared" si="12"/>
        <v>100</v>
      </c>
      <c r="T46" s="667" t="s">
        <v>17</v>
      </c>
      <c r="U46" s="668">
        <f t="shared" si="13"/>
        <v>100</v>
      </c>
      <c r="V46" s="667" t="s">
        <v>17</v>
      </c>
      <c r="W46" s="668">
        <f t="shared" si="14"/>
        <v>100</v>
      </c>
      <c r="X46" s="1264"/>
      <c r="Y46" s="3374"/>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0"/>
      <c r="M49" s="2483"/>
      <c r="N49" s="2483"/>
      <c r="O49" s="2483"/>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362" t="s">
        <v>1772</v>
      </c>
      <c r="AC4" s="3432" t="s">
        <v>1773</v>
      </c>
    </row>
    <row r="5" spans="1:29">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362"/>
      <c r="AC5" s="3406"/>
    </row>
    <row r="6" spans="1:29" ht="1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362"/>
      <c r="AC6" s="3407"/>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60"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60"/>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60"/>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60"/>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60"/>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60"/>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66" t="s">
        <v>1691</v>
      </c>
      <c r="Q15" s="1262" t="str">
        <f t="shared" si="6"/>
        <v>商业繁华度</v>
      </c>
      <c r="R15" s="667" t="s">
        <v>14</v>
      </c>
      <c r="S15" s="668">
        <f t="shared" si="0"/>
        <v>100</v>
      </c>
      <c r="T15" s="667" t="s">
        <v>14</v>
      </c>
      <c r="U15" s="668">
        <f t="shared" si="1"/>
        <v>100</v>
      </c>
      <c r="V15" s="667" t="s">
        <v>14</v>
      </c>
      <c r="W15" s="668">
        <f t="shared" si="2"/>
        <v>100</v>
      </c>
      <c r="X15" s="1264"/>
      <c r="Y15" s="336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367"/>
      <c r="Q16" s="1262"/>
      <c r="R16" s="667"/>
      <c r="S16" s="668"/>
      <c r="T16" s="667"/>
      <c r="U16" s="668"/>
      <c r="V16" s="667"/>
      <c r="W16" s="668"/>
      <c r="X16" s="1264"/>
      <c r="Y16" s="336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67"/>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367"/>
      <c r="Q18" s="1262"/>
      <c r="R18" s="667"/>
      <c r="S18" s="668"/>
      <c r="T18" s="667"/>
      <c r="U18" s="668"/>
      <c r="V18" s="667"/>
      <c r="W18" s="668"/>
      <c r="X18" s="1264"/>
      <c r="Y18" s="3369"/>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67"/>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367"/>
      <c r="Q20" s="1262"/>
      <c r="R20" s="667"/>
      <c r="S20" s="668"/>
      <c r="T20" s="667"/>
      <c r="U20" s="668"/>
      <c r="V20" s="667"/>
      <c r="W20" s="668"/>
      <c r="X20" s="1264"/>
      <c r="Y20" s="3369"/>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67"/>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367"/>
      <c r="Q22" s="1262"/>
      <c r="R22" s="667"/>
      <c r="S22" s="668"/>
      <c r="T22" s="667"/>
      <c r="U22" s="668"/>
      <c r="V22" s="667"/>
      <c r="W22" s="668"/>
      <c r="X22" s="1264"/>
      <c r="Y22" s="3369"/>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67"/>
      <c r="Q23" s="1262" t="str">
        <f>B23</f>
        <v>自然及人文环境</v>
      </c>
      <c r="R23" s="667" t="s">
        <v>14</v>
      </c>
      <c r="S23" s="668">
        <f>F23</f>
        <v>100</v>
      </c>
      <c r="T23" s="667" t="s">
        <v>14</v>
      </c>
      <c r="U23" s="668">
        <f>H23</f>
        <v>100</v>
      </c>
      <c r="V23" s="667" t="s">
        <v>14</v>
      </c>
      <c r="W23" s="668">
        <f>J23</f>
        <v>100</v>
      </c>
      <c r="X23" s="1264"/>
      <c r="Y23" s="336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367"/>
      <c r="Q24" s="1262"/>
      <c r="R24" s="667"/>
      <c r="S24" s="668"/>
      <c r="T24" s="667"/>
      <c r="U24" s="668"/>
      <c r="V24" s="667"/>
      <c r="W24" s="668"/>
      <c r="X24" s="1264"/>
      <c r="Y24" s="336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67"/>
      <c r="Q25" s="1262" t="str">
        <f t="shared" ref="Q25:Q46" si="11">B25</f>
        <v>临街状况</v>
      </c>
      <c r="R25" s="667" t="s">
        <v>14</v>
      </c>
      <c r="S25" s="668">
        <f>F25</f>
        <v>100</v>
      </c>
      <c r="T25" s="667" t="s">
        <v>14</v>
      </c>
      <c r="U25" s="668">
        <f>H25</f>
        <v>100</v>
      </c>
      <c r="V25" s="667" t="s">
        <v>14</v>
      </c>
      <c r="W25" s="668">
        <f>J25</f>
        <v>100</v>
      </c>
      <c r="X25" s="1264"/>
      <c r="Y25" s="336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67"/>
      <c r="Q26" s="1262" t="str">
        <f t="shared" si="11"/>
        <v>平面位置/可视性</v>
      </c>
      <c r="R26" s="667" t="s">
        <v>14</v>
      </c>
      <c r="S26" s="668">
        <f>F26</f>
        <v>100</v>
      </c>
      <c r="T26" s="667" t="s">
        <v>14</v>
      </c>
      <c r="U26" s="668">
        <f>H26</f>
        <v>100</v>
      </c>
      <c r="V26" s="667" t="s">
        <v>14</v>
      </c>
      <c r="W26" s="668">
        <f>J26</f>
        <v>100</v>
      </c>
      <c r="X26" s="1264"/>
      <c r="Y26" s="336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367"/>
      <c r="Q27" s="530" t="str">
        <f t="shared" si="11"/>
        <v>人流量</v>
      </c>
      <c r="R27" s="664" t="s">
        <v>14</v>
      </c>
      <c r="S27" s="665">
        <f>F27</f>
        <v>100</v>
      </c>
      <c r="T27" s="664" t="s">
        <v>14</v>
      </c>
      <c r="U27" s="665">
        <f>H27</f>
        <v>100</v>
      </c>
      <c r="V27" s="664" t="s">
        <v>14</v>
      </c>
      <c r="W27" s="665">
        <f>J27</f>
        <v>100</v>
      </c>
      <c r="X27" s="666"/>
      <c r="Y27" s="336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6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6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67"/>
      <c r="Q29" s="1262">
        <f t="shared" si="11"/>
        <v>111</v>
      </c>
      <c r="R29" s="667" t="s">
        <v>14</v>
      </c>
      <c r="S29" s="668">
        <f t="shared" si="12"/>
        <v>100</v>
      </c>
      <c r="T29" s="667" t="s">
        <v>14</v>
      </c>
      <c r="U29" s="668">
        <f t="shared" si="13"/>
        <v>100</v>
      </c>
      <c r="V29" s="667" t="s">
        <v>14</v>
      </c>
      <c r="W29" s="668">
        <f t="shared" si="14"/>
        <v>100</v>
      </c>
      <c r="X29" s="1264"/>
      <c r="Y29" s="336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67"/>
      <c r="Q30" s="1262">
        <f t="shared" si="11"/>
        <v>111</v>
      </c>
      <c r="R30" s="667" t="s">
        <v>14</v>
      </c>
      <c r="S30" s="668">
        <f t="shared" si="12"/>
        <v>100</v>
      </c>
      <c r="T30" s="667" t="s">
        <v>14</v>
      </c>
      <c r="U30" s="668">
        <f t="shared" si="13"/>
        <v>100</v>
      </c>
      <c r="V30" s="667" t="s">
        <v>14</v>
      </c>
      <c r="W30" s="668">
        <f t="shared" si="14"/>
        <v>100</v>
      </c>
      <c r="X30" s="1264"/>
      <c r="Y30" s="3369"/>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67"/>
      <c r="Q31" s="1262">
        <f t="shared" si="11"/>
        <v>111</v>
      </c>
      <c r="R31" s="667" t="s">
        <v>14</v>
      </c>
      <c r="S31" s="668">
        <f t="shared" si="12"/>
        <v>100</v>
      </c>
      <c r="T31" s="667" t="s">
        <v>14</v>
      </c>
      <c r="U31" s="668">
        <f t="shared" si="13"/>
        <v>100</v>
      </c>
      <c r="V31" s="667" t="s">
        <v>14</v>
      </c>
      <c r="W31" s="668">
        <f t="shared" si="14"/>
        <v>100</v>
      </c>
      <c r="X31" s="1264"/>
      <c r="Y31" s="336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70" t="s">
        <v>1696</v>
      </c>
      <c r="Q32" s="1262" t="str">
        <f t="shared" si="11"/>
        <v>商业类型</v>
      </c>
      <c r="R32" s="667" t="s">
        <v>14</v>
      </c>
      <c r="S32" s="668">
        <f t="shared" si="12"/>
        <v>100</v>
      </c>
      <c r="T32" s="667" t="s">
        <v>14</v>
      </c>
      <c r="U32" s="668">
        <f t="shared" si="13"/>
        <v>100</v>
      </c>
      <c r="V32" s="667" t="s">
        <v>14</v>
      </c>
      <c r="W32" s="668">
        <f t="shared" si="14"/>
        <v>100</v>
      </c>
      <c r="X32" s="1264"/>
      <c r="Y32" s="337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71"/>
      <c r="Q34" s="1262" t="str">
        <f t="shared" si="11"/>
        <v>建筑结构</v>
      </c>
      <c r="R34" s="667" t="s">
        <v>14</v>
      </c>
      <c r="S34" s="668">
        <f t="shared" si="12"/>
        <v>100</v>
      </c>
      <c r="T34" s="667" t="s">
        <v>14</v>
      </c>
      <c r="U34" s="668">
        <f t="shared" si="13"/>
        <v>100</v>
      </c>
      <c r="V34" s="667" t="s">
        <v>14</v>
      </c>
      <c r="W34" s="668">
        <f t="shared" si="14"/>
        <v>100</v>
      </c>
      <c r="X34" s="1264"/>
      <c r="Y34" s="337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371"/>
      <c r="Q35" s="1262" t="str">
        <f t="shared" si="11"/>
        <v>公共部分装修</v>
      </c>
      <c r="R35" s="667" t="s">
        <v>14</v>
      </c>
      <c r="S35" s="668">
        <f t="shared" si="12"/>
        <v>100</v>
      </c>
      <c r="T35" s="667" t="s">
        <v>14</v>
      </c>
      <c r="U35" s="668">
        <f t="shared" si="13"/>
        <v>100</v>
      </c>
      <c r="V35" s="667" t="s">
        <v>14</v>
      </c>
      <c r="W35" s="668">
        <f t="shared" si="14"/>
        <v>100</v>
      </c>
      <c r="X35" s="1264"/>
      <c r="Y35" s="337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71"/>
      <c r="Q36" s="1262" t="str">
        <f t="shared" si="11"/>
        <v>成新度</v>
      </c>
      <c r="R36" s="667" t="s">
        <v>14</v>
      </c>
      <c r="S36" s="668" t="e">
        <f t="shared" si="12"/>
        <v>#N/A</v>
      </c>
      <c r="T36" s="667" t="s">
        <v>14</v>
      </c>
      <c r="U36" s="668" t="e">
        <f t="shared" si="13"/>
        <v>#N/A</v>
      </c>
      <c r="V36" s="667" t="s">
        <v>14</v>
      </c>
      <c r="W36" s="668" t="e">
        <f t="shared" si="14"/>
        <v>#N/A</v>
      </c>
      <c r="X36" s="1264"/>
      <c r="Y36" s="337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371" t="s">
        <v>1696</v>
      </c>
      <c r="Q38" s="1262" t="str">
        <f t="shared" si="11"/>
        <v>业态</v>
      </c>
      <c r="R38" s="667" t="s">
        <v>14</v>
      </c>
      <c r="S38" s="668">
        <f t="shared" si="12"/>
        <v>100</v>
      </c>
      <c r="T38" s="667" t="s">
        <v>14</v>
      </c>
      <c r="U38" s="668">
        <f t="shared" si="13"/>
        <v>100</v>
      </c>
      <c r="V38" s="667" t="s">
        <v>14</v>
      </c>
      <c r="W38" s="668">
        <f t="shared" si="14"/>
        <v>100</v>
      </c>
      <c r="X38" s="1264"/>
      <c r="Y38" s="337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371"/>
      <c r="Q39" s="1262" t="str">
        <f t="shared" si="11"/>
        <v>层高</v>
      </c>
      <c r="R39" s="667" t="s">
        <v>14</v>
      </c>
      <c r="S39" s="668">
        <f t="shared" si="12"/>
        <v>100</v>
      </c>
      <c r="T39" s="667" t="s">
        <v>14</v>
      </c>
      <c r="U39" s="668">
        <f t="shared" si="13"/>
        <v>100</v>
      </c>
      <c r="V39" s="667" t="s">
        <v>14</v>
      </c>
      <c r="W39" s="668">
        <f t="shared" si="14"/>
        <v>100</v>
      </c>
      <c r="X39" s="1264"/>
      <c r="Y39" s="337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1"/>
      <c r="Q40" s="1262" t="str">
        <f t="shared" si="11"/>
        <v>单套建筑面积</v>
      </c>
      <c r="R40" s="667" t="s">
        <v>14</v>
      </c>
      <c r="S40" s="668">
        <f t="shared" si="12"/>
        <v>100</v>
      </c>
      <c r="T40" s="667" t="s">
        <v>14</v>
      </c>
      <c r="U40" s="668">
        <f t="shared" si="13"/>
        <v>100</v>
      </c>
      <c r="V40" s="667" t="s">
        <v>14</v>
      </c>
      <c r="W40" s="668">
        <f t="shared" si="14"/>
        <v>100</v>
      </c>
      <c r="X40" s="1264"/>
      <c r="Y40" s="337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371"/>
      <c r="Q42" s="1262" t="str">
        <f t="shared" si="11"/>
        <v>内部装修</v>
      </c>
      <c r="R42" s="667" t="s">
        <v>14</v>
      </c>
      <c r="S42" s="668">
        <f t="shared" si="12"/>
        <v>100</v>
      </c>
      <c r="T42" s="667" t="s">
        <v>14</v>
      </c>
      <c r="U42" s="668">
        <f t="shared" si="13"/>
        <v>100</v>
      </c>
      <c r="V42" s="667" t="s">
        <v>14</v>
      </c>
      <c r="W42" s="668">
        <f t="shared" si="14"/>
        <v>100</v>
      </c>
      <c r="X42" s="1264"/>
      <c r="Y42" s="3373"/>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371"/>
      <c r="Q43" s="1262" t="str">
        <f t="shared" si="11"/>
        <v>内部装修维护情况</v>
      </c>
      <c r="R43" s="667" t="s">
        <v>14</v>
      </c>
      <c r="S43" s="668">
        <f t="shared" si="12"/>
        <v>100</v>
      </c>
      <c r="T43" s="667" t="s">
        <v>14</v>
      </c>
      <c r="U43" s="668">
        <f t="shared" si="13"/>
        <v>100</v>
      </c>
      <c r="V43" s="667" t="s">
        <v>14</v>
      </c>
      <c r="W43" s="668">
        <f t="shared" si="14"/>
        <v>100</v>
      </c>
      <c r="X43" s="1264"/>
      <c r="Y43" s="337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71"/>
      <c r="Q45" s="1262">
        <f t="shared" si="11"/>
        <v>111</v>
      </c>
      <c r="R45" s="667" t="s">
        <v>14</v>
      </c>
      <c r="S45" s="668">
        <f t="shared" si="12"/>
        <v>100</v>
      </c>
      <c r="T45" s="667" t="s">
        <v>14</v>
      </c>
      <c r="U45" s="668">
        <f t="shared" si="13"/>
        <v>100</v>
      </c>
      <c r="V45" s="667" t="s">
        <v>14</v>
      </c>
      <c r="W45" s="668">
        <f t="shared" si="14"/>
        <v>100</v>
      </c>
      <c r="X45" s="1264"/>
      <c r="Y45" s="3373"/>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72"/>
      <c r="Q46" s="1262">
        <f t="shared" si="11"/>
        <v>111</v>
      </c>
      <c r="R46" s="667" t="s">
        <v>14</v>
      </c>
      <c r="S46" s="668">
        <f t="shared" si="12"/>
        <v>100</v>
      </c>
      <c r="T46" s="667" t="s">
        <v>14</v>
      </c>
      <c r="U46" s="668">
        <f t="shared" si="13"/>
        <v>100</v>
      </c>
      <c r="V46" s="667" t="s">
        <v>14</v>
      </c>
      <c r="W46" s="668">
        <f t="shared" si="14"/>
        <v>100</v>
      </c>
      <c r="X46" s="1264"/>
      <c r="Y46" s="3374"/>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0"/>
      <c r="M47" s="2483"/>
      <c r="N47" s="2483"/>
      <c r="O47" s="2483"/>
      <c r="P47" s="3361" t="str">
        <f>A47</f>
        <v>成交单价（元/平方米）</v>
      </c>
      <c r="Q47" s="3361"/>
      <c r="R47" s="3362">
        <f>E47</f>
        <v>0</v>
      </c>
      <c r="S47" s="3362"/>
      <c r="T47" s="3362">
        <f>G47</f>
        <v>0</v>
      </c>
      <c r="U47" s="3362"/>
      <c r="V47" s="3362">
        <f>I47</f>
        <v>0</v>
      </c>
      <c r="W47" s="3362"/>
      <c r="X47" s="385"/>
      <c r="Y47" s="673"/>
      <c r="Z47" s="385"/>
      <c r="AA47" s="385"/>
      <c r="AB47" s="385"/>
      <c r="AC47" s="385"/>
    </row>
    <row r="48" spans="1:29" ht="1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361" t="str">
        <f>A48</f>
        <v>比较价值（元/平方米）</v>
      </c>
      <c r="Q48" s="3361"/>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860"/>
      <c r="M4" s="861"/>
      <c r="N4" s="861"/>
      <c r="O4" s="861"/>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c r="A5" s="348"/>
      <c r="B5" s="349"/>
      <c r="C5" s="3439" t="s">
        <v>1673</v>
      </c>
      <c r="D5" s="3398"/>
      <c r="E5" s="3440" t="s">
        <v>1674</v>
      </c>
      <c r="F5" s="3441"/>
      <c r="G5" s="3439" t="s">
        <v>1675</v>
      </c>
      <c r="H5" s="3398"/>
      <c r="I5" s="3439" t="s">
        <v>1676</v>
      </c>
      <c r="J5" s="3398"/>
      <c r="K5" s="537"/>
      <c r="L5" s="860"/>
      <c r="M5" s="861"/>
      <c r="N5" s="861"/>
      <c r="O5" s="861"/>
      <c r="P5" s="3435"/>
      <c r="Q5" s="3385"/>
      <c r="R5" s="3390"/>
      <c r="S5" s="3391"/>
      <c r="T5" s="3390"/>
      <c r="U5" s="3391"/>
      <c r="V5" s="3362"/>
      <c r="W5" s="3362"/>
      <c r="X5" s="1264"/>
      <c r="Y5" s="3390"/>
      <c r="Z5" s="3391"/>
      <c r="AA5" s="3406"/>
      <c r="AB5" s="3406"/>
      <c r="AC5" s="3406"/>
    </row>
    <row r="6" spans="1:29" ht="15" thickBot="1">
      <c r="A6" s="350"/>
      <c r="B6" s="351"/>
      <c r="C6" s="3395" t="s">
        <v>1677</v>
      </c>
      <c r="D6" s="3396"/>
      <c r="E6" s="3403" t="s">
        <v>1677</v>
      </c>
      <c r="F6" s="3404"/>
      <c r="G6" s="3395" t="s">
        <v>1677</v>
      </c>
      <c r="H6" s="3396"/>
      <c r="I6" s="3395" t="s">
        <v>1677</v>
      </c>
      <c r="J6" s="3396"/>
      <c r="K6" s="537" t="s">
        <v>1678</v>
      </c>
      <c r="L6" s="860"/>
      <c r="M6" s="861"/>
      <c r="N6" s="861"/>
      <c r="O6" s="861"/>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1" t="s">
        <v>1683</v>
      </c>
      <c r="Q8" s="3400"/>
      <c r="R8" s="664" t="s">
        <v>14</v>
      </c>
      <c r="S8" s="665">
        <f t="shared" si="0"/>
        <v>100</v>
      </c>
      <c r="T8" s="664" t="s">
        <v>14</v>
      </c>
      <c r="U8" s="665">
        <f t="shared" si="1"/>
        <v>100</v>
      </c>
      <c r="V8" s="664" t="s">
        <v>14</v>
      </c>
      <c r="W8" s="665">
        <f t="shared" si="2"/>
        <v>100</v>
      </c>
      <c r="X8" s="666"/>
      <c r="Y8" s="3401" t="s">
        <v>1683</v>
      </c>
      <c r="Z8" s="3400"/>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1"/>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69"/>
      <c r="Q16" s="1262"/>
      <c r="R16" s="667"/>
      <c r="S16" s="668"/>
      <c r="T16" s="667"/>
      <c r="U16" s="668"/>
      <c r="V16" s="667"/>
      <c r="W16" s="668"/>
      <c r="X16" s="1264"/>
      <c r="Y16" s="3369"/>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69"/>
      <c r="Q18" s="1262"/>
      <c r="R18" s="667"/>
      <c r="S18" s="668"/>
      <c r="T18" s="667"/>
      <c r="U18" s="668"/>
      <c r="V18" s="667"/>
      <c r="W18" s="668"/>
      <c r="X18" s="1264"/>
      <c r="Y18" s="3369"/>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2" t="str">
        <f>B19</f>
        <v>公共配套设施</v>
      </c>
      <c r="R19" s="667" t="s">
        <v>14</v>
      </c>
      <c r="S19" s="668">
        <f>F19</f>
        <v>100</v>
      </c>
      <c r="T19" s="667" t="s">
        <v>14</v>
      </c>
      <c r="U19" s="668">
        <f>H19</f>
        <v>100</v>
      </c>
      <c r="V19" s="667" t="s">
        <v>14</v>
      </c>
      <c r="W19" s="668">
        <f>J19</f>
        <v>100</v>
      </c>
      <c r="X19" s="1264"/>
      <c r="Y19" s="336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69"/>
      <c r="Q20" s="1262"/>
      <c r="R20" s="667"/>
      <c r="S20" s="668"/>
      <c r="T20" s="667"/>
      <c r="U20" s="668"/>
      <c r="V20" s="667"/>
      <c r="W20" s="668"/>
      <c r="X20" s="1264"/>
      <c r="Y20" s="3369"/>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2" t="str">
        <f>B21</f>
        <v>基础设施水平</v>
      </c>
      <c r="R21" s="667" t="s">
        <v>14</v>
      </c>
      <c r="S21" s="668">
        <f>F21</f>
        <v>100</v>
      </c>
      <c r="T21" s="667" t="s">
        <v>14</v>
      </c>
      <c r="U21" s="668">
        <f>H21</f>
        <v>100</v>
      </c>
      <c r="V21" s="667" t="s">
        <v>14</v>
      </c>
      <c r="W21" s="668">
        <f>J21</f>
        <v>100</v>
      </c>
      <c r="X21" s="1264"/>
      <c r="Y21" s="336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69"/>
      <c r="Q22" s="1262"/>
      <c r="R22" s="667"/>
      <c r="S22" s="668"/>
      <c r="T22" s="667"/>
      <c r="U22" s="668"/>
      <c r="V22" s="667"/>
      <c r="W22" s="668"/>
      <c r="X22" s="1264"/>
      <c r="Y22" s="3369"/>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2" t="str">
        <f>B23</f>
        <v>环境质量</v>
      </c>
      <c r="R23" s="667" t="s">
        <v>14</v>
      </c>
      <c r="S23" s="668">
        <f>F23</f>
        <v>100</v>
      </c>
      <c r="T23" s="667" t="s">
        <v>14</v>
      </c>
      <c r="U23" s="668">
        <f>H23</f>
        <v>100</v>
      </c>
      <c r="V23" s="667" t="s">
        <v>14</v>
      </c>
      <c r="W23" s="668">
        <f>J23</f>
        <v>100</v>
      </c>
      <c r="X23" s="1264"/>
      <c r="Y23" s="336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69"/>
      <c r="Q24" s="1262"/>
      <c r="R24" s="667"/>
      <c r="S24" s="668"/>
      <c r="T24" s="667"/>
      <c r="U24" s="668"/>
      <c r="V24" s="667"/>
      <c r="W24" s="668"/>
      <c r="X24" s="1264"/>
      <c r="Y24" s="336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2">
        <f>B25</f>
        <v>111</v>
      </c>
      <c r="R25" s="667" t="s">
        <v>14</v>
      </c>
      <c r="S25" s="668">
        <f>F25</f>
        <v>100</v>
      </c>
      <c r="T25" s="667" t="s">
        <v>14</v>
      </c>
      <c r="U25" s="668">
        <f>H25</f>
        <v>100</v>
      </c>
      <c r="V25" s="667" t="s">
        <v>14</v>
      </c>
      <c r="W25" s="668">
        <f>J25</f>
        <v>100</v>
      </c>
      <c r="X25" s="1264"/>
      <c r="Y25" s="336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2">
        <f t="shared" ref="Q26:Q40" si="11">B26</f>
        <v>111</v>
      </c>
      <c r="R26" s="667" t="s">
        <v>14</v>
      </c>
      <c r="S26" s="668">
        <f>F26</f>
        <v>100</v>
      </c>
      <c r="T26" s="667" t="s">
        <v>14</v>
      </c>
      <c r="U26" s="668">
        <f>H26</f>
        <v>100</v>
      </c>
      <c r="V26" s="667" t="s">
        <v>14</v>
      </c>
      <c r="W26" s="668">
        <f>J26</f>
        <v>100</v>
      </c>
      <c r="X26" s="1264"/>
      <c r="Y26" s="336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2">
        <f t="shared" si="11"/>
        <v>111</v>
      </c>
      <c r="R28" s="667" t="s">
        <v>14</v>
      </c>
      <c r="S28" s="668">
        <f t="shared" ref="S28:S40" si="12">F28</f>
        <v>100</v>
      </c>
      <c r="T28" s="667" t="s">
        <v>14</v>
      </c>
      <c r="U28" s="668">
        <f t="shared" ref="U28:U40" si="13">H28</f>
        <v>100</v>
      </c>
      <c r="V28" s="667" t="s">
        <v>14</v>
      </c>
      <c r="W28" s="668">
        <f t="shared" ref="W28:W40" si="14">J28</f>
        <v>100</v>
      </c>
      <c r="X28" s="1264"/>
      <c r="Y28" s="3369"/>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2" t="s">
        <v>1696</v>
      </c>
      <c r="Q29" s="1262" t="str">
        <f t="shared" si="11"/>
        <v>建筑类型</v>
      </c>
      <c r="R29" s="667" t="s">
        <v>14</v>
      </c>
      <c r="S29" s="668">
        <f t="shared" si="12"/>
        <v>100</v>
      </c>
      <c r="T29" s="667" t="s">
        <v>14</v>
      </c>
      <c r="U29" s="668">
        <f t="shared" si="13"/>
        <v>100</v>
      </c>
      <c r="V29" s="667" t="s">
        <v>14</v>
      </c>
      <c r="W29" s="668">
        <f t="shared" si="14"/>
        <v>100</v>
      </c>
      <c r="X29" s="1264"/>
      <c r="Y29" s="337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2" t="str">
        <f t="shared" si="11"/>
        <v>建筑结构</v>
      </c>
      <c r="R31" s="667" t="s">
        <v>14</v>
      </c>
      <c r="S31" s="668">
        <f t="shared" si="12"/>
        <v>100</v>
      </c>
      <c r="T31" s="667" t="s">
        <v>14</v>
      </c>
      <c r="U31" s="668">
        <f t="shared" si="13"/>
        <v>100</v>
      </c>
      <c r="V31" s="667" t="s">
        <v>14</v>
      </c>
      <c r="W31" s="668">
        <f t="shared" si="14"/>
        <v>100</v>
      </c>
      <c r="X31" s="1264"/>
      <c r="Y31" s="337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2" t="str">
        <f t="shared" si="11"/>
        <v>公共部分装修</v>
      </c>
      <c r="R32" s="667" t="s">
        <v>14</v>
      </c>
      <c r="S32" s="668">
        <f t="shared" si="12"/>
        <v>100</v>
      </c>
      <c r="T32" s="667" t="s">
        <v>14</v>
      </c>
      <c r="U32" s="668">
        <f t="shared" si="13"/>
        <v>100</v>
      </c>
      <c r="V32" s="667" t="s">
        <v>14</v>
      </c>
      <c r="W32" s="668">
        <f t="shared" si="14"/>
        <v>100</v>
      </c>
      <c r="X32" s="1264"/>
      <c r="Y32" s="337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2" t="str">
        <f t="shared" si="11"/>
        <v>成新度</v>
      </c>
      <c r="R33" s="667" t="s">
        <v>14</v>
      </c>
      <c r="S33" s="668" t="e">
        <f t="shared" si="12"/>
        <v>#N/A</v>
      </c>
      <c r="T33" s="667" t="s">
        <v>14</v>
      </c>
      <c r="U33" s="668" t="e">
        <f t="shared" si="13"/>
        <v>#N/A</v>
      </c>
      <c r="V33" s="667" t="s">
        <v>14</v>
      </c>
      <c r="W33" s="668" t="e">
        <f t="shared" si="14"/>
        <v>#N/A</v>
      </c>
      <c r="X33" s="1264"/>
      <c r="Y33" s="337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2" t="str">
        <f t="shared" si="11"/>
        <v>市政基础设施</v>
      </c>
      <c r="R35" s="667" t="s">
        <v>14</v>
      </c>
      <c r="S35" s="668">
        <f t="shared" si="12"/>
        <v>100</v>
      </c>
      <c r="T35" s="667" t="s">
        <v>14</v>
      </c>
      <c r="U35" s="668">
        <f t="shared" si="13"/>
        <v>100</v>
      </c>
      <c r="V35" s="667" t="s">
        <v>14</v>
      </c>
      <c r="W35" s="668">
        <f t="shared" si="14"/>
        <v>100</v>
      </c>
      <c r="X35" s="1264"/>
      <c r="Y35" s="337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2" t="str">
        <f t="shared" si="11"/>
        <v>内部装修</v>
      </c>
      <c r="R36" s="667" t="s">
        <v>14</v>
      </c>
      <c r="S36" s="668">
        <f t="shared" si="12"/>
        <v>100</v>
      </c>
      <c r="T36" s="667" t="s">
        <v>14</v>
      </c>
      <c r="U36" s="668">
        <f t="shared" si="13"/>
        <v>100</v>
      </c>
      <c r="V36" s="667" t="s">
        <v>14</v>
      </c>
      <c r="W36" s="668">
        <f t="shared" si="14"/>
        <v>100</v>
      </c>
      <c r="X36" s="1264"/>
      <c r="Y36" s="337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2" t="str">
        <f t="shared" si="11"/>
        <v>内部装修状况</v>
      </c>
      <c r="R37" s="667" t="s">
        <v>14</v>
      </c>
      <c r="S37" s="668">
        <f t="shared" si="12"/>
        <v>100</v>
      </c>
      <c r="T37" s="667" t="s">
        <v>14</v>
      </c>
      <c r="U37" s="668">
        <f t="shared" si="13"/>
        <v>100</v>
      </c>
      <c r="V37" s="667" t="s">
        <v>14</v>
      </c>
      <c r="W37" s="668">
        <f t="shared" si="14"/>
        <v>100</v>
      </c>
      <c r="X37" s="1264"/>
      <c r="Y37" s="337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2">
        <f t="shared" si="11"/>
        <v>111</v>
      </c>
      <c r="R39" s="667" t="s">
        <v>14</v>
      </c>
      <c r="S39" s="668">
        <f t="shared" si="12"/>
        <v>100</v>
      </c>
      <c r="T39" s="667" t="s">
        <v>14</v>
      </c>
      <c r="U39" s="668">
        <f t="shared" si="13"/>
        <v>100</v>
      </c>
      <c r="V39" s="667" t="s">
        <v>14</v>
      </c>
      <c r="W39" s="668">
        <f t="shared" si="14"/>
        <v>100</v>
      </c>
      <c r="X39" s="1264"/>
      <c r="Y39" s="3373"/>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2">
        <f t="shared" si="11"/>
        <v>111</v>
      </c>
      <c r="R40" s="667" t="s">
        <v>14</v>
      </c>
      <c r="S40" s="668">
        <f t="shared" si="12"/>
        <v>100</v>
      </c>
      <c r="T40" s="667" t="s">
        <v>14</v>
      </c>
      <c r="U40" s="668">
        <f t="shared" si="13"/>
        <v>100</v>
      </c>
      <c r="V40" s="667" t="s">
        <v>14</v>
      </c>
      <c r="W40" s="668">
        <f t="shared" si="14"/>
        <v>100</v>
      </c>
      <c r="X40" s="1264"/>
      <c r="Y40" s="3374"/>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61" t="str">
        <f>A41</f>
        <v>成交单价（元/平方米）</v>
      </c>
      <c r="Q41" s="3361"/>
      <c r="R41" s="3362">
        <f>E41</f>
        <v>0</v>
      </c>
      <c r="S41" s="3362"/>
      <c r="T41" s="3362">
        <f>G41</f>
        <v>0</v>
      </c>
      <c r="U41" s="3362"/>
      <c r="V41" s="3362">
        <f>I41</f>
        <v>0</v>
      </c>
      <c r="W41" s="3362"/>
      <c r="X41" s="385"/>
      <c r="Y41" s="673"/>
      <c r="Z41" s="385"/>
      <c r="AA41" s="385"/>
      <c r="AB41" s="385"/>
      <c r="AC41" s="385"/>
    </row>
    <row r="42" spans="1:29" ht="1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361" t="str">
        <f>A42</f>
        <v>比较价值（元/平方米）</v>
      </c>
      <c r="Q42" s="3361"/>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61"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1"/>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69"/>
      <c r="Q15" s="1262"/>
      <c r="R15" s="667"/>
      <c r="S15" s="668"/>
      <c r="T15" s="667"/>
      <c r="U15" s="668"/>
      <c r="V15" s="667"/>
      <c r="W15" s="668"/>
      <c r="X15" s="1264"/>
      <c r="Y15" s="3369"/>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69"/>
      <c r="Q17" s="1262"/>
      <c r="R17" s="667"/>
      <c r="S17" s="668"/>
      <c r="T17" s="667"/>
      <c r="U17" s="668"/>
      <c r="V17" s="667"/>
      <c r="W17" s="668"/>
      <c r="X17" s="1264"/>
      <c r="Y17" s="3369"/>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369"/>
      <c r="Q19" s="1262"/>
      <c r="R19" s="667"/>
      <c r="S19" s="668"/>
      <c r="T19" s="667"/>
      <c r="U19" s="668"/>
      <c r="V19" s="667"/>
      <c r="W19" s="668"/>
      <c r="X19" s="1264"/>
      <c r="Y19" s="3369"/>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69"/>
      <c r="Q21" s="1262"/>
      <c r="R21" s="667"/>
      <c r="S21" s="668"/>
      <c r="T21" s="667"/>
      <c r="U21" s="668"/>
      <c r="V21" s="667"/>
      <c r="W21" s="668"/>
      <c r="X21" s="1264"/>
      <c r="Y21" s="336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69"/>
      <c r="Q24" s="1262">
        <f t="shared" ref="Q24:Q36"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3"/>
      <c r="Q28" s="1262" t="str">
        <f t="shared" si="11"/>
        <v>公共部分装修</v>
      </c>
      <c r="R28" s="667" t="s">
        <v>14</v>
      </c>
      <c r="S28" s="668">
        <f t="shared" si="12"/>
        <v>100</v>
      </c>
      <c r="T28" s="667" t="s">
        <v>14</v>
      </c>
      <c r="U28" s="668">
        <f t="shared" si="13"/>
        <v>100</v>
      </c>
      <c r="V28" s="667" t="s">
        <v>14</v>
      </c>
      <c r="W28" s="668">
        <f t="shared" si="14"/>
        <v>100</v>
      </c>
      <c r="X28" s="1264"/>
      <c r="Y28" s="337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3"/>
      <c r="Q29" s="1262" t="str">
        <f t="shared" si="11"/>
        <v>成新率</v>
      </c>
      <c r="R29" s="667" t="s">
        <v>14</v>
      </c>
      <c r="S29" s="668" t="e">
        <f t="shared" si="12"/>
        <v>#N/A</v>
      </c>
      <c r="T29" s="667" t="s">
        <v>14</v>
      </c>
      <c r="U29" s="668" t="e">
        <f t="shared" si="13"/>
        <v>#N/A</v>
      </c>
      <c r="V29" s="667" t="s">
        <v>14</v>
      </c>
      <c r="W29" s="668" t="e">
        <f t="shared" si="14"/>
        <v>#N/A</v>
      </c>
      <c r="X29" s="1264"/>
      <c r="Y29" s="337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3"/>
      <c r="Q30" s="1262" t="str">
        <f t="shared" si="11"/>
        <v>物业等级</v>
      </c>
      <c r="R30" s="667" t="s">
        <v>14</v>
      </c>
      <c r="S30" s="668">
        <f t="shared" si="12"/>
        <v>100</v>
      </c>
      <c r="T30" s="667" t="s">
        <v>14</v>
      </c>
      <c r="U30" s="668">
        <f t="shared" si="13"/>
        <v>100</v>
      </c>
      <c r="V30" s="667" t="s">
        <v>14</v>
      </c>
      <c r="W30" s="668">
        <f t="shared" si="14"/>
        <v>100</v>
      </c>
      <c r="X30" s="1264"/>
      <c r="Y30" s="337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3" t="s">
        <v>1696</v>
      </c>
      <c r="Q32" s="1262" t="str">
        <f t="shared" si="11"/>
        <v>车位类型</v>
      </c>
      <c r="R32" s="667" t="s">
        <v>14</v>
      </c>
      <c r="S32" s="668">
        <f t="shared" si="12"/>
        <v>100</v>
      </c>
      <c r="T32" s="667" t="s">
        <v>14</v>
      </c>
      <c r="U32" s="668">
        <f t="shared" si="13"/>
        <v>100</v>
      </c>
      <c r="V32" s="667" t="s">
        <v>14</v>
      </c>
      <c r="W32" s="668">
        <f t="shared" si="14"/>
        <v>100</v>
      </c>
      <c r="X32" s="1264"/>
      <c r="Y32" s="337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3"/>
      <c r="Q33" s="1262" t="str">
        <f t="shared" si="11"/>
        <v>是否直接入户</v>
      </c>
      <c r="R33" s="667" t="s">
        <v>14</v>
      </c>
      <c r="S33" s="668">
        <f t="shared" si="12"/>
        <v>100</v>
      </c>
      <c r="T33" s="667" t="s">
        <v>14</v>
      </c>
      <c r="U33" s="668">
        <f t="shared" si="13"/>
        <v>100</v>
      </c>
      <c r="V33" s="667" t="s">
        <v>14</v>
      </c>
      <c r="W33" s="668">
        <f t="shared" si="14"/>
        <v>100</v>
      </c>
      <c r="X33" s="1264"/>
      <c r="Y33" s="337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3"/>
      <c r="Q36" s="1262">
        <f t="shared" si="11"/>
        <v>111</v>
      </c>
      <c r="R36" s="667" t="s">
        <v>14</v>
      </c>
      <c r="S36" s="668">
        <f t="shared" si="12"/>
        <v>100</v>
      </c>
      <c r="T36" s="667" t="s">
        <v>14</v>
      </c>
      <c r="U36" s="668">
        <f t="shared" si="13"/>
        <v>100</v>
      </c>
      <c r="V36" s="667" t="s">
        <v>14</v>
      </c>
      <c r="W36" s="668">
        <f t="shared" si="14"/>
        <v>100</v>
      </c>
      <c r="X36" s="1264"/>
      <c r="Y36" s="3373"/>
      <c r="Z36" s="1263">
        <f t="shared" si="15"/>
        <v>111</v>
      </c>
      <c r="AA36" s="1263">
        <f t="shared" si="3"/>
        <v>1</v>
      </c>
      <c r="AB36" s="1263">
        <f t="shared" si="4"/>
        <v>1</v>
      </c>
      <c r="AC36" s="1263">
        <f t="shared" si="5"/>
        <v>1</v>
      </c>
    </row>
    <row r="37" spans="1:29" ht="14.4">
      <c r="A37" s="416" t="s">
        <v>1844</v>
      </c>
      <c r="B37" s="1820" t="s">
        <v>3349</v>
      </c>
      <c r="C37" s="1081" t="s">
        <v>0</v>
      </c>
      <c r="D37" s="418"/>
      <c r="E37" s="419"/>
      <c r="F37" s="420"/>
      <c r="G37" s="421"/>
      <c r="H37" s="422"/>
      <c r="I37" s="419"/>
      <c r="J37" s="422"/>
      <c r="K37" s="545"/>
      <c r="L37" s="2490"/>
      <c r="M37" s="2483"/>
      <c r="N37" s="2483"/>
      <c r="O37" s="2483"/>
      <c r="P37" s="3361" t="str">
        <f>A37</f>
        <v>成交单价</v>
      </c>
      <c r="Q37" s="3361"/>
      <c r="R37" s="3362">
        <f>E37</f>
        <v>0</v>
      </c>
      <c r="S37" s="3362"/>
      <c r="T37" s="3362">
        <f>G37</f>
        <v>0</v>
      </c>
      <c r="U37" s="3362"/>
      <c r="V37" s="3362">
        <f>I37</f>
        <v>0</v>
      </c>
      <c r="W37" s="3362"/>
      <c r="X37" s="385"/>
      <c r="Y37" s="673"/>
      <c r="Z37" s="385"/>
      <c r="AA37" s="385"/>
      <c r="AB37" s="385"/>
      <c r="AC37" s="385"/>
    </row>
    <row r="38" spans="1:29" ht="1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361" t="str">
        <f>A38</f>
        <v>比较价值（元/平方米）</v>
      </c>
      <c r="Q38" s="3361"/>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29" t="str">
        <f>A39</f>
        <v>估价对象XX用房的比较价值（楼面单价，元/平方米）</v>
      </c>
      <c r="Q39" s="3430"/>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中国银行总行北京分行顺义支行：</v>
      </c>
    </row>
    <row r="4" spans="1:1" ht="34.799999999999997">
      <c r="A4" s="1381" t="str">
        <f>"受贵公司委托，我公司对"&amp;项目基本情况!S1&amp;"进行了预评估。"</f>
        <v>受贵公司委托，我公司对北京市平谷区府前西街18号院1号楼4层2单元409等[4]套房地产抵押价值进行了预评估。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401" t="s">
        <v>1680</v>
      </c>
      <c r="Q7" s="3402"/>
      <c r="R7" s="664" t="s">
        <v>14</v>
      </c>
      <c r="S7" s="665">
        <f t="shared" ref="S7:S14" si="0">F7</f>
        <v>0</v>
      </c>
      <c r="T7" s="664" t="s">
        <v>14</v>
      </c>
      <c r="U7" s="665">
        <f t="shared" ref="U7:U14" si="1">H7</f>
        <v>0</v>
      </c>
      <c r="V7" s="664" t="s">
        <v>14</v>
      </c>
      <c r="W7" s="665">
        <f t="shared" ref="W7:W14" si="2">J7</f>
        <v>0</v>
      </c>
      <c r="X7" s="666"/>
      <c r="Y7" s="3401" t="s">
        <v>1680</v>
      </c>
      <c r="Z7" s="3400"/>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401" t="s">
        <v>1683</v>
      </c>
      <c r="Q8" s="3400"/>
      <c r="R8" s="664" t="s">
        <v>14</v>
      </c>
      <c r="S8" s="665">
        <f t="shared" si="0"/>
        <v>100</v>
      </c>
      <c r="T8" s="664" t="s">
        <v>14</v>
      </c>
      <c r="U8" s="665">
        <f t="shared" si="1"/>
        <v>100</v>
      </c>
      <c r="V8" s="664" t="s">
        <v>14</v>
      </c>
      <c r="W8" s="665">
        <f t="shared" si="2"/>
        <v>100</v>
      </c>
      <c r="X8" s="666"/>
      <c r="Y8" s="3401" t="s">
        <v>1683</v>
      </c>
      <c r="Z8" s="3400"/>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61"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1"/>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1"/>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68" t="s">
        <v>1691</v>
      </c>
      <c r="Q14" s="1262" t="str">
        <f t="shared" si="6"/>
        <v>交通便捷度</v>
      </c>
      <c r="R14" s="667" t="s">
        <v>14</v>
      </c>
      <c r="S14" s="668">
        <f t="shared" si="0"/>
        <v>100</v>
      </c>
      <c r="T14" s="667" t="s">
        <v>14</v>
      </c>
      <c r="U14" s="668">
        <f t="shared" si="1"/>
        <v>100</v>
      </c>
      <c r="V14" s="667" t="s">
        <v>14</v>
      </c>
      <c r="W14" s="668">
        <f t="shared" si="2"/>
        <v>100</v>
      </c>
      <c r="X14" s="1264"/>
      <c r="Y14" s="336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69"/>
      <c r="Q15" s="1262"/>
      <c r="R15" s="667"/>
      <c r="S15" s="668"/>
      <c r="T15" s="667"/>
      <c r="U15" s="668"/>
      <c r="V15" s="667"/>
      <c r="W15" s="668"/>
      <c r="X15" s="1264"/>
      <c r="Y15" s="3369"/>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69"/>
      <c r="Q16" s="1262" t="str">
        <f>B16</f>
        <v>公共配套设施</v>
      </c>
      <c r="R16" s="667" t="s">
        <v>14</v>
      </c>
      <c r="S16" s="668">
        <f>F16</f>
        <v>100</v>
      </c>
      <c r="T16" s="667" t="s">
        <v>14</v>
      </c>
      <c r="U16" s="668">
        <f>H16</f>
        <v>100</v>
      </c>
      <c r="V16" s="667" t="s">
        <v>14</v>
      </c>
      <c r="W16" s="668">
        <f>J16</f>
        <v>100</v>
      </c>
      <c r="X16" s="1264"/>
      <c r="Y16" s="336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69"/>
      <c r="Q17" s="1262"/>
      <c r="R17" s="667"/>
      <c r="S17" s="668"/>
      <c r="T17" s="667"/>
      <c r="U17" s="668"/>
      <c r="V17" s="667"/>
      <c r="W17" s="668"/>
      <c r="X17" s="1264"/>
      <c r="Y17" s="3369"/>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69"/>
      <c r="Q18" s="1262" t="str">
        <f>B18</f>
        <v>基础设施水平</v>
      </c>
      <c r="R18" s="667" t="s">
        <v>14</v>
      </c>
      <c r="S18" s="668">
        <f>F18</f>
        <v>100</v>
      </c>
      <c r="T18" s="667" t="s">
        <v>14</v>
      </c>
      <c r="U18" s="668">
        <f>H18</f>
        <v>100</v>
      </c>
      <c r="V18" s="667" t="s">
        <v>14</v>
      </c>
      <c r="W18" s="668">
        <f>J18</f>
        <v>100</v>
      </c>
      <c r="X18" s="1264"/>
      <c r="Y18" s="336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369"/>
      <c r="Q19" s="1262"/>
      <c r="R19" s="667"/>
      <c r="S19" s="668"/>
      <c r="T19" s="667"/>
      <c r="U19" s="668"/>
      <c r="V19" s="667"/>
      <c r="W19" s="668"/>
      <c r="X19" s="1264"/>
      <c r="Y19" s="3369"/>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69"/>
      <c r="Q20" s="1262" t="str">
        <f>B20</f>
        <v>自然及人文环境</v>
      </c>
      <c r="R20" s="667" t="s">
        <v>14</v>
      </c>
      <c r="S20" s="668">
        <f>F20</f>
        <v>100</v>
      </c>
      <c r="T20" s="667" t="s">
        <v>14</v>
      </c>
      <c r="U20" s="668">
        <f>H20</f>
        <v>100</v>
      </c>
      <c r="V20" s="667" t="s">
        <v>14</v>
      </c>
      <c r="W20" s="668">
        <f>J20</f>
        <v>100</v>
      </c>
      <c r="X20" s="1264"/>
      <c r="Y20" s="336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69"/>
      <c r="Q21" s="1262"/>
      <c r="R21" s="667"/>
      <c r="S21" s="668"/>
      <c r="T21" s="667"/>
      <c r="U21" s="668"/>
      <c r="V21" s="667"/>
      <c r="W21" s="668"/>
      <c r="X21" s="1264"/>
      <c r="Y21" s="336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69"/>
      <c r="Q22" s="1262" t="str">
        <f>B22</f>
        <v>楼层</v>
      </c>
      <c r="R22" s="667" t="s">
        <v>14</v>
      </c>
      <c r="S22" s="668">
        <f>F22</f>
        <v>100</v>
      </c>
      <c r="T22" s="667" t="s">
        <v>14</v>
      </c>
      <c r="U22" s="668">
        <f>H22</f>
        <v>100</v>
      </c>
      <c r="V22" s="667" t="s">
        <v>14</v>
      </c>
      <c r="W22" s="668">
        <f>J22</f>
        <v>100</v>
      </c>
      <c r="X22" s="1264"/>
      <c r="Y22" s="336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69"/>
      <c r="Q23" s="1262">
        <f>B23</f>
        <v>111</v>
      </c>
      <c r="R23" s="667" t="s">
        <v>14</v>
      </c>
      <c r="S23" s="668">
        <f>F23</f>
        <v>100</v>
      </c>
      <c r="T23" s="667" t="s">
        <v>14</v>
      </c>
      <c r="U23" s="668">
        <f>H23</f>
        <v>100</v>
      </c>
      <c r="V23" s="667" t="s">
        <v>14</v>
      </c>
      <c r="W23" s="668">
        <f>J23</f>
        <v>100</v>
      </c>
      <c r="X23" s="1264"/>
      <c r="Y23" s="336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69"/>
      <c r="Q24" s="1262">
        <f t="shared" ref="Q24:Q34" si="11">B24</f>
        <v>111</v>
      </c>
      <c r="R24" s="667" t="s">
        <v>14</v>
      </c>
      <c r="S24" s="668">
        <f>F24</f>
        <v>100</v>
      </c>
      <c r="T24" s="667" t="s">
        <v>14</v>
      </c>
      <c r="U24" s="668">
        <f>H24</f>
        <v>100</v>
      </c>
      <c r="V24" s="667" t="s">
        <v>14</v>
      </c>
      <c r="W24" s="668">
        <f>J24</f>
        <v>100</v>
      </c>
      <c r="X24" s="1264"/>
      <c r="Y24" s="3369"/>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69"/>
      <c r="Q25" s="530">
        <f t="shared" si="11"/>
        <v>111</v>
      </c>
      <c r="R25" s="664" t="s">
        <v>14</v>
      </c>
      <c r="S25" s="665">
        <f>F25</f>
        <v>100</v>
      </c>
      <c r="T25" s="664" t="s">
        <v>14</v>
      </c>
      <c r="U25" s="665">
        <f>H25</f>
        <v>100</v>
      </c>
      <c r="V25" s="664" t="s">
        <v>14</v>
      </c>
      <c r="W25" s="665">
        <f>J25</f>
        <v>100</v>
      </c>
      <c r="X25" s="666"/>
      <c r="Y25" s="3369"/>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4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3"/>
      <c r="Q28" s="1262" t="str">
        <f t="shared" si="11"/>
        <v>物业等级</v>
      </c>
      <c r="R28" s="667" t="s">
        <v>14</v>
      </c>
      <c r="S28" s="668">
        <f t="shared" si="12"/>
        <v>100</v>
      </c>
      <c r="T28" s="667" t="s">
        <v>14</v>
      </c>
      <c r="U28" s="668">
        <f t="shared" si="13"/>
        <v>100</v>
      </c>
      <c r="V28" s="667" t="s">
        <v>14</v>
      </c>
      <c r="W28" s="668">
        <f t="shared" si="14"/>
        <v>100</v>
      </c>
      <c r="X28" s="1264"/>
      <c r="Y28" s="337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3"/>
      <c r="Q29" s="1262" t="str">
        <f t="shared" si="11"/>
        <v>有无电梯</v>
      </c>
      <c r="R29" s="667" t="s">
        <v>14</v>
      </c>
      <c r="S29" s="668">
        <f t="shared" si="12"/>
        <v>100</v>
      </c>
      <c r="T29" s="667" t="s">
        <v>14</v>
      </c>
      <c r="U29" s="668">
        <f t="shared" si="13"/>
        <v>100</v>
      </c>
      <c r="V29" s="667" t="s">
        <v>14</v>
      </c>
      <c r="W29" s="668">
        <f t="shared" si="14"/>
        <v>100</v>
      </c>
      <c r="X29" s="1264"/>
      <c r="Y29" s="337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3"/>
      <c r="Q30" s="1262" t="str">
        <f t="shared" si="11"/>
        <v>建筑面积</v>
      </c>
      <c r="R30" s="667" t="s">
        <v>14</v>
      </c>
      <c r="S30" s="668" t="e">
        <f t="shared" si="12"/>
        <v>#N/A</v>
      </c>
      <c r="T30" s="667" t="s">
        <v>14</v>
      </c>
      <c r="U30" s="668" t="e">
        <f t="shared" si="13"/>
        <v>#N/A</v>
      </c>
      <c r="V30" s="667" t="s">
        <v>14</v>
      </c>
      <c r="W30" s="668" t="e">
        <f t="shared" si="14"/>
        <v>#N/A</v>
      </c>
      <c r="X30" s="1264"/>
      <c r="Y30" s="337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3" t="s">
        <v>1696</v>
      </c>
      <c r="Q32" s="1262">
        <f t="shared" si="11"/>
        <v>111</v>
      </c>
      <c r="R32" s="667" t="s">
        <v>14</v>
      </c>
      <c r="S32" s="668">
        <f t="shared" si="12"/>
        <v>100</v>
      </c>
      <c r="T32" s="667" t="s">
        <v>14</v>
      </c>
      <c r="U32" s="668">
        <f t="shared" si="13"/>
        <v>100</v>
      </c>
      <c r="V32" s="667" t="s">
        <v>14</v>
      </c>
      <c r="W32" s="668">
        <f t="shared" si="14"/>
        <v>100</v>
      </c>
      <c r="X32" s="1264"/>
      <c r="Y32" s="337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3"/>
      <c r="Q33" s="1262">
        <f t="shared" si="11"/>
        <v>111</v>
      </c>
      <c r="R33" s="667" t="s">
        <v>14</v>
      </c>
      <c r="S33" s="668">
        <f t="shared" si="12"/>
        <v>100</v>
      </c>
      <c r="T33" s="667" t="s">
        <v>14</v>
      </c>
      <c r="U33" s="668">
        <f t="shared" si="13"/>
        <v>100</v>
      </c>
      <c r="V33" s="667" t="s">
        <v>14</v>
      </c>
      <c r="W33" s="668">
        <f t="shared" si="14"/>
        <v>100</v>
      </c>
      <c r="X33" s="1264"/>
      <c r="Y33" s="3373"/>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0"/>
      <c r="M35" s="2483"/>
      <c r="N35" s="2483"/>
      <c r="O35" s="2483"/>
      <c r="P35" s="3361" t="str">
        <f>A35</f>
        <v>成交单价（元/平方米）</v>
      </c>
      <c r="Q35" s="3361"/>
      <c r="R35" s="3362">
        <f>E35</f>
        <v>0</v>
      </c>
      <c r="S35" s="3362"/>
      <c r="T35" s="3362">
        <f>G35</f>
        <v>0</v>
      </c>
      <c r="U35" s="3362"/>
      <c r="V35" s="3362">
        <f>I35</f>
        <v>0</v>
      </c>
      <c r="W35" s="3362"/>
      <c r="X35" s="385"/>
      <c r="Y35" s="673"/>
      <c r="Z35" s="385"/>
      <c r="AA35" s="385"/>
      <c r="AB35" s="385"/>
      <c r="AC35" s="385"/>
    </row>
    <row r="36" spans="1:30" ht="1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361" t="str">
        <f>A36</f>
        <v>比较价值（元/平方米）</v>
      </c>
      <c r="Q36" s="3361"/>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29" t="str">
        <f>A37</f>
        <v>估价对象XX用房的比较价值（楼面单价，元/平方米）</v>
      </c>
      <c r="Q37" s="3430"/>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 thickBot="1">
      <c r="A6" s="350"/>
      <c r="B6" s="351"/>
      <c r="C6" s="3395" t="s">
        <v>1677</v>
      </c>
      <c r="D6" s="3396"/>
      <c r="E6" s="3403" t="s">
        <v>1677</v>
      </c>
      <c r="F6" s="3404"/>
      <c r="G6" s="3395" t="s">
        <v>1677</v>
      </c>
      <c r="H6" s="3396"/>
      <c r="I6" s="3395" t="s">
        <v>1677</v>
      </c>
      <c r="J6" s="3396"/>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401" t="s">
        <v>1683</v>
      </c>
      <c r="Q8" s="3400"/>
      <c r="R8" s="664" t="s">
        <v>14</v>
      </c>
      <c r="S8" s="665">
        <f t="shared" si="0"/>
        <v>0</v>
      </c>
      <c r="T8" s="664" t="s">
        <v>14</v>
      </c>
      <c r="U8" s="665">
        <f t="shared" si="1"/>
        <v>0</v>
      </c>
      <c r="V8" s="664" t="s">
        <v>14</v>
      </c>
      <c r="W8" s="665">
        <f t="shared" si="2"/>
        <v>0</v>
      </c>
      <c r="X8" s="666"/>
      <c r="Y8" s="3401" t="s">
        <v>1683</v>
      </c>
      <c r="Z8" s="3400"/>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361"/>
      <c r="Q10" s="530" t="str">
        <f t="shared" si="6"/>
        <v>土地使用年限（年）</v>
      </c>
      <c r="R10" s="664" t="s">
        <v>14</v>
      </c>
      <c r="S10" s="665">
        <f t="shared" si="0"/>
        <v>118</v>
      </c>
      <c r="T10" s="664" t="s">
        <v>14</v>
      </c>
      <c r="U10" s="665">
        <f t="shared" si="1"/>
        <v>118</v>
      </c>
      <c r="V10" s="664" t="s">
        <v>14</v>
      </c>
      <c r="W10" s="665">
        <f t="shared" si="2"/>
        <v>118</v>
      </c>
      <c r="X10" s="666"/>
      <c r="Y10" s="3259"/>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361"/>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68" t="s">
        <v>1691</v>
      </c>
      <c r="Q15" s="1262" t="str">
        <f t="shared" si="6"/>
        <v>居住社区成熟度</v>
      </c>
      <c r="R15" s="667" t="s">
        <v>14</v>
      </c>
      <c r="S15" s="668">
        <f t="shared" si="0"/>
        <v>100</v>
      </c>
      <c r="T15" s="667" t="s">
        <v>14</v>
      </c>
      <c r="U15" s="668">
        <f t="shared" si="1"/>
        <v>100</v>
      </c>
      <c r="V15" s="667" t="s">
        <v>14</v>
      </c>
      <c r="W15" s="668">
        <f t="shared" si="2"/>
        <v>100</v>
      </c>
      <c r="X15" s="1264"/>
      <c r="Y15" s="336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69"/>
      <c r="Q16" s="1262"/>
      <c r="R16" s="667"/>
      <c r="S16" s="668"/>
      <c r="T16" s="667"/>
      <c r="U16" s="668"/>
      <c r="V16" s="667"/>
      <c r="W16" s="668"/>
      <c r="X16" s="1264"/>
      <c r="Y16" s="3369"/>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69"/>
      <c r="Q17" s="1262" t="str">
        <f>B17</f>
        <v>商业繁华度</v>
      </c>
      <c r="R17" s="667" t="s">
        <v>14</v>
      </c>
      <c r="S17" s="668">
        <f>F17</f>
        <v>100</v>
      </c>
      <c r="T17" s="667" t="s">
        <v>14</v>
      </c>
      <c r="U17" s="668">
        <f>H17</f>
        <v>100</v>
      </c>
      <c r="V17" s="667" t="s">
        <v>14</v>
      </c>
      <c r="W17" s="668">
        <f>J17</f>
        <v>100</v>
      </c>
      <c r="X17" s="1264"/>
      <c r="Y17" s="336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69"/>
      <c r="Q18" s="1262"/>
      <c r="R18" s="667"/>
      <c r="S18" s="668"/>
      <c r="T18" s="667"/>
      <c r="U18" s="668"/>
      <c r="V18" s="667"/>
      <c r="W18" s="668"/>
      <c r="X18" s="1264"/>
      <c r="Y18" s="3369"/>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69"/>
      <c r="Q19" s="1262" t="str">
        <f>B19</f>
        <v>办公集聚程度</v>
      </c>
      <c r="R19" s="667" t="s">
        <v>14</v>
      </c>
      <c r="S19" s="668">
        <f>F19</f>
        <v>100</v>
      </c>
      <c r="T19" s="667" t="s">
        <v>14</v>
      </c>
      <c r="U19" s="668">
        <f>H19</f>
        <v>100</v>
      </c>
      <c r="V19" s="667" t="s">
        <v>14</v>
      </c>
      <c r="W19" s="668">
        <f>J19</f>
        <v>100</v>
      </c>
      <c r="X19" s="1264"/>
      <c r="Y19" s="336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69"/>
      <c r="Q20" s="1262"/>
      <c r="R20" s="667"/>
      <c r="S20" s="668"/>
      <c r="T20" s="667"/>
      <c r="U20" s="668"/>
      <c r="V20" s="667"/>
      <c r="W20" s="668"/>
      <c r="X20" s="1264"/>
      <c r="Y20" s="3369"/>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69"/>
      <c r="Q21" s="1262" t="str">
        <f>B21</f>
        <v>交通便捷度</v>
      </c>
      <c r="R21" s="667" t="s">
        <v>14</v>
      </c>
      <c r="S21" s="668">
        <f>F21</f>
        <v>100</v>
      </c>
      <c r="T21" s="667" t="s">
        <v>14</v>
      </c>
      <c r="U21" s="668">
        <f>H21</f>
        <v>100</v>
      </c>
      <c r="V21" s="667" t="s">
        <v>14</v>
      </c>
      <c r="W21" s="668">
        <f>J21</f>
        <v>100</v>
      </c>
      <c r="X21" s="1264"/>
      <c r="Y21" s="336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69"/>
      <c r="Q22" s="1262"/>
      <c r="R22" s="667"/>
      <c r="S22" s="668"/>
      <c r="T22" s="667"/>
      <c r="U22" s="668"/>
      <c r="V22" s="667"/>
      <c r="W22" s="668"/>
      <c r="X22" s="1264"/>
      <c r="Y22" s="3369"/>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69"/>
      <c r="Q23" s="1262" t="str">
        <f t="shared" ref="Q23:Q37" si="8">B23</f>
        <v>区域土地利用方向</v>
      </c>
      <c r="R23" s="667" t="s">
        <v>14</v>
      </c>
      <c r="S23" s="668">
        <f>F23</f>
        <v>100</v>
      </c>
      <c r="T23" s="667" t="s">
        <v>14</v>
      </c>
      <c r="U23" s="668">
        <f>H23</f>
        <v>100</v>
      </c>
      <c r="V23" s="667" t="s">
        <v>14</v>
      </c>
      <c r="W23" s="668">
        <f>J23</f>
        <v>100</v>
      </c>
      <c r="X23" s="1264"/>
      <c r="Y23" s="336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369"/>
      <c r="Q24" s="1262"/>
      <c r="R24" s="667"/>
      <c r="S24" s="668"/>
      <c r="T24" s="667"/>
      <c r="U24" s="668"/>
      <c r="V24" s="667"/>
      <c r="W24" s="668"/>
      <c r="X24" s="1264"/>
      <c r="Y24" s="3369"/>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69"/>
      <c r="Q25" s="1262" t="str">
        <f t="shared" si="8"/>
        <v>自然及人文环境状况</v>
      </c>
      <c r="R25" s="667" t="s">
        <v>14</v>
      </c>
      <c r="S25" s="668">
        <f>F25</f>
        <v>100</v>
      </c>
      <c r="T25" s="667" t="s">
        <v>14</v>
      </c>
      <c r="U25" s="668">
        <f>H25</f>
        <v>100</v>
      </c>
      <c r="V25" s="667" t="s">
        <v>14</v>
      </c>
      <c r="W25" s="668">
        <f>J25</f>
        <v>100</v>
      </c>
      <c r="X25" s="1264"/>
      <c r="Y25" s="336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69"/>
      <c r="Q26" s="1262"/>
      <c r="R26" s="667"/>
      <c r="S26" s="668"/>
      <c r="T26" s="667"/>
      <c r="U26" s="668"/>
      <c r="V26" s="667"/>
      <c r="W26" s="668"/>
      <c r="X26" s="1264"/>
      <c r="Y26" s="3369"/>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69"/>
      <c r="Q28" s="530"/>
      <c r="R28" s="664"/>
      <c r="S28" s="665"/>
      <c r="T28" s="664"/>
      <c r="U28" s="665"/>
      <c r="V28" s="664"/>
      <c r="W28" s="665"/>
      <c r="X28" s="666"/>
      <c r="Y28" s="3369"/>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69"/>
      <c r="Q30" s="530"/>
      <c r="R30" s="664"/>
      <c r="S30" s="665"/>
      <c r="T30" s="664"/>
      <c r="U30" s="665"/>
      <c r="V30" s="664"/>
      <c r="W30" s="665"/>
      <c r="X30" s="666"/>
      <c r="Y30" s="336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6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69"/>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69"/>
      <c r="Q32" s="1262" t="str">
        <f t="shared" si="8"/>
        <v>毗邻道路的类型与等级</v>
      </c>
      <c r="R32" s="667" t="s">
        <v>14</v>
      </c>
      <c r="S32" s="668">
        <f t="shared" si="10"/>
        <v>100</v>
      </c>
      <c r="T32" s="667" t="s">
        <v>14</v>
      </c>
      <c r="U32" s="668">
        <f t="shared" si="11"/>
        <v>100</v>
      </c>
      <c r="V32" s="667" t="s">
        <v>14</v>
      </c>
      <c r="W32" s="668">
        <f t="shared" si="12"/>
        <v>100</v>
      </c>
      <c r="X32" s="1264"/>
      <c r="Y32" s="336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69"/>
      <c r="Q33" s="1262"/>
      <c r="R33" s="667"/>
      <c r="S33" s="668"/>
      <c r="T33" s="667"/>
      <c r="U33" s="668"/>
      <c r="V33" s="667"/>
      <c r="W33" s="668"/>
      <c r="X33" s="1264"/>
      <c r="Y33" s="336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69"/>
      <c r="Q34" s="1262" t="str">
        <f t="shared" si="8"/>
        <v>土地级别</v>
      </c>
      <c r="R34" s="667" t="s">
        <v>14</v>
      </c>
      <c r="S34" s="668">
        <f t="shared" si="10"/>
        <v>100</v>
      </c>
      <c r="T34" s="667" t="s">
        <v>14</v>
      </c>
      <c r="U34" s="668">
        <f t="shared" si="11"/>
        <v>100</v>
      </c>
      <c r="V34" s="667" t="s">
        <v>14</v>
      </c>
      <c r="W34" s="668">
        <f t="shared" si="12"/>
        <v>100</v>
      </c>
      <c r="X34" s="1264"/>
      <c r="Y34" s="336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69"/>
      <c r="Q35" s="1262">
        <f t="shared" si="8"/>
        <v>111</v>
      </c>
      <c r="R35" s="667" t="s">
        <v>14</v>
      </c>
      <c r="S35" s="668">
        <f t="shared" si="10"/>
        <v>100</v>
      </c>
      <c r="T35" s="667" t="s">
        <v>14</v>
      </c>
      <c r="U35" s="668">
        <f t="shared" si="11"/>
        <v>100</v>
      </c>
      <c r="V35" s="667" t="s">
        <v>14</v>
      </c>
      <c r="W35" s="668">
        <f t="shared" si="12"/>
        <v>100</v>
      </c>
      <c r="X35" s="1264"/>
      <c r="Y35" s="336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2" t="s">
        <v>1696</v>
      </c>
      <c r="Q36" s="1262">
        <f t="shared" si="8"/>
        <v>111</v>
      </c>
      <c r="R36" s="667" t="s">
        <v>14</v>
      </c>
      <c r="S36" s="668">
        <f t="shared" si="10"/>
        <v>100</v>
      </c>
      <c r="T36" s="667" t="s">
        <v>14</v>
      </c>
      <c r="U36" s="668">
        <f t="shared" si="11"/>
        <v>100</v>
      </c>
      <c r="V36" s="667" t="s">
        <v>14</v>
      </c>
      <c r="W36" s="668">
        <f t="shared" si="12"/>
        <v>100</v>
      </c>
      <c r="X36" s="1264"/>
      <c r="Y36" s="3373"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3"/>
      <c r="Q37" s="1262">
        <f t="shared" si="8"/>
        <v>111</v>
      </c>
      <c r="R37" s="669" t="s">
        <v>14</v>
      </c>
      <c r="S37" s="670">
        <f t="shared" si="10"/>
        <v>100</v>
      </c>
      <c r="T37" s="669" t="s">
        <v>14</v>
      </c>
      <c r="U37" s="670">
        <f t="shared" si="11"/>
        <v>100</v>
      </c>
      <c r="V37" s="669" t="s">
        <v>14</v>
      </c>
      <c r="W37" s="670">
        <f t="shared" si="12"/>
        <v>100</v>
      </c>
      <c r="X37" s="671"/>
      <c r="Y37" s="3373"/>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3"/>
      <c r="Q38" s="1262" t="str">
        <f>B38</f>
        <v>宗地面积</v>
      </c>
      <c r="R38" s="667" t="s">
        <v>14</v>
      </c>
      <c r="S38" s="668" t="e">
        <f t="shared" si="10"/>
        <v>#N/A</v>
      </c>
      <c r="T38" s="667" t="s">
        <v>14</v>
      </c>
      <c r="U38" s="668" t="e">
        <f t="shared" si="11"/>
        <v>#N/A</v>
      </c>
      <c r="V38" s="667" t="s">
        <v>14</v>
      </c>
      <c r="W38" s="668" t="e">
        <f t="shared" si="12"/>
        <v>#N/A</v>
      </c>
      <c r="X38" s="1264"/>
      <c r="Y38" s="337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73"/>
      <c r="Q39" s="1262" t="str">
        <f t="shared" ref="Q39:Q45" si="14">B39</f>
        <v>宗地形状</v>
      </c>
      <c r="R39" s="667" t="s">
        <v>14</v>
      </c>
      <c r="S39" s="668">
        <f t="shared" si="10"/>
        <v>100</v>
      </c>
      <c r="T39" s="667" t="s">
        <v>14</v>
      </c>
      <c r="U39" s="668">
        <f t="shared" si="11"/>
        <v>100</v>
      </c>
      <c r="V39" s="667" t="s">
        <v>14</v>
      </c>
      <c r="W39" s="668">
        <f t="shared" si="12"/>
        <v>100</v>
      </c>
      <c r="X39" s="1264"/>
      <c r="Y39" s="337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73"/>
      <c r="Q40" s="1262" t="str">
        <f t="shared" si="14"/>
        <v>临街宽度及深度</v>
      </c>
      <c r="R40" s="667" t="s">
        <v>14</v>
      </c>
      <c r="S40" s="668">
        <f t="shared" si="10"/>
        <v>100</v>
      </c>
      <c r="T40" s="667" t="s">
        <v>14</v>
      </c>
      <c r="U40" s="668">
        <f t="shared" si="11"/>
        <v>100</v>
      </c>
      <c r="V40" s="667" t="s">
        <v>14</v>
      </c>
      <c r="W40" s="668">
        <f t="shared" si="12"/>
        <v>100</v>
      </c>
      <c r="X40" s="1264"/>
      <c r="Y40" s="3373"/>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373"/>
      <c r="Q41" s="1262"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73" t="s">
        <v>1696</v>
      </c>
      <c r="Q42" s="1262" t="str">
        <f t="shared" si="14"/>
        <v>工程地质条件</v>
      </c>
      <c r="R42" s="667" t="s">
        <v>14</v>
      </c>
      <c r="S42" s="668">
        <f t="shared" si="10"/>
        <v>100</v>
      </c>
      <c r="T42" s="667" t="s">
        <v>14</v>
      </c>
      <c r="U42" s="668">
        <f t="shared" si="11"/>
        <v>100</v>
      </c>
      <c r="V42" s="667" t="s">
        <v>14</v>
      </c>
      <c r="W42" s="668">
        <f t="shared" si="12"/>
        <v>100</v>
      </c>
      <c r="X42" s="1264"/>
      <c r="Y42" s="337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3"/>
      <c r="Q43" s="1262">
        <f t="shared" si="14"/>
        <v>111</v>
      </c>
      <c r="R43" s="667" t="s">
        <v>14</v>
      </c>
      <c r="S43" s="668">
        <f t="shared" si="10"/>
        <v>100</v>
      </c>
      <c r="T43" s="667" t="s">
        <v>14</v>
      </c>
      <c r="U43" s="668">
        <f t="shared" si="11"/>
        <v>100</v>
      </c>
      <c r="V43" s="667" t="s">
        <v>14</v>
      </c>
      <c r="W43" s="668">
        <f t="shared" si="12"/>
        <v>100</v>
      </c>
      <c r="X43" s="1264"/>
      <c r="Y43" s="337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3"/>
      <c r="Q44" s="1262">
        <f t="shared" si="14"/>
        <v>111</v>
      </c>
      <c r="R44" s="667" t="s">
        <v>14</v>
      </c>
      <c r="S44" s="668">
        <f t="shared" si="10"/>
        <v>100</v>
      </c>
      <c r="T44" s="667" t="s">
        <v>14</v>
      </c>
      <c r="U44" s="668">
        <f t="shared" si="11"/>
        <v>100</v>
      </c>
      <c r="V44" s="667" t="s">
        <v>14</v>
      </c>
      <c r="W44" s="668">
        <f t="shared" si="12"/>
        <v>100</v>
      </c>
      <c r="X44" s="1264"/>
      <c r="Y44" s="3373"/>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3"/>
      <c r="Q45" s="1262">
        <f t="shared" si="14"/>
        <v>111</v>
      </c>
      <c r="R45" s="669" t="s">
        <v>14</v>
      </c>
      <c r="S45" s="670">
        <f t="shared" si="10"/>
        <v>100</v>
      </c>
      <c r="T45" s="669" t="s">
        <v>14</v>
      </c>
      <c r="U45" s="670">
        <f t="shared" si="11"/>
        <v>100</v>
      </c>
      <c r="V45" s="669" t="s">
        <v>14</v>
      </c>
      <c r="W45" s="670">
        <f t="shared" si="12"/>
        <v>100</v>
      </c>
      <c r="X45" s="671"/>
      <c r="Y45" s="3373"/>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361" t="str">
        <f>A46</f>
        <v>成交单价</v>
      </c>
      <c r="Q46" s="3361"/>
      <c r="R46" s="3362">
        <f>E46</f>
        <v>0</v>
      </c>
      <c r="S46" s="3362"/>
      <c r="T46" s="3362">
        <f>G46</f>
        <v>0</v>
      </c>
      <c r="U46" s="3362"/>
      <c r="V46" s="3362">
        <f>I46</f>
        <v>0</v>
      </c>
      <c r="W46" s="3362"/>
      <c r="X46" s="385"/>
      <c r="Y46" s="673"/>
      <c r="Z46" s="385"/>
      <c r="AA46" s="385"/>
      <c r="AB46" s="385"/>
      <c r="AC46" s="385"/>
    </row>
    <row r="47" spans="1:29" ht="1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361" t="str">
        <f>A47</f>
        <v>比较价值（元/平方米）</v>
      </c>
      <c r="Q47" s="3361"/>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29" t="str">
        <f>A48</f>
        <v>估价对象XX用房的比较价值（楼面单价，元/平方米）</v>
      </c>
      <c r="Q48" s="3430"/>
      <c r="R48" s="3445" t="e">
        <f>ROUND(IF(D47="简单平均",AVERAGE(R47:W47),R47*F47+T47*H47+V47*J47),0)</f>
        <v>#DIV/0!</v>
      </c>
      <c r="S48" s="3445"/>
      <c r="T48" s="3445"/>
      <c r="U48" s="3445"/>
      <c r="V48" s="3445"/>
      <c r="W48" s="344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378" t="s">
        <v>1887</v>
      </c>
      <c r="H55" s="3446"/>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360"/>
      <c r="H56" s="3361"/>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8" t="s">
        <v>1770</v>
      </c>
      <c r="D4" s="3379"/>
      <c r="E4" s="3380" t="s">
        <v>1771</v>
      </c>
      <c r="F4" s="3381"/>
      <c r="G4" s="3378" t="s">
        <v>1772</v>
      </c>
      <c r="H4" s="3379"/>
      <c r="I4" s="3378" t="s">
        <v>1773</v>
      </c>
      <c r="J4" s="3379"/>
      <c r="K4" s="537" t="s">
        <v>1774</v>
      </c>
      <c r="L4" s="2482"/>
      <c r="M4" s="2483"/>
      <c r="N4" s="2483"/>
      <c r="O4" s="2483"/>
      <c r="P4" s="3433" t="s">
        <v>1775</v>
      </c>
      <c r="Q4" s="3434"/>
      <c r="R4" s="3437" t="s">
        <v>1771</v>
      </c>
      <c r="S4" s="3438"/>
      <c r="T4" s="3437" t="s">
        <v>1772</v>
      </c>
      <c r="U4" s="3438"/>
      <c r="V4" s="3362" t="s">
        <v>1773</v>
      </c>
      <c r="W4" s="3362"/>
      <c r="X4" s="1264"/>
      <c r="Y4" s="3437" t="s">
        <v>1775</v>
      </c>
      <c r="Z4" s="3438"/>
      <c r="AA4" s="3432" t="s">
        <v>1771</v>
      </c>
      <c r="AB4" s="3406" t="s">
        <v>1772</v>
      </c>
      <c r="AC4" s="3432" t="s">
        <v>1773</v>
      </c>
    </row>
    <row r="5" spans="1:29">
      <c r="A5" s="348"/>
      <c r="B5" s="349"/>
      <c r="C5" s="3439" t="s">
        <v>1673</v>
      </c>
      <c r="D5" s="3398"/>
      <c r="E5" s="3440" t="s">
        <v>1674</v>
      </c>
      <c r="F5" s="3441"/>
      <c r="G5" s="3439" t="s">
        <v>1675</v>
      </c>
      <c r="H5" s="3398"/>
      <c r="I5" s="3439" t="s">
        <v>1676</v>
      </c>
      <c r="J5" s="3398"/>
      <c r="K5" s="537"/>
      <c r="L5" s="2482"/>
      <c r="M5" s="2483"/>
      <c r="N5" s="2483"/>
      <c r="O5" s="2483"/>
      <c r="P5" s="3435"/>
      <c r="Q5" s="3385"/>
      <c r="R5" s="3390"/>
      <c r="S5" s="3391"/>
      <c r="T5" s="3390"/>
      <c r="U5" s="3391"/>
      <c r="V5" s="3362"/>
      <c r="W5" s="3362"/>
      <c r="X5" s="1264"/>
      <c r="Y5" s="3390"/>
      <c r="Z5" s="3391"/>
      <c r="AA5" s="3406"/>
      <c r="AB5" s="3406"/>
      <c r="AC5" s="3406"/>
    </row>
    <row r="6" spans="1:29" ht="15" thickBot="1">
      <c r="A6" s="350"/>
      <c r="B6" s="351"/>
      <c r="C6" s="3447" t="s">
        <v>1919</v>
      </c>
      <c r="D6" s="3448"/>
      <c r="E6" s="3449" t="s">
        <v>1919</v>
      </c>
      <c r="F6" s="3450"/>
      <c r="G6" s="3447" t="s">
        <v>1919</v>
      </c>
      <c r="H6" s="3448"/>
      <c r="I6" s="3447" t="s">
        <v>1919</v>
      </c>
      <c r="J6" s="3448"/>
      <c r="K6" s="537" t="s">
        <v>1678</v>
      </c>
      <c r="L6" s="2482"/>
      <c r="M6" s="2483"/>
      <c r="N6" s="2483"/>
      <c r="O6" s="2483"/>
      <c r="P6" s="3436"/>
      <c r="Q6" s="3387"/>
      <c r="R6" s="3390"/>
      <c r="S6" s="3391"/>
      <c r="T6" s="3392"/>
      <c r="U6" s="3393"/>
      <c r="V6" s="3362"/>
      <c r="W6" s="3362"/>
      <c r="X6" s="1264"/>
      <c r="Y6" s="3392"/>
      <c r="Z6" s="3393"/>
      <c r="AA6" s="3407"/>
      <c r="AB6" s="3407"/>
      <c r="AC6" s="3407"/>
    </row>
    <row r="7" spans="1:29" s="102" customFormat="1" ht="1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401" t="s">
        <v>1680</v>
      </c>
      <c r="Q7" s="3402"/>
      <c r="R7" s="664" t="s">
        <v>14</v>
      </c>
      <c r="S7" s="665">
        <f t="shared" ref="S7:S15" si="0">F7</f>
        <v>0</v>
      </c>
      <c r="T7" s="664" t="s">
        <v>14</v>
      </c>
      <c r="U7" s="665">
        <f t="shared" ref="U7:U15" si="1">H7</f>
        <v>0</v>
      </c>
      <c r="V7" s="664" t="s">
        <v>14</v>
      </c>
      <c r="W7" s="665">
        <f t="shared" ref="W7:W15" si="2">J7</f>
        <v>0</v>
      </c>
      <c r="X7" s="666"/>
      <c r="Y7" s="3401" t="s">
        <v>1680</v>
      </c>
      <c r="Z7" s="3400"/>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401" t="s">
        <v>1683</v>
      </c>
      <c r="Q8" s="3400"/>
      <c r="R8" s="664" t="s">
        <v>14</v>
      </c>
      <c r="S8" s="665">
        <f t="shared" si="0"/>
        <v>0</v>
      </c>
      <c r="T8" s="664" t="s">
        <v>14</v>
      </c>
      <c r="U8" s="665">
        <f t="shared" si="1"/>
        <v>0</v>
      </c>
      <c r="V8" s="664" t="s">
        <v>14</v>
      </c>
      <c r="W8" s="665">
        <f t="shared" si="2"/>
        <v>0</v>
      </c>
      <c r="X8" s="666"/>
      <c r="Y8" s="3401" t="s">
        <v>1683</v>
      </c>
      <c r="Z8" s="3400"/>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361"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361"/>
      <c r="Q10" s="530" t="str">
        <f t="shared" si="6"/>
        <v>土地使用年限（年）</v>
      </c>
      <c r="R10" s="664" t="s">
        <v>14</v>
      </c>
      <c r="S10" s="665">
        <f t="shared" si="0"/>
        <v>118</v>
      </c>
      <c r="T10" s="664" t="s">
        <v>14</v>
      </c>
      <c r="U10" s="665">
        <f t="shared" si="1"/>
        <v>118</v>
      </c>
      <c r="V10" s="664" t="s">
        <v>14</v>
      </c>
      <c r="W10" s="665">
        <f t="shared" si="2"/>
        <v>118</v>
      </c>
      <c r="X10" s="666"/>
      <c r="Y10" s="3259"/>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1"/>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361"/>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1"/>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1"/>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68" t="s">
        <v>1691</v>
      </c>
      <c r="Q15" s="1262" t="str">
        <f t="shared" si="6"/>
        <v>产业集聚程度</v>
      </c>
      <c r="R15" s="667" t="s">
        <v>14</v>
      </c>
      <c r="S15" s="668">
        <f t="shared" si="0"/>
        <v>100</v>
      </c>
      <c r="T15" s="667" t="s">
        <v>14</v>
      </c>
      <c r="U15" s="668">
        <f t="shared" si="1"/>
        <v>100</v>
      </c>
      <c r="V15" s="667" t="s">
        <v>14</v>
      </c>
      <c r="W15" s="668">
        <f t="shared" si="2"/>
        <v>100</v>
      </c>
      <c r="X15" s="1264"/>
      <c r="Y15" s="336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369"/>
      <c r="Q16" s="1262"/>
      <c r="R16" s="667"/>
      <c r="S16" s="668"/>
      <c r="T16" s="667"/>
      <c r="U16" s="668"/>
      <c r="V16" s="667"/>
      <c r="W16" s="668"/>
      <c r="X16" s="1264"/>
      <c r="Y16" s="3369"/>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69"/>
      <c r="Q17" s="1262" t="str">
        <f>B17</f>
        <v>交通便捷度</v>
      </c>
      <c r="R17" s="667" t="s">
        <v>14</v>
      </c>
      <c r="S17" s="668">
        <f>F17</f>
        <v>100</v>
      </c>
      <c r="T17" s="667" t="s">
        <v>14</v>
      </c>
      <c r="U17" s="668">
        <f>H17</f>
        <v>100</v>
      </c>
      <c r="V17" s="667" t="s">
        <v>14</v>
      </c>
      <c r="W17" s="668">
        <f>J17</f>
        <v>100</v>
      </c>
      <c r="X17" s="1264"/>
      <c r="Y17" s="336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369"/>
      <c r="Q18" s="1262"/>
      <c r="R18" s="667"/>
      <c r="S18" s="668"/>
      <c r="T18" s="667"/>
      <c r="U18" s="668"/>
      <c r="V18" s="667"/>
      <c r="W18" s="668"/>
      <c r="X18" s="1264"/>
      <c r="Y18" s="3369"/>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69"/>
      <c r="Q19" s="1262" t="str">
        <f t="shared" ref="Q19:Q33" si="8">B19</f>
        <v>区域土地利用方向</v>
      </c>
      <c r="R19" s="667" t="s">
        <v>14</v>
      </c>
      <c r="S19" s="668">
        <f>F19</f>
        <v>100</v>
      </c>
      <c r="T19" s="667" t="s">
        <v>14</v>
      </c>
      <c r="U19" s="668">
        <f>H19</f>
        <v>100</v>
      </c>
      <c r="V19" s="667" t="s">
        <v>14</v>
      </c>
      <c r="W19" s="668">
        <f>J19</f>
        <v>100</v>
      </c>
      <c r="X19" s="1264"/>
      <c r="Y19" s="336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369"/>
      <c r="Q20" s="1262"/>
      <c r="R20" s="667"/>
      <c r="S20" s="668"/>
      <c r="T20" s="667"/>
      <c r="U20" s="668"/>
      <c r="V20" s="667"/>
      <c r="W20" s="668"/>
      <c r="X20" s="1264"/>
      <c r="Y20" s="3369"/>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69"/>
      <c r="Q21" s="1262" t="str">
        <f t="shared" si="8"/>
        <v>环境状况</v>
      </c>
      <c r="R21" s="667" t="s">
        <v>14</v>
      </c>
      <c r="S21" s="668">
        <f>F21</f>
        <v>100</v>
      </c>
      <c r="T21" s="667" t="s">
        <v>14</v>
      </c>
      <c r="U21" s="668">
        <f>H21</f>
        <v>100</v>
      </c>
      <c r="V21" s="667" t="s">
        <v>14</v>
      </c>
      <c r="W21" s="668">
        <f>J21</f>
        <v>100</v>
      </c>
      <c r="X21" s="1264"/>
      <c r="Y21" s="336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369"/>
      <c r="Q22" s="1262"/>
      <c r="R22" s="667"/>
      <c r="S22" s="668"/>
      <c r="T22" s="667"/>
      <c r="U22" s="668"/>
      <c r="V22" s="667"/>
      <c r="W22" s="668"/>
      <c r="X22" s="1264"/>
      <c r="Y22" s="3369"/>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369"/>
      <c r="Q24" s="530"/>
      <c r="R24" s="664"/>
      <c r="S24" s="665"/>
      <c r="T24" s="664"/>
      <c r="U24" s="665"/>
      <c r="V24" s="664"/>
      <c r="W24" s="665"/>
      <c r="X24" s="666"/>
      <c r="Y24" s="3369"/>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6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69"/>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69"/>
      <c r="Q28" s="1262" t="str">
        <f t="shared" si="8"/>
        <v>毗邻道路的类型与等级</v>
      </c>
      <c r="R28" s="667" t="s">
        <v>14</v>
      </c>
      <c r="S28" s="668">
        <f t="shared" si="10"/>
        <v>100</v>
      </c>
      <c r="T28" s="667" t="s">
        <v>14</v>
      </c>
      <c r="U28" s="668">
        <f t="shared" si="11"/>
        <v>100</v>
      </c>
      <c r="V28" s="667" t="s">
        <v>14</v>
      </c>
      <c r="W28" s="668">
        <f t="shared" si="12"/>
        <v>100</v>
      </c>
      <c r="X28" s="1264"/>
      <c r="Y28" s="336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69"/>
      <c r="Q29" s="1262"/>
      <c r="R29" s="667"/>
      <c r="S29" s="668"/>
      <c r="T29" s="667"/>
      <c r="U29" s="668"/>
      <c r="V29" s="667"/>
      <c r="W29" s="668"/>
      <c r="X29" s="1264"/>
      <c r="Y29" s="336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69"/>
      <c r="Q30" s="1262" t="str">
        <f t="shared" si="8"/>
        <v>土地级别</v>
      </c>
      <c r="R30" s="667" t="s">
        <v>14</v>
      </c>
      <c r="S30" s="668">
        <f t="shared" si="10"/>
        <v>100</v>
      </c>
      <c r="T30" s="667" t="s">
        <v>14</v>
      </c>
      <c r="U30" s="668">
        <f t="shared" si="11"/>
        <v>100</v>
      </c>
      <c r="V30" s="667" t="s">
        <v>14</v>
      </c>
      <c r="W30" s="668">
        <f t="shared" si="12"/>
        <v>100</v>
      </c>
      <c r="X30" s="1264"/>
      <c r="Y30" s="336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69"/>
      <c r="Q31" s="1262">
        <f t="shared" si="8"/>
        <v>111</v>
      </c>
      <c r="R31" s="667" t="s">
        <v>14</v>
      </c>
      <c r="S31" s="668">
        <f t="shared" si="10"/>
        <v>100</v>
      </c>
      <c r="T31" s="667" t="s">
        <v>14</v>
      </c>
      <c r="U31" s="668">
        <f t="shared" si="11"/>
        <v>100</v>
      </c>
      <c r="V31" s="667" t="s">
        <v>14</v>
      </c>
      <c r="W31" s="668">
        <f t="shared" si="12"/>
        <v>100</v>
      </c>
      <c r="X31" s="1264"/>
      <c r="Y31" s="336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2" t="s">
        <v>1696</v>
      </c>
      <c r="Q32" s="1262">
        <f t="shared" si="8"/>
        <v>111</v>
      </c>
      <c r="R32" s="667" t="s">
        <v>14</v>
      </c>
      <c r="S32" s="668">
        <f t="shared" si="10"/>
        <v>100</v>
      </c>
      <c r="T32" s="667" t="s">
        <v>14</v>
      </c>
      <c r="U32" s="668">
        <f t="shared" si="11"/>
        <v>100</v>
      </c>
      <c r="V32" s="667" t="s">
        <v>14</v>
      </c>
      <c r="W32" s="668">
        <f t="shared" si="12"/>
        <v>100</v>
      </c>
      <c r="X32" s="1264"/>
      <c r="Y32" s="3373"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3"/>
      <c r="Q33" s="1262">
        <f t="shared" si="8"/>
        <v>111</v>
      </c>
      <c r="R33" s="669" t="s">
        <v>14</v>
      </c>
      <c r="S33" s="670">
        <f t="shared" si="10"/>
        <v>100</v>
      </c>
      <c r="T33" s="669" t="s">
        <v>14</v>
      </c>
      <c r="U33" s="670">
        <f t="shared" si="11"/>
        <v>100</v>
      </c>
      <c r="V33" s="669" t="s">
        <v>14</v>
      </c>
      <c r="W33" s="670">
        <f t="shared" si="12"/>
        <v>100</v>
      </c>
      <c r="X33" s="671"/>
      <c r="Y33" s="337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3"/>
      <c r="Q34" s="1262" t="str">
        <f>B34</f>
        <v>宗地面积</v>
      </c>
      <c r="R34" s="667" t="s">
        <v>14</v>
      </c>
      <c r="S34" s="668" t="e">
        <f t="shared" si="10"/>
        <v>#N/A</v>
      </c>
      <c r="T34" s="667" t="s">
        <v>14</v>
      </c>
      <c r="U34" s="668" t="e">
        <f t="shared" si="11"/>
        <v>#N/A</v>
      </c>
      <c r="V34" s="667" t="s">
        <v>14</v>
      </c>
      <c r="W34" s="668" t="e">
        <f t="shared" si="12"/>
        <v>#N/A</v>
      </c>
      <c r="X34" s="1264"/>
      <c r="Y34" s="337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73"/>
      <c r="Q35" s="1262" t="str">
        <f t="shared" ref="Q35:Q40" si="14">B35</f>
        <v>宗地形状</v>
      </c>
      <c r="R35" s="667" t="s">
        <v>14</v>
      </c>
      <c r="S35" s="668">
        <f t="shared" si="10"/>
        <v>100</v>
      </c>
      <c r="T35" s="667" t="s">
        <v>14</v>
      </c>
      <c r="U35" s="668">
        <f t="shared" si="11"/>
        <v>100</v>
      </c>
      <c r="V35" s="667" t="s">
        <v>14</v>
      </c>
      <c r="W35" s="668">
        <f t="shared" si="12"/>
        <v>100</v>
      </c>
      <c r="X35" s="1264"/>
      <c r="Y35" s="337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373"/>
      <c r="Q36" s="1262"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73" t="s">
        <v>1696</v>
      </c>
      <c r="Q37" s="1262" t="str">
        <f t="shared" si="14"/>
        <v>工程地质条件</v>
      </c>
      <c r="R37" s="667" t="s">
        <v>14</v>
      </c>
      <c r="S37" s="668">
        <f t="shared" si="10"/>
        <v>100</v>
      </c>
      <c r="T37" s="667" t="s">
        <v>14</v>
      </c>
      <c r="U37" s="668">
        <f t="shared" si="11"/>
        <v>100</v>
      </c>
      <c r="V37" s="667" t="s">
        <v>14</v>
      </c>
      <c r="W37" s="668">
        <f t="shared" si="12"/>
        <v>100</v>
      </c>
      <c r="X37" s="1264"/>
      <c r="Y37" s="337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3"/>
      <c r="Q38" s="1262">
        <f t="shared" si="14"/>
        <v>111</v>
      </c>
      <c r="R38" s="667" t="s">
        <v>14</v>
      </c>
      <c r="S38" s="668">
        <f t="shared" si="10"/>
        <v>100</v>
      </c>
      <c r="T38" s="667" t="s">
        <v>14</v>
      </c>
      <c r="U38" s="668">
        <f t="shared" si="11"/>
        <v>100</v>
      </c>
      <c r="V38" s="667" t="s">
        <v>14</v>
      </c>
      <c r="W38" s="668">
        <f t="shared" si="12"/>
        <v>100</v>
      </c>
      <c r="X38" s="1264"/>
      <c r="Y38" s="337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3"/>
      <c r="Q39" s="1262">
        <f t="shared" si="14"/>
        <v>111</v>
      </c>
      <c r="R39" s="667" t="s">
        <v>14</v>
      </c>
      <c r="S39" s="668">
        <f t="shared" si="10"/>
        <v>100</v>
      </c>
      <c r="T39" s="667" t="s">
        <v>14</v>
      </c>
      <c r="U39" s="668">
        <f t="shared" si="11"/>
        <v>100</v>
      </c>
      <c r="V39" s="667" t="s">
        <v>14</v>
      </c>
      <c r="W39" s="668">
        <f t="shared" si="12"/>
        <v>100</v>
      </c>
      <c r="X39" s="1264"/>
      <c r="Y39" s="3373"/>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3"/>
      <c r="Q40" s="1262">
        <f t="shared" si="14"/>
        <v>111</v>
      </c>
      <c r="R40" s="669" t="s">
        <v>14</v>
      </c>
      <c r="S40" s="670">
        <f t="shared" si="10"/>
        <v>100</v>
      </c>
      <c r="T40" s="669" t="s">
        <v>14</v>
      </c>
      <c r="U40" s="670">
        <f t="shared" si="11"/>
        <v>100</v>
      </c>
      <c r="V40" s="669" t="s">
        <v>14</v>
      </c>
      <c r="W40" s="670">
        <f t="shared" si="12"/>
        <v>100</v>
      </c>
      <c r="X40" s="671"/>
      <c r="Y40" s="3373"/>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361" t="str">
        <f>A41</f>
        <v>成交单价</v>
      </c>
      <c r="Q41" s="3361"/>
      <c r="R41" s="3362">
        <f>E41</f>
        <v>0</v>
      </c>
      <c r="S41" s="3362"/>
      <c r="T41" s="3362">
        <f>G41</f>
        <v>0</v>
      </c>
      <c r="U41" s="3362"/>
      <c r="V41" s="3362">
        <f>I41</f>
        <v>0</v>
      </c>
      <c r="W41" s="3362"/>
      <c r="X41" s="385"/>
      <c r="Y41" s="673"/>
      <c r="Z41" s="385"/>
      <c r="AA41" s="385"/>
      <c r="AB41" s="385"/>
      <c r="AC41" s="385"/>
    </row>
    <row r="42" spans="1:31" ht="1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361" t="str">
        <f>A42</f>
        <v>比较价值（元/平方米）</v>
      </c>
      <c r="Q42" s="3361"/>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29" t="str">
        <f>A43</f>
        <v>估价对象XX用房的比较价值（楼面单价，元/平方米）</v>
      </c>
      <c r="Q43" s="3430"/>
      <c r="R43" s="3445" t="e">
        <f>ROUND(IF(D42="简单平均",AVERAGE(R42:W42),R42*F42+T42*H42+V42*J42),0)</f>
        <v>#DIV/0!</v>
      </c>
      <c r="S43" s="3445"/>
      <c r="T43" s="3445"/>
      <c r="U43" s="3445"/>
      <c r="V43" s="3445"/>
      <c r="W43" s="344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378" t="s">
        <v>1887</v>
      </c>
      <c r="H50" s="3446"/>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360"/>
      <c r="H51" s="3361"/>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S24" sqref="S24"/>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39.6">
      <c r="A2" s="930"/>
      <c r="B2" s="622" t="s">
        <v>2086</v>
      </c>
      <c r="C2" s="14" t="str">
        <f t="shared" ref="C2:L2" si="0">C3&amp;"(含)"&amp;"-"&amp;D3</f>
        <v>0(含)-100</v>
      </c>
      <c r="D2" s="623" t="str">
        <f t="shared" si="0"/>
        <v>100(含)-200</v>
      </c>
      <c r="E2" s="623" t="str">
        <f t="shared" si="0"/>
        <v>200(含)-300</v>
      </c>
      <c r="F2" s="623" t="str">
        <f t="shared" si="0"/>
        <v>300(含)-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3443</v>
      </c>
      <c r="C5" s="3156" t="s">
        <v>3448</v>
      </c>
      <c r="D5" s="3157" t="s">
        <v>3449</v>
      </c>
      <c r="E5" s="3157" t="s">
        <v>3450</v>
      </c>
      <c r="F5" s="3158" t="s">
        <v>3451</v>
      </c>
      <c r="G5" s="1227"/>
      <c r="H5" s="1227"/>
      <c r="I5" s="1227"/>
      <c r="J5" s="1227"/>
      <c r="K5" s="1227"/>
      <c r="L5" s="1228"/>
      <c r="M5" s="1229"/>
      <c r="N5" s="1229"/>
      <c r="O5" s="1227"/>
      <c r="P5" s="1227"/>
      <c r="Q5" s="1227"/>
      <c r="R5" s="1227"/>
      <c r="S5" s="1230"/>
      <c r="T5" s="943">
        <f>'比较法-办公'!K43</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3444</v>
      </c>
      <c r="C7" s="3154" t="s">
        <v>3445</v>
      </c>
      <c r="D7" s="3155" t="s">
        <v>3446</v>
      </c>
      <c r="E7" s="3155" t="s">
        <v>3447</v>
      </c>
      <c r="F7" s="1232"/>
      <c r="G7" s="1232"/>
      <c r="H7" s="1232"/>
      <c r="I7" s="1232"/>
      <c r="J7" s="1232"/>
      <c r="K7" s="1232"/>
      <c r="L7" s="1232"/>
      <c r="M7" s="1233"/>
      <c r="N7" s="1234"/>
      <c r="O7" s="1235"/>
      <c r="P7" s="1235"/>
      <c r="Q7" s="1236"/>
      <c r="R7" s="1237"/>
      <c r="S7" s="1238"/>
      <c r="T7" s="631">
        <f>'比较法-办公'!K27</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2" thickBot="1">
      <c r="A20" s="632" t="s">
        <v>2093</v>
      </c>
      <c r="B20" s="286">
        <f ca="1">IF(D20="——",S22,S22-F20)</f>
        <v>601</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6">
      <c r="A21" s="632" t="s">
        <v>2095</v>
      </c>
      <c r="B21" s="286">
        <f ca="1">ROUND(B20*10000/B22,0)</f>
        <v>13862</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51" t="s">
        <v>27</v>
      </c>
      <c r="D22" s="3452"/>
      <c r="E22" s="3452"/>
      <c r="F22" s="3452"/>
      <c r="G22" s="3452"/>
      <c r="H22" s="3452"/>
      <c r="I22" s="3452"/>
      <c r="J22" s="3452"/>
      <c r="K22" s="3452"/>
      <c r="L22" s="3452"/>
      <c r="M22" s="3452"/>
      <c r="N22" s="3452"/>
      <c r="O22" s="3452"/>
      <c r="P22" s="3452"/>
      <c r="Q22" s="3453"/>
      <c r="R22" s="21">
        <f ca="1">ROUND(S22*10000/B22,0)</f>
        <v>13862</v>
      </c>
      <c r="S22" s="21">
        <f ca="1">SUM(S24:S10000)</f>
        <v>601</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3464</v>
      </c>
      <c r="B24" s="633">
        <f>'数据-基础表'!G13</f>
        <v>104.4</v>
      </c>
      <c r="C24" s="2566">
        <v>1</v>
      </c>
      <c r="D24" s="2567" t="s">
        <v>3465</v>
      </c>
      <c r="E24" s="2566">
        <v>1</v>
      </c>
      <c r="F24" s="2567" t="s">
        <v>3466</v>
      </c>
      <c r="G24" s="2566">
        <v>1</v>
      </c>
      <c r="H24" s="2567"/>
      <c r="I24" s="2566">
        <v>1</v>
      </c>
      <c r="J24" s="2567"/>
      <c r="K24" s="2566">
        <v>1</v>
      </c>
      <c r="L24" s="2567"/>
      <c r="M24" s="2566">
        <v>1</v>
      </c>
      <c r="N24" s="2567"/>
      <c r="O24" s="2566">
        <v>1</v>
      </c>
      <c r="P24" s="2567"/>
      <c r="Q24" s="2566">
        <v>1</v>
      </c>
      <c r="R24" s="633">
        <f ca="1">结果表!H102</f>
        <v>13805</v>
      </c>
      <c r="S24" s="634">
        <f t="shared" ref="S24:S54" ca="1" si="11">ROUND(R24*B24/10000,0)</f>
        <v>144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3465</v>
      </c>
      <c r="E25" s="21">
        <f>(SUMIF($5:$5,D25,$6:$6)-SUMIF($5:$5,$D$24,$6:$6)+100)/100</f>
        <v>1</v>
      </c>
      <c r="F25" s="635" t="s">
        <v>3466</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13805</v>
      </c>
      <c r="S25" s="308">
        <f t="shared" ca="1" si="11"/>
        <v>155</v>
      </c>
    </row>
    <row r="26" spans="1:45">
      <c r="A26" s="142" t="str">
        <f>'数据-基础表'!C15</f>
        <v>1单元607</v>
      </c>
      <c r="B26" s="633">
        <f>'数据-基础表'!G15</f>
        <v>104.4</v>
      </c>
      <c r="C26" s="21">
        <f t="shared" ref="C26:C89" si="12">IF(B26="",1,(LOOKUP(B26,$3:$3,$4:$4)-LOOKUP($B$24,$3:$3,$4:$4)+100)/100)</f>
        <v>1</v>
      </c>
      <c r="D26" s="2567" t="s">
        <v>3465</v>
      </c>
      <c r="E26" s="21">
        <f t="shared" ref="E26:E89" si="13">(SUMIF($5:$5,D26,$6:$6)-SUMIF($5:$5,$D$24,$6:$6)+100)/100</f>
        <v>1</v>
      </c>
      <c r="F26" s="635" t="s">
        <v>3467</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14081</v>
      </c>
      <c r="S26" s="308">
        <f t="shared" ca="1" si="11"/>
        <v>147</v>
      </c>
    </row>
    <row r="27" spans="1:45">
      <c r="A27" s="142" t="str">
        <f>'数据-基础表'!C16</f>
        <v>2单元509</v>
      </c>
      <c r="B27" s="633">
        <f>'数据-基础表'!G16</f>
        <v>112.38</v>
      </c>
      <c r="C27" s="21">
        <f t="shared" si="12"/>
        <v>1</v>
      </c>
      <c r="D27" s="2567" t="s">
        <v>3465</v>
      </c>
      <c r="E27" s="21">
        <f t="shared" si="13"/>
        <v>1</v>
      </c>
      <c r="F27" s="635" t="s">
        <v>3466</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13805</v>
      </c>
      <c r="S27" s="308">
        <f t="shared" ca="1" si="11"/>
        <v>155</v>
      </c>
    </row>
    <row r="28" spans="1:45">
      <c r="A28" s="142"/>
      <c r="B28" s="52"/>
      <c r="C28" s="21">
        <f t="shared" si="12"/>
        <v>1</v>
      </c>
      <c r="D28" s="635"/>
      <c r="E28" s="21">
        <f t="shared" si="13"/>
        <v>0.03</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0.03</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maS9x4HemJN2e/HidMpRkzGRnQWY70j/y1scxfVTd0L6VwTLqemlqdpAvGgAcemGBRoZQN8fEOXoXAbr2GFzgQ==" saltValue="6xq48OUvvWEyraLwoCuJSQ=="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N1:R16"/>
  <sheetViews>
    <sheetView workbookViewId="0">
      <selection activeCell="Q25" sqref="Q25"/>
    </sheetView>
  </sheetViews>
  <sheetFormatPr defaultRowHeight="14.4"/>
  <sheetData>
    <row r="1" spans="14:18">
      <c r="N1" s="1404" t="s">
        <v>3452</v>
      </c>
    </row>
    <row r="4" spans="14:18">
      <c r="N4" s="1404" t="s">
        <v>3453</v>
      </c>
      <c r="O4">
        <v>14701035918</v>
      </c>
    </row>
    <row r="5" spans="14:18">
      <c r="N5" s="1404" t="s">
        <v>3454</v>
      </c>
    </row>
    <row r="8" spans="14:18">
      <c r="N8" s="1404" t="s">
        <v>3455</v>
      </c>
      <c r="O8" s="1404" t="s">
        <v>3387</v>
      </c>
      <c r="P8" s="1404" t="s">
        <v>3388</v>
      </c>
    </row>
    <row r="9" spans="14:18">
      <c r="N9" s="1404" t="s">
        <v>3456</v>
      </c>
      <c r="O9">
        <v>73</v>
      </c>
      <c r="P9">
        <v>17000</v>
      </c>
      <c r="Q9" s="1404" t="s">
        <v>3457</v>
      </c>
      <c r="R9" s="1404" t="s">
        <v>3458</v>
      </c>
    </row>
    <row r="11" spans="14:18">
      <c r="N11" s="1404" t="s">
        <v>3459</v>
      </c>
      <c r="O11" s="1404" t="s">
        <v>3460</v>
      </c>
    </row>
    <row r="14" spans="14:18">
      <c r="N14" s="1404" t="s">
        <v>3461</v>
      </c>
    </row>
    <row r="15" spans="14:18">
      <c r="N15" s="1404" t="s">
        <v>3456</v>
      </c>
      <c r="O15" s="1404" t="s">
        <v>3462</v>
      </c>
      <c r="P15" s="1404"/>
    </row>
    <row r="16" spans="14:18">
      <c r="O16" s="1404" t="s">
        <v>3463</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6">
      <c r="A3" s="1983" t="s">
        <v>2076</v>
      </c>
      <c r="B3" s="2384">
        <f ca="1">ROUND(B2*10000/E2,0)</f>
        <v>6418</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66" t="s">
        <v>2603</v>
      </c>
      <c r="B20" s="3461" t="s">
        <v>2624</v>
      </c>
      <c r="C20" s="2838" t="s">
        <v>2435</v>
      </c>
      <c r="D20" s="2839"/>
      <c r="E20" s="2840">
        <v>1</v>
      </c>
      <c r="F20" s="2841" t="s">
        <v>2436</v>
      </c>
      <c r="G20" s="2841"/>
    </row>
    <row r="21" spans="1:13" ht="19.5" customHeight="1">
      <c r="A21" s="3467"/>
      <c r="B21" s="3460"/>
      <c r="C21" s="2842" t="s">
        <v>2437</v>
      </c>
      <c r="D21" s="2843"/>
      <c r="E21" s="2844">
        <v>1</v>
      </c>
      <c r="F21" s="2841" t="s">
        <v>2438</v>
      </c>
      <c r="G21" s="2841"/>
    </row>
    <row r="22" spans="1:13" ht="19.5" customHeight="1">
      <c r="A22" s="3467"/>
      <c r="B22" s="3460"/>
      <c r="C22" s="2842" t="s">
        <v>2439</v>
      </c>
      <c r="D22" s="2843"/>
      <c r="E22" s="2844">
        <v>0.9</v>
      </c>
      <c r="F22" s="2841" t="s">
        <v>2440</v>
      </c>
      <c r="G22" s="2841"/>
    </row>
    <row r="23" spans="1:13" ht="19.5" customHeight="1">
      <c r="A23" s="3467"/>
      <c r="B23" s="3460"/>
      <c r="C23" s="2842" t="s">
        <v>2441</v>
      </c>
      <c r="D23" s="2843"/>
      <c r="E23" s="2844">
        <v>0.9</v>
      </c>
      <c r="F23" s="2841" t="s">
        <v>2442</v>
      </c>
      <c r="G23" s="2841"/>
    </row>
    <row r="24" spans="1:13" ht="19.5" customHeight="1">
      <c r="A24" s="3467"/>
      <c r="B24" s="3460"/>
      <c r="C24" s="2842" t="s">
        <v>2443</v>
      </c>
      <c r="D24" s="2843"/>
      <c r="E24" s="2844">
        <v>0.8</v>
      </c>
      <c r="F24" s="2841" t="s">
        <v>2444</v>
      </c>
      <c r="G24" s="2841"/>
    </row>
    <row r="25" spans="1:13" ht="19.5" customHeight="1" thickBot="1">
      <c r="A25" s="3468"/>
      <c r="B25" s="3462"/>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63" t="s">
        <v>2627</v>
      </c>
      <c r="B27" s="3461" t="s">
        <v>2608</v>
      </c>
      <c r="C27" s="2838" t="s">
        <v>2448</v>
      </c>
      <c r="D27" s="2839"/>
      <c r="E27" s="2840">
        <v>1</v>
      </c>
      <c r="F27" s="2841" t="s">
        <v>2449</v>
      </c>
      <c r="G27" s="2841"/>
    </row>
    <row r="28" spans="1:13" ht="19.5" customHeight="1">
      <c r="A28" s="3464"/>
      <c r="B28" s="3460"/>
      <c r="C28" s="2842" t="s">
        <v>2450</v>
      </c>
      <c r="D28" s="2843"/>
      <c r="E28" s="2844">
        <v>1</v>
      </c>
      <c r="F28" s="2841" t="s">
        <v>2451</v>
      </c>
      <c r="G28" s="2841"/>
    </row>
    <row r="29" spans="1:13" ht="19.5" customHeight="1">
      <c r="A29" s="3464"/>
      <c r="B29" s="3460"/>
      <c r="C29" s="2842" t="s">
        <v>2452</v>
      </c>
      <c r="D29" s="2843"/>
      <c r="E29" s="2844">
        <v>0.8</v>
      </c>
      <c r="F29" s="2841" t="s">
        <v>2453</v>
      </c>
      <c r="G29" s="2841"/>
    </row>
    <row r="30" spans="1:13" ht="19.5" customHeight="1">
      <c r="A30" s="3464"/>
      <c r="B30" s="3460"/>
      <c r="C30" s="2842" t="s">
        <v>2454</v>
      </c>
      <c r="D30" s="2843"/>
      <c r="E30" s="2844">
        <v>0.8</v>
      </c>
      <c r="F30" s="2841" t="s">
        <v>2455</v>
      </c>
      <c r="G30" s="2841"/>
    </row>
    <row r="31" spans="1:13" ht="19.5" customHeight="1">
      <c r="A31" s="3464"/>
      <c r="B31" s="3460"/>
      <c r="C31" s="2842" t="s">
        <v>2456</v>
      </c>
      <c r="D31" s="2843"/>
      <c r="E31" s="2844">
        <v>0.8</v>
      </c>
      <c r="F31" s="2841" t="s">
        <v>2457</v>
      </c>
      <c r="G31" s="2841"/>
    </row>
    <row r="32" spans="1:13" ht="19.5" customHeight="1">
      <c r="A32" s="3464"/>
      <c r="B32" s="3460"/>
      <c r="C32" s="2842" t="s">
        <v>2458</v>
      </c>
      <c r="D32" s="2843"/>
      <c r="E32" s="2844">
        <v>0.7</v>
      </c>
      <c r="F32" s="2841" t="s">
        <v>2459</v>
      </c>
      <c r="G32" s="2841"/>
    </row>
    <row r="33" spans="1:7" ht="19.5" customHeight="1">
      <c r="A33" s="3464"/>
      <c r="B33" s="3460"/>
      <c r="C33" s="2842" t="s">
        <v>2460</v>
      </c>
      <c r="D33" s="2843"/>
      <c r="E33" s="2844">
        <v>0.8</v>
      </c>
      <c r="F33" s="2841" t="s">
        <v>2461</v>
      </c>
      <c r="G33" s="2841"/>
    </row>
    <row r="34" spans="1:7" ht="19.5" customHeight="1">
      <c r="A34" s="3464"/>
      <c r="B34" s="3460"/>
      <c r="C34" s="2842" t="s">
        <v>2462</v>
      </c>
      <c r="D34" s="2843"/>
      <c r="E34" s="2844">
        <v>0.6</v>
      </c>
      <c r="F34" s="2841" t="s">
        <v>2463</v>
      </c>
      <c r="G34" s="2841"/>
    </row>
    <row r="35" spans="1:7" ht="19.5" customHeight="1">
      <c r="A35" s="3464"/>
      <c r="B35" s="3460"/>
      <c r="C35" s="2842" t="s">
        <v>2464</v>
      </c>
      <c r="D35" s="2843"/>
      <c r="E35" s="2844">
        <v>0.2</v>
      </c>
      <c r="F35" s="2841" t="s">
        <v>2465</v>
      </c>
      <c r="G35" s="2841"/>
    </row>
    <row r="36" spans="1:7" ht="19.5" customHeight="1">
      <c r="A36" s="3464"/>
      <c r="B36" s="3460"/>
      <c r="C36" s="2842" t="s">
        <v>2466</v>
      </c>
      <c r="D36" s="2843"/>
      <c r="E36" s="2844">
        <v>0.2</v>
      </c>
      <c r="F36" s="2841" t="s">
        <v>2467</v>
      </c>
      <c r="G36" s="2841"/>
    </row>
    <row r="37" spans="1:7" ht="19.5" customHeight="1">
      <c r="A37" s="3464"/>
      <c r="B37" s="3458" t="s">
        <v>2628</v>
      </c>
      <c r="C37" s="2842" t="s">
        <v>2468</v>
      </c>
      <c r="D37" s="2843"/>
      <c r="E37" s="2844">
        <v>0.6</v>
      </c>
      <c r="F37" s="2841" t="s">
        <v>2469</v>
      </c>
      <c r="G37" s="2841"/>
    </row>
    <row r="38" spans="1:7" ht="19.5" customHeight="1">
      <c r="A38" s="3464"/>
      <c r="B38" s="3460"/>
      <c r="C38" s="2842" t="s">
        <v>2470</v>
      </c>
      <c r="D38" s="2843"/>
      <c r="E38" s="2844">
        <v>0.6</v>
      </c>
      <c r="F38" s="2841" t="s">
        <v>2471</v>
      </c>
      <c r="G38" s="2841"/>
    </row>
    <row r="39" spans="1:7" ht="19.5" customHeight="1" thickBot="1">
      <c r="A39" s="3465"/>
      <c r="B39" s="3462"/>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66" t="s">
        <v>2606</v>
      </c>
      <c r="B41" s="3461" t="s">
        <v>2630</v>
      </c>
      <c r="C41" s="2838" t="s">
        <v>2475</v>
      </c>
      <c r="D41" s="2839"/>
      <c r="E41" s="2840">
        <v>1</v>
      </c>
      <c r="F41" s="2841" t="s">
        <v>2476</v>
      </c>
      <c r="G41" s="2841"/>
    </row>
    <row r="42" spans="1:7" ht="19.5" customHeight="1">
      <c r="A42" s="3467"/>
      <c r="B42" s="3460"/>
      <c r="C42" s="2842" t="s">
        <v>2477</v>
      </c>
      <c r="D42" s="2843"/>
      <c r="E42" s="2844">
        <v>1</v>
      </c>
      <c r="F42" s="2841" t="s">
        <v>2478</v>
      </c>
      <c r="G42" s="2841"/>
    </row>
    <row r="43" spans="1:7" ht="19.5" customHeight="1">
      <c r="A43" s="3467"/>
      <c r="B43" s="3459"/>
      <c r="C43" s="2842" t="s">
        <v>2479</v>
      </c>
      <c r="D43" s="2843"/>
      <c r="E43" s="2844">
        <v>1.5</v>
      </c>
      <c r="F43" s="2841" t="s">
        <v>2480</v>
      </c>
      <c r="G43" s="2841"/>
    </row>
    <row r="44" spans="1:7" ht="19.5" customHeight="1">
      <c r="A44" s="3467"/>
      <c r="B44" s="2853" t="s">
        <v>2631</v>
      </c>
      <c r="C44" s="2842" t="s">
        <v>2632</v>
      </c>
      <c r="D44" s="2843"/>
      <c r="E44" s="2844">
        <v>2</v>
      </c>
      <c r="F44" s="2841" t="s">
        <v>2481</v>
      </c>
      <c r="G44" s="2841"/>
    </row>
    <row r="45" spans="1:7" ht="19.5" customHeight="1">
      <c r="A45" s="3467"/>
      <c r="B45" s="3458" t="s">
        <v>2633</v>
      </c>
      <c r="C45" s="2842" t="s">
        <v>2482</v>
      </c>
      <c r="D45" s="2843"/>
      <c r="E45" s="2844">
        <v>1</v>
      </c>
      <c r="F45" s="2841" t="s">
        <v>2483</v>
      </c>
      <c r="G45" s="2841"/>
    </row>
    <row r="46" spans="1:7" ht="19.5" customHeight="1">
      <c r="A46" s="3467"/>
      <c r="B46" s="3460"/>
      <c r="C46" s="2842" t="s">
        <v>2484</v>
      </c>
      <c r="D46" s="2843"/>
      <c r="E46" s="2844">
        <v>1</v>
      </c>
      <c r="F46" s="2841" t="s">
        <v>2485</v>
      </c>
      <c r="G46" s="2841"/>
    </row>
    <row r="47" spans="1:7" ht="19.5" customHeight="1">
      <c r="A47" s="3467"/>
      <c r="B47" s="3460"/>
      <c r="C47" s="2842" t="s">
        <v>2486</v>
      </c>
      <c r="D47" s="2843"/>
      <c r="E47" s="2844">
        <v>1</v>
      </c>
      <c r="F47" s="2841" t="s">
        <v>2487</v>
      </c>
      <c r="G47" s="2841"/>
    </row>
    <row r="48" spans="1:7" ht="19.5" customHeight="1">
      <c r="A48" s="3467"/>
      <c r="B48" s="3460"/>
      <c r="C48" s="2842" t="s">
        <v>2488</v>
      </c>
      <c r="D48" s="2843"/>
      <c r="E48" s="2844">
        <v>1</v>
      </c>
      <c r="F48" s="2841" t="s">
        <v>2489</v>
      </c>
      <c r="G48" s="2841"/>
    </row>
    <row r="49" spans="1:7" ht="19.5" customHeight="1">
      <c r="A49" s="3467"/>
      <c r="B49" s="3460"/>
      <c r="C49" s="2842" t="s">
        <v>2490</v>
      </c>
      <c r="D49" s="2843"/>
      <c r="E49" s="2844">
        <v>1</v>
      </c>
      <c r="F49" s="2841" t="s">
        <v>2491</v>
      </c>
      <c r="G49" s="2841"/>
    </row>
    <row r="50" spans="1:7" ht="19.5" customHeight="1">
      <c r="A50" s="3467"/>
      <c r="B50" s="3460"/>
      <c r="C50" s="2842" t="s">
        <v>2492</v>
      </c>
      <c r="D50" s="2843"/>
      <c r="E50" s="2844">
        <v>1</v>
      </c>
      <c r="F50" s="2841" t="s">
        <v>2493</v>
      </c>
      <c r="G50" s="2841"/>
    </row>
    <row r="51" spans="1:7" ht="19.5" customHeight="1" thickBot="1">
      <c r="A51" s="3468"/>
      <c r="B51" s="3462"/>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4.4">
      <c r="A72" s="2853"/>
      <c r="B72" s="2853"/>
      <c r="C72" s="2853" t="s">
        <v>2646</v>
      </c>
      <c r="D72" s="2853"/>
      <c r="E72" s="2853" t="s">
        <v>2617</v>
      </c>
      <c r="F72" s="2853" t="s">
        <v>2617</v>
      </c>
    </row>
    <row r="73" spans="1:7" ht="14.4">
      <c r="A73" s="2853">
        <v>1</v>
      </c>
      <c r="B73" s="3458" t="s">
        <v>2647</v>
      </c>
      <c r="C73" s="2827" t="s">
        <v>2648</v>
      </c>
      <c r="D73" s="2827" t="s">
        <v>2649</v>
      </c>
      <c r="E73" s="2853">
        <v>0.2</v>
      </c>
      <c r="F73" s="2853">
        <v>25</v>
      </c>
    </row>
    <row r="74" spans="1:7" ht="24">
      <c r="A74" s="2853">
        <v>2</v>
      </c>
      <c r="B74" s="3460"/>
      <c r="C74" s="2827" t="s">
        <v>2650</v>
      </c>
      <c r="D74" s="2827" t="s">
        <v>2651</v>
      </c>
      <c r="E74" s="2853">
        <v>0.2</v>
      </c>
      <c r="F74" s="2853">
        <v>25</v>
      </c>
    </row>
    <row r="75" spans="1:7" ht="24">
      <c r="A75" s="2853">
        <v>3</v>
      </c>
      <c r="B75" s="3460"/>
      <c r="C75" s="2827" t="s">
        <v>2652</v>
      </c>
      <c r="D75" s="2827" t="s">
        <v>2653</v>
      </c>
      <c r="E75" s="2853">
        <v>0.2</v>
      </c>
      <c r="F75" s="2853">
        <v>25</v>
      </c>
    </row>
    <row r="76" spans="1:7" ht="14.4">
      <c r="A76" s="2853">
        <v>4</v>
      </c>
      <c r="B76" s="3460"/>
      <c r="C76" s="2827" t="s">
        <v>2654</v>
      </c>
      <c r="D76" s="2827" t="s">
        <v>2655</v>
      </c>
      <c r="E76" s="2853">
        <v>0.15</v>
      </c>
      <c r="F76" s="2853">
        <v>20</v>
      </c>
    </row>
    <row r="77" spans="1:7" ht="24">
      <c r="A77" s="2853">
        <v>5</v>
      </c>
      <c r="B77" s="3460"/>
      <c r="C77" s="2827" t="s">
        <v>2656</v>
      </c>
      <c r="D77" s="2827" t="s">
        <v>2657</v>
      </c>
      <c r="E77" s="2853">
        <v>0.15</v>
      </c>
      <c r="F77" s="2853">
        <v>20</v>
      </c>
    </row>
    <row r="78" spans="1:7" ht="24">
      <c r="A78" s="2853">
        <v>6</v>
      </c>
      <c r="B78" s="3460"/>
      <c r="C78" s="2827" t="s">
        <v>2658</v>
      </c>
      <c r="D78" s="2827" t="s">
        <v>2659</v>
      </c>
      <c r="E78" s="2853">
        <v>0.15</v>
      </c>
      <c r="F78" s="2853">
        <v>20</v>
      </c>
    </row>
    <row r="79" spans="1:7" ht="24">
      <c r="A79" s="2853">
        <v>7</v>
      </c>
      <c r="B79" s="3460"/>
      <c r="C79" s="2827" t="s">
        <v>2660</v>
      </c>
      <c r="D79" s="2827" t="s">
        <v>2661</v>
      </c>
      <c r="E79" s="2853">
        <v>0.15</v>
      </c>
      <c r="F79" s="2853">
        <v>20</v>
      </c>
    </row>
    <row r="80" spans="1:7" ht="24">
      <c r="A80" s="2853">
        <v>8</v>
      </c>
      <c r="B80" s="3460"/>
      <c r="C80" s="2827" t="s">
        <v>2662</v>
      </c>
      <c r="D80" s="2827" t="s">
        <v>2663</v>
      </c>
      <c r="E80" s="2853">
        <v>0.1</v>
      </c>
      <c r="F80" s="2853">
        <v>15</v>
      </c>
    </row>
    <row r="81" spans="1:6" ht="24">
      <c r="A81" s="2853">
        <v>9</v>
      </c>
      <c r="B81" s="3460"/>
      <c r="C81" s="2827" t="s">
        <v>2664</v>
      </c>
      <c r="D81" s="2827" t="s">
        <v>2665</v>
      </c>
      <c r="E81" s="2853">
        <v>0.1</v>
      </c>
      <c r="F81" s="2853">
        <v>15</v>
      </c>
    </row>
    <row r="82" spans="1:6" ht="24">
      <c r="A82" s="2853">
        <v>10</v>
      </c>
      <c r="B82" s="3460"/>
      <c r="C82" s="2827" t="s">
        <v>2666</v>
      </c>
      <c r="D82" s="2827" t="s">
        <v>2667</v>
      </c>
      <c r="E82" s="2853">
        <v>0.1</v>
      </c>
      <c r="F82" s="2853">
        <v>15</v>
      </c>
    </row>
    <row r="83" spans="1:6" ht="24">
      <c r="A83" s="2853">
        <v>11</v>
      </c>
      <c r="B83" s="3460"/>
      <c r="C83" s="2827" t="s">
        <v>2668</v>
      </c>
      <c r="D83" s="2827" t="s">
        <v>2669</v>
      </c>
      <c r="E83" s="2853">
        <v>0.1</v>
      </c>
      <c r="F83" s="2853">
        <v>15</v>
      </c>
    </row>
    <row r="84" spans="1:6" ht="24">
      <c r="A84" s="2853">
        <v>12</v>
      </c>
      <c r="B84" s="3460"/>
      <c r="C84" s="2827" t="s">
        <v>2670</v>
      </c>
      <c r="D84" s="2827" t="s">
        <v>2671</v>
      </c>
      <c r="E84" s="2853">
        <v>0.1</v>
      </c>
      <c r="F84" s="2853">
        <v>15</v>
      </c>
    </row>
    <row r="85" spans="1:6" ht="24">
      <c r="A85" s="2853">
        <v>13</v>
      </c>
      <c r="B85" s="3460"/>
      <c r="C85" s="2827" t="s">
        <v>2672</v>
      </c>
      <c r="D85" s="2827" t="s">
        <v>2673</v>
      </c>
      <c r="E85" s="2853">
        <v>0.1</v>
      </c>
      <c r="F85" s="2853">
        <v>15</v>
      </c>
    </row>
    <row r="86" spans="1:6" ht="24">
      <c r="A86" s="2853">
        <v>14</v>
      </c>
      <c r="B86" s="3460"/>
      <c r="C86" s="2827" t="s">
        <v>2674</v>
      </c>
      <c r="D86" s="2827" t="s">
        <v>2675</v>
      </c>
      <c r="E86" s="2853">
        <v>0.1</v>
      </c>
      <c r="F86" s="2853">
        <v>15</v>
      </c>
    </row>
    <row r="87" spans="1:6" ht="24">
      <c r="A87" s="2853">
        <v>15</v>
      </c>
      <c r="B87" s="3460"/>
      <c r="C87" s="2827" t="s">
        <v>2676</v>
      </c>
      <c r="D87" s="2827" t="s">
        <v>2677</v>
      </c>
      <c r="E87" s="2853">
        <v>0.1</v>
      </c>
      <c r="F87" s="2853">
        <v>15</v>
      </c>
    </row>
    <row r="88" spans="1:6" ht="24">
      <c r="A88" s="2853">
        <v>16</v>
      </c>
      <c r="B88" s="3460"/>
      <c r="C88" s="2827" t="s">
        <v>2678</v>
      </c>
      <c r="D88" s="2827" t="s">
        <v>2679</v>
      </c>
      <c r="E88" s="2853">
        <v>0.1</v>
      </c>
      <c r="F88" s="2853">
        <v>15</v>
      </c>
    </row>
    <row r="89" spans="1:6" ht="24">
      <c r="A89" s="2853">
        <v>17</v>
      </c>
      <c r="B89" s="3459"/>
      <c r="C89" s="2827" t="s">
        <v>2680</v>
      </c>
      <c r="D89" s="2827" t="s">
        <v>2681</v>
      </c>
      <c r="E89" s="2853">
        <v>0.1</v>
      </c>
      <c r="F89" s="2853">
        <v>15</v>
      </c>
    </row>
    <row r="90" spans="1:6" ht="14.4">
      <c r="A90" s="2853">
        <v>18</v>
      </c>
      <c r="B90" s="3458" t="s">
        <v>2682</v>
      </c>
      <c r="C90" s="2827" t="s">
        <v>2683</v>
      </c>
      <c r="D90" s="2827" t="s">
        <v>2684</v>
      </c>
      <c r="E90" s="2853">
        <v>0.2</v>
      </c>
      <c r="F90" s="2853">
        <v>25</v>
      </c>
    </row>
    <row r="91" spans="1:6" ht="24">
      <c r="A91" s="2853">
        <v>19</v>
      </c>
      <c r="B91" s="3460"/>
      <c r="C91" s="2827" t="s">
        <v>2685</v>
      </c>
      <c r="D91" s="2827" t="s">
        <v>2686</v>
      </c>
      <c r="E91" s="2853">
        <v>0.2</v>
      </c>
      <c r="F91" s="2853">
        <v>25</v>
      </c>
    </row>
    <row r="92" spans="1:6" ht="14.4">
      <c r="A92" s="2853">
        <v>20</v>
      </c>
      <c r="B92" s="3460"/>
      <c r="C92" s="2827" t="s">
        <v>2687</v>
      </c>
      <c r="D92" s="2827" t="s">
        <v>2688</v>
      </c>
      <c r="E92" s="2853">
        <v>0.15</v>
      </c>
      <c r="F92" s="2853">
        <v>20</v>
      </c>
    </row>
    <row r="93" spans="1:6" ht="24">
      <c r="A93" s="2853">
        <v>21</v>
      </c>
      <c r="B93" s="3460"/>
      <c r="C93" s="2827" t="s">
        <v>2689</v>
      </c>
      <c r="D93" s="2827" t="s">
        <v>2690</v>
      </c>
      <c r="E93" s="2853">
        <v>0.15</v>
      </c>
      <c r="F93" s="2853">
        <v>20</v>
      </c>
    </row>
    <row r="94" spans="1:6" ht="24">
      <c r="A94" s="2853">
        <v>22</v>
      </c>
      <c r="B94" s="3460"/>
      <c r="C94" s="2827" t="s">
        <v>2691</v>
      </c>
      <c r="D94" s="2827" t="s">
        <v>2692</v>
      </c>
      <c r="E94" s="2853">
        <v>0.15</v>
      </c>
      <c r="F94" s="2853">
        <v>20</v>
      </c>
    </row>
    <row r="95" spans="1:6" ht="36">
      <c r="A95" s="2853">
        <v>23</v>
      </c>
      <c r="B95" s="3460"/>
      <c r="C95" s="2827" t="s">
        <v>2693</v>
      </c>
      <c r="D95" s="2827" t="s">
        <v>2694</v>
      </c>
      <c r="E95" s="2853">
        <v>0.15</v>
      </c>
      <c r="F95" s="2853">
        <v>20</v>
      </c>
    </row>
    <row r="96" spans="1:6" ht="24">
      <c r="A96" s="2853">
        <v>24</v>
      </c>
      <c r="B96" s="3460"/>
      <c r="C96" s="2827" t="s">
        <v>2695</v>
      </c>
      <c r="D96" s="2827" t="s">
        <v>2696</v>
      </c>
      <c r="E96" s="2853">
        <v>0.1</v>
      </c>
      <c r="F96" s="2853">
        <v>15</v>
      </c>
    </row>
    <row r="97" spans="1:6" ht="24">
      <c r="A97" s="2853">
        <v>25</v>
      </c>
      <c r="B97" s="3460"/>
      <c r="C97" s="2827" t="s">
        <v>2697</v>
      </c>
      <c r="D97" s="2827" t="s">
        <v>2698</v>
      </c>
      <c r="E97" s="2853">
        <v>0.1</v>
      </c>
      <c r="F97" s="2853">
        <v>15</v>
      </c>
    </row>
    <row r="98" spans="1:6" ht="24">
      <c r="A98" s="2853">
        <v>26</v>
      </c>
      <c r="B98" s="3460"/>
      <c r="C98" s="2827" t="s">
        <v>2699</v>
      </c>
      <c r="D98" s="2827" t="s">
        <v>2700</v>
      </c>
      <c r="E98" s="2853">
        <v>0.1</v>
      </c>
      <c r="F98" s="2853">
        <v>15</v>
      </c>
    </row>
    <row r="99" spans="1:6" ht="24">
      <c r="A99" s="2853">
        <v>27</v>
      </c>
      <c r="B99" s="3460"/>
      <c r="C99" s="2827" t="s">
        <v>2701</v>
      </c>
      <c r="D99" s="2827" t="s">
        <v>2702</v>
      </c>
      <c r="E99" s="2853">
        <v>0.1</v>
      </c>
      <c r="F99" s="2853">
        <v>15</v>
      </c>
    </row>
    <row r="100" spans="1:6" ht="24">
      <c r="A100" s="2853">
        <v>28</v>
      </c>
      <c r="B100" s="3460"/>
      <c r="C100" s="2827" t="s">
        <v>2703</v>
      </c>
      <c r="D100" s="2827" t="s">
        <v>2704</v>
      </c>
      <c r="E100" s="2853">
        <v>0.1</v>
      </c>
      <c r="F100" s="2853">
        <v>15</v>
      </c>
    </row>
    <row r="101" spans="1:6" ht="24">
      <c r="A101" s="2853">
        <v>29</v>
      </c>
      <c r="B101" s="3460"/>
      <c r="C101" s="2827" t="s">
        <v>2705</v>
      </c>
      <c r="D101" s="2827" t="s">
        <v>2706</v>
      </c>
      <c r="E101" s="2853">
        <v>0.1</v>
      </c>
      <c r="F101" s="2853">
        <v>15</v>
      </c>
    </row>
    <row r="102" spans="1:6" ht="24">
      <c r="A102" s="2853">
        <v>30</v>
      </c>
      <c r="B102" s="3460"/>
      <c r="C102" s="2827" t="s">
        <v>2707</v>
      </c>
      <c r="D102" s="2827" t="s">
        <v>2708</v>
      </c>
      <c r="E102" s="2853">
        <v>0.1</v>
      </c>
      <c r="F102" s="2853">
        <v>15</v>
      </c>
    </row>
    <row r="103" spans="1:6" ht="24">
      <c r="A103" s="2853">
        <v>31</v>
      </c>
      <c r="B103" s="3460"/>
      <c r="C103" s="2827" t="s">
        <v>2709</v>
      </c>
      <c r="D103" s="2827" t="s">
        <v>2710</v>
      </c>
      <c r="E103" s="2853">
        <v>0.1</v>
      </c>
      <c r="F103" s="2853">
        <v>15</v>
      </c>
    </row>
    <row r="104" spans="1:6" ht="24">
      <c r="A104" s="2853">
        <v>32</v>
      </c>
      <c r="B104" s="3460"/>
      <c r="C104" s="2827" t="s">
        <v>2711</v>
      </c>
      <c r="D104" s="2827" t="s">
        <v>2712</v>
      </c>
      <c r="E104" s="2853">
        <v>0.1</v>
      </c>
      <c r="F104" s="2853">
        <v>15</v>
      </c>
    </row>
    <row r="105" spans="1:6" ht="24">
      <c r="A105" s="2853">
        <v>33</v>
      </c>
      <c r="B105" s="3460"/>
      <c r="C105" s="2827" t="s">
        <v>2713</v>
      </c>
      <c r="D105" s="2827" t="s">
        <v>2714</v>
      </c>
      <c r="E105" s="2853">
        <v>0.1</v>
      </c>
      <c r="F105" s="2853">
        <v>15</v>
      </c>
    </row>
    <row r="106" spans="1:6" ht="24">
      <c r="A106" s="2853">
        <v>34</v>
      </c>
      <c r="B106" s="3459"/>
      <c r="C106" s="2827" t="s">
        <v>2715</v>
      </c>
      <c r="D106" s="2827" t="s">
        <v>2716</v>
      </c>
      <c r="E106" s="2853">
        <v>0.1</v>
      </c>
      <c r="F106" s="2853">
        <v>15</v>
      </c>
    </row>
    <row r="107" spans="1:6" ht="36">
      <c r="A107" s="2853">
        <v>35</v>
      </c>
      <c r="B107" s="3458" t="s">
        <v>2717</v>
      </c>
      <c r="C107" s="2853" t="s">
        <v>2718</v>
      </c>
      <c r="D107" s="2827" t="s">
        <v>2719</v>
      </c>
      <c r="E107" s="2853">
        <v>0.15</v>
      </c>
      <c r="F107" s="2853">
        <v>20</v>
      </c>
    </row>
    <row r="108" spans="1:6" ht="24">
      <c r="A108" s="2853">
        <v>36</v>
      </c>
      <c r="B108" s="3460"/>
      <c r="C108" s="2853" t="s">
        <v>2720</v>
      </c>
      <c r="D108" s="2827" t="s">
        <v>2721</v>
      </c>
      <c r="E108" s="2853">
        <v>0.15</v>
      </c>
      <c r="F108" s="2853">
        <v>20</v>
      </c>
    </row>
    <row r="109" spans="1:6" ht="24">
      <c r="A109" s="2853">
        <v>37</v>
      </c>
      <c r="B109" s="3460"/>
      <c r="C109" s="2853" t="s">
        <v>2722</v>
      </c>
      <c r="D109" s="2827" t="s">
        <v>2723</v>
      </c>
      <c r="E109" s="2853">
        <v>0.15</v>
      </c>
      <c r="F109" s="2853">
        <v>20</v>
      </c>
    </row>
    <row r="110" spans="1:6" ht="24">
      <c r="A110" s="2853">
        <v>38</v>
      </c>
      <c r="B110" s="3460"/>
      <c r="C110" s="2853" t="s">
        <v>2724</v>
      </c>
      <c r="D110" s="2827" t="s">
        <v>2725</v>
      </c>
      <c r="E110" s="2853">
        <v>0.1</v>
      </c>
      <c r="F110" s="2853">
        <v>15</v>
      </c>
    </row>
    <row r="111" spans="1:6" ht="24">
      <c r="A111" s="2853">
        <v>39</v>
      </c>
      <c r="B111" s="3460"/>
      <c r="C111" s="2853" t="s">
        <v>2726</v>
      </c>
      <c r="D111" s="2827" t="s">
        <v>2727</v>
      </c>
      <c r="E111" s="2853">
        <v>0.1</v>
      </c>
      <c r="F111" s="2853">
        <v>15</v>
      </c>
    </row>
    <row r="112" spans="1:6" ht="24">
      <c r="A112" s="2853">
        <v>40</v>
      </c>
      <c r="B112" s="3459"/>
      <c r="C112" s="2853" t="s">
        <v>2728</v>
      </c>
      <c r="D112" s="2827" t="s">
        <v>2729</v>
      </c>
      <c r="E112" s="2853">
        <v>0.1</v>
      </c>
      <c r="F112" s="2853">
        <v>15</v>
      </c>
    </row>
    <row r="113" spans="1:6" ht="24">
      <c r="A113" s="2853">
        <v>41</v>
      </c>
      <c r="B113" s="3457" t="s">
        <v>2730</v>
      </c>
      <c r="C113" s="2853" t="s">
        <v>2731</v>
      </c>
      <c r="D113" s="2827" t="s">
        <v>2732</v>
      </c>
      <c r="E113" s="2853">
        <v>0.1</v>
      </c>
      <c r="F113" s="2853">
        <v>15</v>
      </c>
    </row>
    <row r="114" spans="1:6" ht="24">
      <c r="A114" s="2853">
        <v>42</v>
      </c>
      <c r="B114" s="3457"/>
      <c r="C114" s="2853" t="s">
        <v>2733</v>
      </c>
      <c r="D114" s="2827" t="s">
        <v>2734</v>
      </c>
      <c r="E114" s="2853">
        <v>0.1</v>
      </c>
      <c r="F114" s="2853">
        <v>15</v>
      </c>
    </row>
    <row r="115" spans="1:6" ht="24">
      <c r="A115" s="2853">
        <v>43</v>
      </c>
      <c r="B115" s="3457"/>
      <c r="C115" s="2853" t="s">
        <v>2735</v>
      </c>
      <c r="D115" s="2827" t="s">
        <v>2736</v>
      </c>
      <c r="E115" s="2853">
        <v>0.1</v>
      </c>
      <c r="F115" s="2853">
        <v>15</v>
      </c>
    </row>
    <row r="116" spans="1:6" ht="24">
      <c r="A116" s="2853">
        <v>44</v>
      </c>
      <c r="B116" s="3458" t="s">
        <v>2737</v>
      </c>
      <c r="C116" s="2853" t="s">
        <v>2738</v>
      </c>
      <c r="D116" s="2827" t="s">
        <v>2739</v>
      </c>
      <c r="E116" s="2853">
        <v>0.1</v>
      </c>
      <c r="F116" s="2853">
        <v>15</v>
      </c>
    </row>
    <row r="117" spans="1:6" ht="24">
      <c r="A117" s="2853">
        <v>45</v>
      </c>
      <c r="B117" s="3459"/>
      <c r="C117" s="2827" t="s">
        <v>2740</v>
      </c>
      <c r="D117" s="2827" t="s">
        <v>2741</v>
      </c>
      <c r="E117" s="2853">
        <v>0.1</v>
      </c>
      <c r="F117" s="2853">
        <v>15</v>
      </c>
    </row>
    <row r="118" spans="1:6" ht="24">
      <c r="A118" s="2853">
        <v>46</v>
      </c>
      <c r="B118" s="3458" t="s">
        <v>2742</v>
      </c>
      <c r="C118" s="2853" t="s">
        <v>2743</v>
      </c>
      <c r="D118" s="2827" t="s">
        <v>2744</v>
      </c>
      <c r="E118" s="2853">
        <v>0.1</v>
      </c>
      <c r="F118" s="2853">
        <v>15</v>
      </c>
    </row>
    <row r="119" spans="1:6" ht="24">
      <c r="A119" s="2853">
        <v>47</v>
      </c>
      <c r="B119" s="3459"/>
      <c r="C119" s="2853" t="s">
        <v>2745</v>
      </c>
      <c r="D119" s="2827" t="s">
        <v>2746</v>
      </c>
      <c r="E119" s="2853">
        <v>0.1</v>
      </c>
      <c r="F119" s="2853">
        <v>15</v>
      </c>
    </row>
    <row r="120" spans="1:6" ht="24">
      <c r="A120" s="2853">
        <v>48</v>
      </c>
      <c r="B120" s="3458" t="s">
        <v>2747</v>
      </c>
      <c r="C120" s="2853" t="s">
        <v>2748</v>
      </c>
      <c r="D120" s="2827" t="s">
        <v>2749</v>
      </c>
      <c r="E120" s="2853">
        <v>0.1</v>
      </c>
      <c r="F120" s="2853">
        <v>15</v>
      </c>
    </row>
    <row r="121" spans="1:6" ht="24">
      <c r="A121" s="2853">
        <v>49</v>
      </c>
      <c r="B121" s="3459"/>
      <c r="C121" s="2853" t="s">
        <v>2750</v>
      </c>
      <c r="D121" s="2827" t="s">
        <v>2751</v>
      </c>
      <c r="E121" s="2853">
        <v>0.1</v>
      </c>
      <c r="F121" s="2853">
        <v>15</v>
      </c>
    </row>
    <row r="122" spans="1:6" ht="24">
      <c r="A122" s="2853">
        <v>50</v>
      </c>
      <c r="B122" s="3457" t="s">
        <v>2752</v>
      </c>
      <c r="C122" s="2853" t="s">
        <v>2753</v>
      </c>
      <c r="D122" s="2827" t="s">
        <v>2754</v>
      </c>
      <c r="E122" s="2853">
        <v>0.1</v>
      </c>
      <c r="F122" s="2853">
        <v>15</v>
      </c>
    </row>
    <row r="123" spans="1:6" ht="24">
      <c r="A123" s="2853">
        <v>51</v>
      </c>
      <c r="B123" s="3457"/>
      <c r="C123" s="2853" t="s">
        <v>2755</v>
      </c>
      <c r="D123" s="2827" t="s">
        <v>2756</v>
      </c>
      <c r="E123" s="2853">
        <v>0.1</v>
      </c>
      <c r="F123" s="2853">
        <v>15</v>
      </c>
    </row>
    <row r="124" spans="1:6" ht="24">
      <c r="A124" s="2853">
        <v>52</v>
      </c>
      <c r="B124" s="3457" t="s">
        <v>2757</v>
      </c>
      <c r="C124" s="2853" t="s">
        <v>2758</v>
      </c>
      <c r="D124" s="2827" t="s">
        <v>2759</v>
      </c>
      <c r="E124" s="2853">
        <v>0.1</v>
      </c>
      <c r="F124" s="2853">
        <v>15</v>
      </c>
    </row>
    <row r="125" spans="1:6" ht="24">
      <c r="A125" s="2853">
        <v>53</v>
      </c>
      <c r="B125" s="3457"/>
      <c r="C125" s="2853" t="s">
        <v>2760</v>
      </c>
      <c r="D125" s="2827" t="s">
        <v>2761</v>
      </c>
      <c r="E125" s="2853">
        <v>0.1</v>
      </c>
      <c r="F125" s="2853">
        <v>15</v>
      </c>
    </row>
    <row r="126" spans="1:6" ht="24">
      <c r="A126" s="2853">
        <v>54</v>
      </c>
      <c r="B126" s="2853" t="s">
        <v>2762</v>
      </c>
      <c r="C126" s="2853" t="s">
        <v>2763</v>
      </c>
      <c r="D126" s="2827" t="s">
        <v>2764</v>
      </c>
      <c r="E126" s="2853">
        <v>0.1</v>
      </c>
      <c r="F126" s="2853">
        <v>15</v>
      </c>
    </row>
    <row r="127" spans="1:6" ht="24">
      <c r="A127" s="2853">
        <v>55</v>
      </c>
      <c r="B127" s="3457" t="s">
        <v>2765</v>
      </c>
      <c r="C127" s="2853" t="s">
        <v>2766</v>
      </c>
      <c r="D127" s="2827" t="s">
        <v>2767</v>
      </c>
      <c r="E127" s="2853">
        <v>0.1</v>
      </c>
      <c r="F127" s="2853">
        <v>15</v>
      </c>
    </row>
    <row r="128" spans="1:6" ht="24">
      <c r="A128" s="2853">
        <v>56</v>
      </c>
      <c r="B128" s="3457"/>
      <c r="C128" s="2853" t="s">
        <v>2768</v>
      </c>
      <c r="D128" s="2827" t="s">
        <v>2769</v>
      </c>
      <c r="E128" s="2853">
        <v>0.1</v>
      </c>
      <c r="F128" s="2853">
        <v>15</v>
      </c>
    </row>
    <row r="129" spans="1:6" ht="24">
      <c r="A129" s="2853">
        <v>57</v>
      </c>
      <c r="B129" s="3457"/>
      <c r="C129" s="2853" t="s">
        <v>2770</v>
      </c>
      <c r="D129" s="2827" t="s">
        <v>2771</v>
      </c>
      <c r="E129" s="2853">
        <v>0.1</v>
      </c>
      <c r="F129" s="2853">
        <v>15</v>
      </c>
    </row>
    <row r="130" spans="1:6" ht="24">
      <c r="A130" s="2853">
        <v>58</v>
      </c>
      <c r="B130" s="3457" t="s">
        <v>2772</v>
      </c>
      <c r="C130" s="2853" t="s">
        <v>2773</v>
      </c>
      <c r="D130" s="2827" t="s">
        <v>2774</v>
      </c>
      <c r="E130" s="2853">
        <v>0.1</v>
      </c>
      <c r="F130" s="2853">
        <v>15</v>
      </c>
    </row>
    <row r="131" spans="1:6" ht="24">
      <c r="A131" s="2853">
        <v>59</v>
      </c>
      <c r="B131" s="3457"/>
      <c r="C131" s="2853" t="s">
        <v>2775</v>
      </c>
      <c r="D131" s="2827" t="s">
        <v>2776</v>
      </c>
      <c r="E131" s="2853">
        <v>0.1</v>
      </c>
      <c r="F131" s="2853">
        <v>15</v>
      </c>
    </row>
    <row r="132" spans="1:6" ht="24">
      <c r="A132" s="2853">
        <v>60</v>
      </c>
      <c r="B132" s="3458" t="s">
        <v>2777</v>
      </c>
      <c r="C132" s="2853" t="s">
        <v>2778</v>
      </c>
      <c r="D132" s="2827" t="s">
        <v>2779</v>
      </c>
      <c r="E132" s="2853">
        <v>0.1</v>
      </c>
      <c r="F132" s="2853">
        <v>15</v>
      </c>
    </row>
    <row r="133" spans="1:6" ht="24">
      <c r="A133" s="2853">
        <v>61</v>
      </c>
      <c r="B133" s="3459"/>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24">
      <c r="A135" s="2853">
        <v>63</v>
      </c>
      <c r="B135" s="3457" t="s">
        <v>2785</v>
      </c>
      <c r="C135" s="2853" t="s">
        <v>2786</v>
      </c>
      <c r="D135" s="2827" t="s">
        <v>2787</v>
      </c>
      <c r="E135" s="2853">
        <v>0.1</v>
      </c>
      <c r="F135" s="2853">
        <v>15</v>
      </c>
    </row>
    <row r="136" spans="1:6" ht="24">
      <c r="A136" s="2853">
        <v>64</v>
      </c>
      <c r="B136" s="3457"/>
      <c r="C136" s="2853" t="s">
        <v>2788</v>
      </c>
      <c r="D136" s="2827" t="s">
        <v>2789</v>
      </c>
      <c r="E136" s="2853">
        <v>0.1</v>
      </c>
      <c r="F136" s="2853">
        <v>15</v>
      </c>
    </row>
    <row r="137" spans="1:6" ht="24">
      <c r="A137" s="2853">
        <v>65</v>
      </c>
      <c r="B137" s="2853" t="s">
        <v>2790</v>
      </c>
      <c r="C137" s="2853" t="s">
        <v>2791</v>
      </c>
      <c r="D137" s="2827" t="s">
        <v>2792</v>
      </c>
      <c r="E137" s="2853">
        <v>0.1</v>
      </c>
      <c r="F137" s="2853">
        <v>15</v>
      </c>
    </row>
    <row r="138" spans="1:6" ht="14.4">
      <c r="A138" s="2853"/>
      <c r="B138" s="2853"/>
      <c r="C138" s="2853"/>
      <c r="D138" s="2853"/>
      <c r="E138" s="2853" t="s">
        <v>2793</v>
      </c>
      <c r="F138" s="2853"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27664</v>
      </c>
      <c r="C2" s="2" t="s">
        <v>106</v>
      </c>
      <c r="D2" s="191"/>
      <c r="E2" s="191"/>
      <c r="F2" s="191"/>
      <c r="G2" s="191"/>
    </row>
    <row r="3" spans="1:7" s="192" customFormat="1" ht="18" customHeight="1" thickBot="1">
      <c r="A3" s="195" t="s">
        <v>58</v>
      </c>
      <c r="B3" s="196">
        <f ca="1">ROUND(B2*10000/'数据-汇总表'!E3,0)</f>
        <v>2649808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51</v>
      </c>
      <c r="D51" s="224"/>
      <c r="E51" s="224"/>
      <c r="F51" s="256"/>
      <c r="G51" s="226" t="s">
        <v>37</v>
      </c>
    </row>
    <row r="52" spans="1:7" s="200" customFormat="1" ht="16.8" thickBot="1">
      <c r="A52" s="257" t="s">
        <v>38</v>
      </c>
      <c r="B52" s="258"/>
      <c r="C52" s="259">
        <f ca="1">C31+C51</f>
        <v>27664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144.40350000000001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467712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417600</v>
      </c>
      <c r="D34" s="209"/>
      <c r="E34" s="212"/>
      <c r="F34" s="249"/>
      <c r="G34" s="211"/>
    </row>
    <row r="35" spans="1:7" ht="13.5" customHeight="1">
      <c r="A35" s="734" t="s">
        <v>351</v>
      </c>
      <c r="B35" s="207" t="s">
        <v>1527</v>
      </c>
      <c r="C35" s="212">
        <f ca="1">ROUND(C34*F35,0)</f>
        <v>20880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8352</v>
      </c>
      <c r="D38" s="212"/>
      <c r="E38" s="212"/>
      <c r="F38" s="251">
        <f>'数据-取费表'!B36</f>
        <v>0.02</v>
      </c>
      <c r="G38" s="211" t="s">
        <v>1528</v>
      </c>
    </row>
    <row r="39" spans="1:7" s="206" customFormat="1" ht="13.5" customHeight="1">
      <c r="A39" s="247" t="s">
        <v>1534</v>
      </c>
      <c r="B39" s="202" t="s">
        <v>1535</v>
      </c>
      <c r="C39" s="224">
        <f ca="1">ROUND(C33*F20,0)</f>
        <v>9354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14499</v>
      </c>
      <c r="D42" s="230"/>
      <c r="E42" s="230"/>
      <c r="F42" s="231"/>
      <c r="G42" s="3352" t="s">
        <v>1591</v>
      </c>
    </row>
    <row r="43" spans="1:7" ht="13.5" customHeight="1">
      <c r="A43" s="734" t="s">
        <v>347</v>
      </c>
      <c r="B43" s="207" t="s">
        <v>1545</v>
      </c>
      <c r="C43" s="230">
        <f ca="1">ROUND(IF('数据-取费表'!B22&lt;=1,C39*F22*'数据-取费表'!B20/2,C39*(POWER((1+F22),'数据-取费表'!B20/2)-1)),0)</f>
        <v>290</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71560</v>
      </c>
      <c r="D45" s="227">
        <f ca="1">C47</f>
        <v>3.0000000000000001E-3</v>
      </c>
      <c r="E45" s="228" t="s">
        <v>1539</v>
      </c>
      <c r="F45" s="238">
        <f ca="1">F27</f>
        <v>0.15</v>
      </c>
      <c r="G45" s="239" t="s">
        <v>1548</v>
      </c>
    </row>
    <row r="46" spans="1:7" s="206" customFormat="1" ht="13.5" customHeight="1">
      <c r="A46" s="734" t="s">
        <v>346</v>
      </c>
      <c r="B46" s="240" t="s">
        <v>1549</v>
      </c>
      <c r="C46" s="241">
        <f ca="1">ROUND((C33+C39)*F27,0)</f>
        <v>71560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610351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506591</v>
      </c>
      <c r="D51" s="224"/>
      <c r="E51" s="224"/>
      <c r="F51" s="256"/>
      <c r="G51" s="226" t="s">
        <v>1560</v>
      </c>
    </row>
    <row r="52" spans="1:7" s="200" customFormat="1" ht="16.8" thickBot="1">
      <c r="A52" s="257" t="s">
        <v>1561</v>
      </c>
      <c r="B52" s="258"/>
      <c r="C52" s="259">
        <f ca="1">C31+C51</f>
        <v>1444035</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0"/>
      <c r="B4" s="3174" t="s">
        <v>917</v>
      </c>
      <c r="C4" s="3174"/>
      <c r="D4" s="3174"/>
      <c r="E4" s="1390"/>
    </row>
    <row r="5" spans="1:5" ht="16.2" thickTop="1">
      <c r="B5" s="3172" t="s">
        <v>909</v>
      </c>
      <c r="C5" s="1391" t="s">
        <v>910</v>
      </c>
      <c r="D5" s="797">
        <f ca="1">结果表!H101</f>
        <v>144</v>
      </c>
    </row>
    <row r="6" spans="1:5" ht="15.6">
      <c r="B6" s="3172"/>
      <c r="C6" s="1391" t="s">
        <v>911</v>
      </c>
      <c r="D6" s="797" t="str">
        <f ca="1">NUMBERSTRING(INT(D5*10000),2)&amp;"元整"</f>
        <v>壹佰肆拾肆万元整</v>
      </c>
    </row>
    <row r="7" spans="1:5" ht="15.6">
      <c r="B7" s="3177"/>
      <c r="C7" s="1392" t="s">
        <v>912</v>
      </c>
      <c r="D7" s="798">
        <f ca="1">结果表!H102</f>
        <v>13805</v>
      </c>
    </row>
    <row r="8" spans="1:5" ht="15.6">
      <c r="B8" s="3178" t="str">
        <f>结果表!E103</f>
        <v>2.估价师知悉的法定优先受偿款</v>
      </c>
      <c r="C8" s="1393" t="s">
        <v>913</v>
      </c>
      <c r="D8" s="798">
        <f>结果表!H103</f>
        <v>0</v>
      </c>
    </row>
    <row r="9" spans="1:5" ht="15.6">
      <c r="B9" s="3180"/>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1" t="str">
        <f>结果表!E107</f>
        <v>3.房地产抵押价值</v>
      </c>
      <c r="C13" s="1396" t="s">
        <v>910</v>
      </c>
      <c r="D13" s="800">
        <f ca="1">结果表!H107</f>
        <v>144</v>
      </c>
    </row>
    <row r="14" spans="1:5" ht="15.6">
      <c r="B14" s="3172"/>
      <c r="C14" s="1391" t="s">
        <v>911</v>
      </c>
      <c r="D14" s="797" t="str">
        <f ca="1">NUMBERSTRING(INT(D13*10000),2)&amp;"元整"</f>
        <v>壹佰肆拾肆万元整</v>
      </c>
    </row>
    <row r="15" spans="1:5" ht="15.6">
      <c r="B15" s="3177"/>
      <c r="C15" s="1392" t="s">
        <v>921</v>
      </c>
      <c r="D15" s="806">
        <f ca="1">结果表!H108</f>
        <v>13805</v>
      </c>
    </row>
    <row r="16" spans="1:5" ht="15.6">
      <c r="B16" s="3178" t="str">
        <f>结果表!E109</f>
        <v>——</v>
      </c>
      <c r="C16" s="1396" t="s">
        <v>922</v>
      </c>
      <c r="D16" s="1397" t="str">
        <f>结果表!H109</f>
        <v>——</v>
      </c>
    </row>
    <row r="17" spans="1:5" ht="15.6">
      <c r="B17" s="3179"/>
      <c r="C17" s="1391" t="s">
        <v>923</v>
      </c>
      <c r="D17" s="797" t="e">
        <f>NUMBERSTRING(INT(D16*10000),2)&amp;"元整"</f>
        <v>#VALUE!</v>
      </c>
    </row>
    <row r="18" spans="1:5" ht="15.6">
      <c r="B18" s="3180"/>
      <c r="C18" s="1392" t="s">
        <v>912</v>
      </c>
      <c r="D18" s="806" t="str">
        <f>结果表!H110</f>
        <v>——</v>
      </c>
    </row>
    <row r="19" spans="1:5" ht="15.6">
      <c r="B19" s="3171" t="str">
        <f>结果表!E111</f>
        <v>——</v>
      </c>
      <c r="C19" s="1396" t="s">
        <v>910</v>
      </c>
      <c r="D19" s="798" t="str">
        <f>结果表!H111</f>
        <v>——</v>
      </c>
    </row>
    <row r="20" spans="1:5" ht="15.6">
      <c r="B20" s="3172"/>
      <c r="C20" s="1391" t="s">
        <v>923</v>
      </c>
      <c r="D20" s="797" t="e">
        <f>NUMBERSTRING(INT(D19*10000),2)&amp;"元整"</f>
        <v>#VALUE!</v>
      </c>
    </row>
    <row r="21" spans="1:5" ht="16.2" thickBot="1">
      <c r="B21" s="3173"/>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76"/>
      <c r="B4" s="3477"/>
      <c r="C4" s="3477"/>
      <c r="D4" s="3478"/>
      <c r="E4" s="3478"/>
      <c r="F4" s="3478"/>
      <c r="G4" s="3478"/>
      <c r="H4" s="3478"/>
      <c r="I4" s="3478"/>
      <c r="J4" s="347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6"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5"/>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480" t="s">
        <v>3250</v>
      </c>
      <c r="B20" s="159" t="s">
        <v>1994</v>
      </c>
      <c r="C20" s="3027">
        <f>ROUND(IF(F21="与级别开发程度一致",0,(G21-E21)/C21),0)</f>
        <v>35</v>
      </c>
      <c r="D20" s="3042" t="s">
        <v>1998</v>
      </c>
      <c r="E20" s="3043"/>
      <c r="F20" s="3486" t="s">
        <v>1995</v>
      </c>
      <c r="G20" s="3487"/>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481"/>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84"/>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5"/>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85"/>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2608</v>
      </c>
      <c r="B91" s="3075">
        <f>1+E93</f>
        <v>1</v>
      </c>
      <c r="C91" s="3068"/>
      <c r="D91" s="3069"/>
      <c r="E91" s="1674"/>
      <c r="F91" s="1674"/>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52.8">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6.4">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40.200000000000003"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82" t="s">
        <v>3289</v>
      </c>
      <c r="B103" s="3482"/>
      <c r="C103" s="3482"/>
      <c r="D103" s="3482"/>
      <c r="E103" s="3482"/>
      <c r="F103" s="3482"/>
      <c r="G103" s="3482"/>
      <c r="H103" s="3482"/>
      <c r="I103" s="3482"/>
      <c r="J103" s="3482"/>
      <c r="K103" s="1666"/>
      <c r="L103" s="1666"/>
      <c r="M103" s="1666"/>
      <c r="N103" s="1666"/>
    </row>
    <row r="104" spans="1:14">
      <c r="A104" s="3483" t="s">
        <v>3290</v>
      </c>
      <c r="B104" s="3483" t="s">
        <v>3291</v>
      </c>
      <c r="C104" s="3086" t="s">
        <v>3292</v>
      </c>
      <c r="D104" s="3087"/>
      <c r="E104" s="3087"/>
      <c r="F104" s="3087"/>
      <c r="G104" s="3087"/>
      <c r="H104" s="3087"/>
      <c r="I104" s="3087"/>
      <c r="J104" s="3088"/>
      <c r="K104" s="3089"/>
      <c r="L104" s="3089"/>
      <c r="M104" s="3089"/>
      <c r="N104" s="3089"/>
    </row>
    <row r="105" spans="1:14">
      <c r="A105" s="3483"/>
      <c r="B105" s="3483"/>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69"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0"/>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2" t="s">
        <v>3306</v>
      </c>
      <c r="B113" s="3472"/>
      <c r="C113" s="3472"/>
      <c r="D113" s="3472"/>
      <c r="E113" s="3472"/>
      <c r="F113" s="3472"/>
      <c r="G113" s="3472"/>
      <c r="H113" s="3472"/>
      <c r="I113" s="3472"/>
      <c r="J113" s="3472"/>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8"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0" t="s">
        <v>2835</v>
      </c>
      <c r="B1" s="3490"/>
      <c r="C1" s="3490"/>
      <c r="D1" s="3490"/>
      <c r="E1" s="3490"/>
      <c r="F1" s="3490"/>
      <c r="G1" s="3491"/>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1.4"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88"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1.4" thickBot="1">
      <c r="A4" s="3489"/>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1.4"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1.4"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1.4"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1.4"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2" t="s">
        <v>3177</v>
      </c>
      <c r="B1" s="3492"/>
    </row>
    <row r="2" spans="1:7" ht="15" thickBot="1">
      <c r="A2" s="2964"/>
      <c r="B2" s="2964"/>
    </row>
    <row r="3" spans="1:7" ht="15" thickBot="1">
      <c r="A3" s="2964"/>
      <c r="B3" s="2964"/>
      <c r="C3" s="2965" t="s">
        <v>2807</v>
      </c>
      <c r="D3" s="2965" t="s">
        <v>2863</v>
      </c>
      <c r="E3" s="2965" t="s">
        <v>2809</v>
      </c>
      <c r="F3" s="2965" t="s">
        <v>2864</v>
      </c>
      <c r="G3" s="2965" t="s">
        <v>2627</v>
      </c>
    </row>
    <row r="4" spans="1:7" ht="1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9"/>
  </cols>
  <sheetData>
    <row r="1" spans="1:6">
      <c r="A1" s="3493" t="s">
        <v>3228</v>
      </c>
      <c r="B1" s="3493"/>
      <c r="C1" s="3493"/>
      <c r="D1" s="3493"/>
      <c r="E1" s="3493"/>
      <c r="F1" s="3494"/>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9" customFormat="1" ht="1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3.2">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3378</v>
      </c>
    </row>
    <row r="24" spans="1:30">
      <c r="I24" s="1404" t="s">
        <v>2821</v>
      </c>
    </row>
    <row r="26" spans="1:30" s="2008" customFormat="1" ht="13.2">
      <c r="B26" s="2925" t="s">
        <v>3376</v>
      </c>
      <c r="C26" s="2926"/>
      <c r="D26" s="2926"/>
      <c r="E26" s="2926"/>
      <c r="F26" s="2926"/>
      <c r="G26" s="2926"/>
      <c r="H26" s="2926"/>
      <c r="I26" s="2926"/>
      <c r="J26" s="2892"/>
      <c r="K26" s="2926" t="s">
        <v>2822</v>
      </c>
      <c r="L26" s="2926"/>
      <c r="M26" s="2926"/>
      <c r="N26" s="2926"/>
      <c r="O26" s="2926"/>
      <c r="P26" s="2926"/>
      <c r="Q26" s="2892"/>
      <c r="R26" s="3495" t="s">
        <v>2823</v>
      </c>
      <c r="S26" s="3496"/>
      <c r="T26" s="3496"/>
      <c r="U26" s="3496"/>
      <c r="V26" s="3496"/>
      <c r="W26" s="3496"/>
      <c r="X26" s="2892"/>
      <c r="Y26" s="3495" t="s">
        <v>2824</v>
      </c>
      <c r="Z26" s="3496"/>
      <c r="AA26" s="3496"/>
      <c r="AB26" s="3496"/>
      <c r="AC26" s="3496"/>
      <c r="AD26" s="3496"/>
    </row>
    <row r="27" spans="1:30" s="2009" customFormat="1" ht="1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3.2">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6">
      <c r="A3" s="3184"/>
      <c r="B3" s="3184"/>
      <c r="C3" s="3184"/>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144</v>
      </c>
      <c r="I4" s="801">
        <f ca="1">结果表!I118</f>
        <v>13805</v>
      </c>
    </row>
    <row r="5" spans="1:9" ht="30" customHeight="1">
      <c r="A5" s="3184" t="s">
        <v>927</v>
      </c>
      <c r="B5" s="3184"/>
      <c r="C5" s="3184"/>
      <c r="D5" s="3184" t="str">
        <f>结果表!D119</f>
        <v>零元整</v>
      </c>
      <c r="E5" s="3184"/>
      <c r="F5" s="3184" t="str">
        <f>结果表!F119</f>
        <v>零元整</v>
      </c>
      <c r="G5" s="3184"/>
      <c r="H5" s="3184" t="str">
        <f ca="1">结果表!H119</f>
        <v>壹佰肆拾肆万元整</v>
      </c>
      <c r="I5" s="3184"/>
    </row>
    <row r="6" spans="1:9" ht="15.6">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6">
      <c r="A8" s="3183" t="str">
        <f>结果表!A122</f>
        <v>房地产抵押价值</v>
      </c>
      <c r="B8" s="3183"/>
      <c r="C8" s="3183"/>
      <c r="D8" s="3183">
        <f ca="1">结果表!D122</f>
        <v>144</v>
      </c>
      <c r="E8" s="3183"/>
      <c r="F8" s="3183"/>
      <c r="G8" s="3183"/>
      <c r="H8" s="3183"/>
      <c r="I8" s="3183"/>
    </row>
    <row r="9" spans="1:9" ht="15">
      <c r="A9" s="3184" t="s">
        <v>927</v>
      </c>
      <c r="B9" s="3184"/>
      <c r="C9" s="3184"/>
      <c r="D9" s="3184" t="str">
        <f ca="1">结果表!D123</f>
        <v>壹佰肆拾肆万元整</v>
      </c>
      <c r="E9" s="3184"/>
      <c r="F9" s="3184"/>
      <c r="G9" s="3184"/>
      <c r="H9" s="3184"/>
      <c r="I9" s="3184"/>
    </row>
    <row r="10" spans="1:9" ht="15.6">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6">
      <c r="A12" s="3183" t="str">
        <f>结果表!A126</f>
        <v/>
      </c>
      <c r="B12" s="3183"/>
      <c r="C12" s="3183"/>
      <c r="D12" s="3183" t="str">
        <f>结果表!D126</f>
        <v>——</v>
      </c>
      <c r="E12" s="3183"/>
      <c r="F12" s="3183"/>
      <c r="G12" s="3183"/>
      <c r="H12" s="3183"/>
      <c r="I12" s="3183"/>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7" t="s">
        <v>939</v>
      </c>
      <c r="B6" s="3197"/>
      <c r="C6" s="3197"/>
      <c r="D6" s="3197"/>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8" t="s">
        <v>942</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4" t="s">
        <v>956</v>
      </c>
      <c r="B15" s="3199" t="s">
        <v>109</v>
      </c>
      <c r="C15" s="3200"/>
    </row>
    <row r="16" spans="1:7" ht="14.4">
      <c r="A16" s="3205"/>
      <c r="B16" s="3199" t="s">
        <v>42</v>
      </c>
      <c r="C16" s="3200"/>
    </row>
    <row r="17" spans="1:3" ht="14.4">
      <c r="A17" s="3205"/>
      <c r="B17" s="3202" t="s">
        <v>957</v>
      </c>
      <c r="C17" s="1428" t="s">
        <v>956</v>
      </c>
    </row>
    <row r="18" spans="1:3" ht="14.4">
      <c r="A18" s="3205"/>
      <c r="B18" s="3202"/>
      <c r="C18" s="1428" t="s">
        <v>958</v>
      </c>
    </row>
    <row r="19" spans="1:3" ht="14.4">
      <c r="A19" s="3205"/>
      <c r="B19" s="3202"/>
      <c r="C19" s="1428" t="s">
        <v>959</v>
      </c>
    </row>
    <row r="20" spans="1:3" ht="14.4">
      <c r="A20" s="3206"/>
      <c r="B20" s="3201" t="s">
        <v>960</v>
      </c>
      <c r="C20" s="3200"/>
    </row>
    <row r="21" spans="1:3" ht="14.4">
      <c r="A21" s="1429" t="s">
        <v>961</v>
      </c>
      <c r="B21" s="1430"/>
      <c r="C21" s="1431"/>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8" t="s">
        <v>967</v>
      </c>
    </row>
    <row r="26" spans="1:3" ht="14.4">
      <c r="A26" s="3203"/>
      <c r="B26" s="3202"/>
      <c r="C26" s="1428" t="s">
        <v>968</v>
      </c>
    </row>
    <row r="27" spans="1:3" ht="14.4">
      <c r="A27" s="3203"/>
      <c r="B27" s="3202"/>
      <c r="C27" s="1428" t="s">
        <v>969</v>
      </c>
    </row>
    <row r="28" spans="1:3" ht="14.4">
      <c r="A28" s="3203"/>
      <c r="B28" s="3202"/>
      <c r="C28" s="1428" t="s">
        <v>970</v>
      </c>
    </row>
    <row r="29" spans="1:3" ht="14.4">
      <c r="A29" s="3203"/>
      <c r="B29" s="3202"/>
      <c r="C29" s="1428" t="s">
        <v>971</v>
      </c>
    </row>
    <row r="30" spans="1:3" ht="14.4">
      <c r="A30" s="3203"/>
      <c r="B30" s="3202"/>
      <c r="C30" s="1428" t="s">
        <v>972</v>
      </c>
    </row>
    <row r="31" spans="1:3" ht="14.4">
      <c r="A31" s="3203"/>
      <c r="B31" s="3202"/>
      <c r="C31" s="1428" t="s">
        <v>973</v>
      </c>
    </row>
    <row r="32" spans="1:3" ht="14.4">
      <c r="A32" s="3203"/>
      <c r="B32" s="3202"/>
      <c r="C32" s="1428" t="s">
        <v>974</v>
      </c>
    </row>
    <row r="33" spans="1:3" ht="14.4">
      <c r="A33" s="3203"/>
      <c r="B33" s="320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45705</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7" t="s">
        <v>2156</v>
      </c>
      <c r="B17" s="3207"/>
      <c r="C17" s="3207"/>
      <c r="D17" s="3207"/>
      <c r="E17" s="3207"/>
      <c r="F17" s="3207"/>
      <c r="G17" s="3207"/>
      <c r="H17" s="3207"/>
    </row>
    <row r="18" spans="1:8" ht="24" customHeight="1">
      <c r="A18" s="3208" t="s">
        <v>2157</v>
      </c>
      <c r="B18" s="3208"/>
      <c r="C18" s="3208"/>
      <c r="D18" s="2159"/>
      <c r="E18" s="3209" t="s">
        <v>2158</v>
      </c>
      <c r="F18" s="3208"/>
      <c r="G18" s="3208"/>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2025-02-17T01:08:13Z</dcterms:modified>
</cp:coreProperties>
</file>